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Veiligheidsregio Brabant Noord\Aanbesteding 2026\Uitlever\"/>
    </mc:Choice>
  </mc:AlternateContent>
  <xr:revisionPtr revIDLastSave="0" documentId="8_{3EF5E480-148A-4833-A45B-FC84801F8172}" xr6:coauthVersionLast="47" xr6:coauthVersionMax="47" xr10:uidLastSave="{00000000-0000-0000-0000-000000000000}"/>
  <bookViews>
    <workbookView xWindow="3972" yWindow="3204" windowWidth="23040" windowHeight="12168" activeTab="1" xr2:uid="{CB6B66E7-1398-4C09-AB6F-1382A233A9E2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dditioneel werk per locatie" sheetId="10" r:id="rId10"/>
    <sheet name="Afroep incidenteel" sheetId="11" r:id="rId11"/>
    <sheet name="Regiewerk" sheetId="12" r:id="rId12"/>
    <sheet name="Glas" sheetId="13" r:id="rId13"/>
    <sheet name="Glas per locatie" sheetId="14" r:id="rId14"/>
    <sheet name="Totaal" sheetId="15" r:id="rId15"/>
  </sheets>
  <definedNames>
    <definedName name="_xlnm._FilterDatabase" localSheetId="4" hidden="1">'Ruimten werkdag'!$A$3:$S$1231</definedName>
    <definedName name="_xlnm.Print_Titles" localSheetId="8">'Additioneel werk'!$1:$3</definedName>
    <definedName name="_xlnm.Print_Titles" localSheetId="9">'Additioneel werk per locatie'!$1:$3</definedName>
    <definedName name="_xlnm.Print_Titles" localSheetId="10">'Afroep incidenteel'!$1:$3</definedName>
    <definedName name="_xlnm.Print_Titles" localSheetId="2">Categorienormen!$1:$3</definedName>
    <definedName name="_xlnm.Print_Titles" localSheetId="12">Glas!$1:$3</definedName>
    <definedName name="_xlnm.Print_Titles" localSheetId="13">'Glas per locatie'!$1:$3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1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4">Totaal!$1:$3</definedName>
    <definedName name="_xlnm.Print_Titles" localSheetId="7">'Totaalblad Objecten'!$1:$3</definedName>
    <definedName name="catdw_1_BBHB_1">Categorienormen!$F$24</definedName>
    <definedName name="catdw_1_BBZV_51">Categorienormen!$F$25</definedName>
    <definedName name="catdw_1_BCZB_1">Categorienormen!$F$6</definedName>
    <definedName name="catdw_1_BCZV_51">Categorienormen!$F$7</definedName>
    <definedName name="catdw_1_BKHB_1">Categorienormen!$F$8</definedName>
    <definedName name="catdw_1_BKHV_51">Categorienormen!$F$9</definedName>
    <definedName name="catdw_1_BKZB_1">Categorienormen!$F$10</definedName>
    <definedName name="catdw_1_BKZV_51">Categorienormen!$F$11</definedName>
    <definedName name="catdw_1_BRHB_1">Categorienormen!$F$12</definedName>
    <definedName name="catdw_1_BRHV_51">Categorienormen!$F$13</definedName>
    <definedName name="catdw_1_BRZB_1">Categorienormen!$F$14</definedName>
    <definedName name="catdw_1_BRZV_51">Categorienormen!$F$15</definedName>
    <definedName name="catdw_1_BVHB_1">Categorienormen!$F$16</definedName>
    <definedName name="catdw_1_BVHB_51">Categorienormen!$F$17</definedName>
    <definedName name="catdw_1_BVZB_1">Categorienormen!$F$18</definedName>
    <definedName name="catdw_1_BVZV_51">Categorienormen!$F$19</definedName>
    <definedName name="catdw_1_EAHB_1">Categorienormen!$F$34</definedName>
    <definedName name="catdw_1_EAHV_51">Categorienormen!$F$35</definedName>
    <definedName name="catdw_1_ERHB_1">Categorienormen!$F$36</definedName>
    <definedName name="catdw_1_ERHV_51">Categorienormen!$F$37</definedName>
    <definedName name="catdw_1_GFHB_1">Categorienormen!$F$38</definedName>
    <definedName name="catdw_1_GFHV_51">Categorienormen!$F$39</definedName>
    <definedName name="catdw_1_GSHB_1">Categorienormen!$F$40</definedName>
    <definedName name="catdw_1_GSHV_51">Categorienormen!$F$41</definedName>
    <definedName name="catdw_1_LLHB_1">Categorienormen!$F$20</definedName>
    <definedName name="catdw_1_LLHV_51">Categorienormen!$F$21</definedName>
    <definedName name="catdw_1_LOHB_1">Categorienormen!$F$22</definedName>
    <definedName name="catdw_1_LOHV_51">Categorienormen!$F$23</definedName>
    <definedName name="catdw_1_MAHB_1">Categorienormen!$F$42</definedName>
    <definedName name="catdw_1_MAHV_51">Categorienormen!$F$43</definedName>
    <definedName name="catdw_1_RKHB_1">Categorienormen!$F$44</definedName>
    <definedName name="catdw_1_RKHV_51">Categorienormen!$F$45</definedName>
    <definedName name="catdw_1_RPHB_1">Categorienormen!$F$46</definedName>
    <definedName name="catdw_1_RPHV_51">Categorienormen!$F$47</definedName>
    <definedName name="catdw_1_RRHB_1">Categorienormen!$F$48</definedName>
    <definedName name="catdw_1_RRHV_51">Categorienormen!$F$49</definedName>
    <definedName name="catdw_1_RRZB_1">Categorienormen!$F$50</definedName>
    <definedName name="catdw_1_RRZV_51">Categorienormen!$F$51</definedName>
    <definedName name="catdw_1_SDHB_1">Categorienormen!$F$26</definedName>
    <definedName name="catdw_1_SDHV_51">Categorienormen!$F$27</definedName>
    <definedName name="catdw_1_SKHB_1">Categorienormen!$F$28</definedName>
    <definedName name="catdw_1_SKHV_51">Categorienormen!$F$29</definedName>
    <definedName name="catdw_1_STHB_1">Categorienormen!$F$30</definedName>
    <definedName name="catdw_1_STHV_51">Categorienormen!$F$31</definedName>
    <definedName name="catdw_1_SWHB_1">Categorienormen!$F$32</definedName>
    <definedName name="catdw_1_SWHV_51">Categorienormen!$F$33</definedName>
    <definedName name="catdw_1_VAHB_1">Categorienormen!$F$52</definedName>
    <definedName name="catdw_1_VAHV_51">Categorienormen!$F$53</definedName>
    <definedName name="catdw_1_VAZB_1">Categorienormen!$F$54</definedName>
    <definedName name="catdw_1_VAZV_51">Categorienormen!$F$55</definedName>
    <definedName name="catdw_1_VEHV_51">Categorienormen!$F$56</definedName>
    <definedName name="catdw_1_VEZB_1">Categorienormen!$F$57</definedName>
    <definedName name="catdw_1_VEZV_51">Categorienormen!$F$58</definedName>
    <definedName name="catdw_1_VLHB_1">Categorienormen!$F$59</definedName>
    <definedName name="catdw_1_VLHV_51">Categorienormen!$F$60</definedName>
    <definedName name="catdw_1_VOHB_1">Categorienormen!$F$61</definedName>
    <definedName name="catdw_1_VOHV_51">Categorienormen!$F$62</definedName>
    <definedName name="catdw_1_VOZB_1">Categorienormen!$F$63</definedName>
    <definedName name="catdw_1_VOZV_51">Categorienormen!$F$64</definedName>
    <definedName name="catdw_1_VSHB_1">Categorienormen!$F$65</definedName>
    <definedName name="catdw_1_VSHV_51">Categorienormen!$F$66</definedName>
    <definedName name="catdw_1_VTHB_1">Categorienormen!$F$67</definedName>
    <definedName name="catdw_1_VTHV_51">Categorienormen!$F$68</definedName>
    <definedName name="catfd_1_BBHB_1">Categorienormen!$C$24</definedName>
    <definedName name="catfd_1_BBZV_51">Categorienormen!$C$25</definedName>
    <definedName name="catfd_1_BCZB_1">Categorienormen!$C$6</definedName>
    <definedName name="catfd_1_BCZV_51">Categorienormen!$C$7</definedName>
    <definedName name="catfd_1_BKHB_1">Categorienormen!$C$8</definedName>
    <definedName name="catfd_1_BKHV_51">Categorienormen!$C$9</definedName>
    <definedName name="catfd_1_BKZB_1">Categorienormen!$C$10</definedName>
    <definedName name="catfd_1_BKZV_51">Categorienormen!$C$11</definedName>
    <definedName name="catfd_1_BRHB_1">Categorienormen!$C$12</definedName>
    <definedName name="catfd_1_BRHV_51">Categorienormen!$C$13</definedName>
    <definedName name="catfd_1_BRZB_1">Categorienormen!$C$14</definedName>
    <definedName name="catfd_1_BRZV_51">Categorienormen!$C$15</definedName>
    <definedName name="catfd_1_BVHB_1">Categorienormen!$C$16</definedName>
    <definedName name="catfd_1_BVHB_51">Categorienormen!$C$17</definedName>
    <definedName name="catfd_1_BVZB_1">Categorienormen!$C$18</definedName>
    <definedName name="catfd_1_BVZV_51">Categorienormen!$C$19</definedName>
    <definedName name="catfd_1_EAHB_1">Categorienormen!$C$34</definedName>
    <definedName name="catfd_1_EAHV_51">Categorienormen!$C$35</definedName>
    <definedName name="catfd_1_ERHB_1">Categorienormen!$C$36</definedName>
    <definedName name="catfd_1_ERHV_51">Categorienormen!$C$37</definedName>
    <definedName name="catfd_1_GFHB_1">Categorienormen!$C$38</definedName>
    <definedName name="catfd_1_GFHV_51">Categorienormen!$C$39</definedName>
    <definedName name="catfd_1_GSHB_1">Categorienormen!$C$40</definedName>
    <definedName name="catfd_1_GSHV_51">Categorienormen!$C$41</definedName>
    <definedName name="catfd_1_LLHB_1">Categorienormen!$C$20</definedName>
    <definedName name="catfd_1_LLHV_51">Categorienormen!$C$21</definedName>
    <definedName name="catfd_1_LOHB_1">Categorienormen!$C$22</definedName>
    <definedName name="catfd_1_LOHV_51">Categorienormen!$C$23</definedName>
    <definedName name="catfd_1_MAHB_1">Categorienormen!$C$42</definedName>
    <definedName name="catfd_1_MAHV_51">Categorienormen!$C$43</definedName>
    <definedName name="catfd_1_RKHB_1">Categorienormen!$C$44</definedName>
    <definedName name="catfd_1_RKHV_51">Categorienormen!$C$45</definedName>
    <definedName name="catfd_1_RPHB_1">Categorienormen!$C$46</definedName>
    <definedName name="catfd_1_RPHV_51">Categorienormen!$C$47</definedName>
    <definedName name="catfd_1_RRHB_1">Categorienormen!$C$48</definedName>
    <definedName name="catfd_1_RRHV_51">Categorienormen!$C$49</definedName>
    <definedName name="catfd_1_RRZB_1">Categorienormen!$C$50</definedName>
    <definedName name="catfd_1_RRZV_51">Categorienormen!$C$51</definedName>
    <definedName name="catfd_1_SDHB_1">Categorienormen!$C$26</definedName>
    <definedName name="catfd_1_SDHV_51">Categorienormen!$C$27</definedName>
    <definedName name="catfd_1_SKHB_1">Categorienormen!$C$28</definedName>
    <definedName name="catfd_1_SKHV_51">Categorienormen!$C$29</definedName>
    <definedName name="catfd_1_STHB_1">Categorienormen!$C$30</definedName>
    <definedName name="catfd_1_STHV_51">Categorienormen!$C$31</definedName>
    <definedName name="catfd_1_SWHB_1">Categorienormen!$C$32</definedName>
    <definedName name="catfd_1_SWHV_51">Categorienormen!$C$33</definedName>
    <definedName name="catfd_1_VAHB_1">Categorienormen!$C$52</definedName>
    <definedName name="catfd_1_VAHV_51">Categorienormen!$C$53</definedName>
    <definedName name="catfd_1_VAZB_1">Categorienormen!$C$54</definedName>
    <definedName name="catfd_1_VAZV_51">Categorienormen!$C$55</definedName>
    <definedName name="catfd_1_VEHV_51">Categorienormen!$C$56</definedName>
    <definedName name="catfd_1_VEZB_1">Categorienormen!$C$57</definedName>
    <definedName name="catfd_1_VEZV_51">Categorienormen!$C$58</definedName>
    <definedName name="catfd_1_VLHB_1">Categorienormen!$C$59</definedName>
    <definedName name="catfd_1_VLHV_51">Categorienormen!$C$60</definedName>
    <definedName name="catfd_1_VOHB_1">Categorienormen!$C$61</definedName>
    <definedName name="catfd_1_VOHV_51">Categorienormen!$C$62</definedName>
    <definedName name="catfd_1_VOZB_1">Categorienormen!$C$63</definedName>
    <definedName name="catfd_1_VOZV_51">Categorienormen!$C$64</definedName>
    <definedName name="catfd_1_VSHB_1">Categorienormen!$C$65</definedName>
    <definedName name="catfd_1_VSHV_51">Categorienormen!$C$66</definedName>
    <definedName name="catfd_1_VTHB_1">Categorienormen!$C$67</definedName>
    <definedName name="catfd_1_VTHV_51">Categorienormen!$C$68</definedName>
    <definedName name="catpn_1_BBHB_1">Categorienormen!$E$24</definedName>
    <definedName name="catpn_1_BBZV_51">Categorienormen!$E$25</definedName>
    <definedName name="catpn_1_BCZB_1">Categorienormen!$E$6</definedName>
    <definedName name="catpn_1_BCZV_51">Categorienormen!$E$7</definedName>
    <definedName name="catpn_1_BKHB_1">Categorienormen!$E$8</definedName>
    <definedName name="catpn_1_BKHV_51">Categorienormen!$E$9</definedName>
    <definedName name="catpn_1_BKZB_1">Categorienormen!$E$10</definedName>
    <definedName name="catpn_1_BKZV_51">Categorienormen!$E$11</definedName>
    <definedName name="catpn_1_BRHB_1">Categorienormen!$E$12</definedName>
    <definedName name="catpn_1_BRHV_51">Categorienormen!$E$13</definedName>
    <definedName name="catpn_1_BRZB_1">Categorienormen!$E$14</definedName>
    <definedName name="catpn_1_BRZV_51">Categorienormen!$E$15</definedName>
    <definedName name="catpn_1_BVHB_1">Categorienormen!$E$16</definedName>
    <definedName name="catpn_1_BVHB_51">Categorienormen!$E$17</definedName>
    <definedName name="catpn_1_BVZB_1">Categorienormen!$E$18</definedName>
    <definedName name="catpn_1_BVZV_51">Categorienormen!$E$19</definedName>
    <definedName name="catpn_1_EAHB_1">Categorienormen!$E$34</definedName>
    <definedName name="catpn_1_EAHV_51">Categorienormen!$E$35</definedName>
    <definedName name="catpn_1_ERHB_1">Categorienormen!$E$36</definedName>
    <definedName name="catpn_1_ERHV_51">Categorienormen!$E$37</definedName>
    <definedName name="catpn_1_GFHB_1">Categorienormen!$E$38</definedName>
    <definedName name="catpn_1_GFHV_51">Categorienormen!$E$39</definedName>
    <definedName name="catpn_1_GSHB_1">Categorienormen!$E$40</definedName>
    <definedName name="catpn_1_GSHV_51">Categorienormen!$E$41</definedName>
    <definedName name="catpn_1_LLHB_1">Categorienormen!$E$20</definedName>
    <definedName name="catpn_1_LLHV_51">Categorienormen!$E$21</definedName>
    <definedName name="catpn_1_LOHB_1">Categorienormen!$E$22</definedName>
    <definedName name="catpn_1_LOHV_51">Categorienormen!$E$23</definedName>
    <definedName name="catpn_1_MAHB_1">Categorienormen!$E$42</definedName>
    <definedName name="catpn_1_MAHV_51">Categorienormen!$E$43</definedName>
    <definedName name="catpn_1_RKHB_1">Categorienormen!$E$44</definedName>
    <definedName name="catpn_1_RKHV_51">Categorienormen!$E$45</definedName>
    <definedName name="catpn_1_RPHB_1">Categorienormen!$E$46</definedName>
    <definedName name="catpn_1_RPHV_51">Categorienormen!$E$47</definedName>
    <definedName name="catpn_1_RRHB_1">Categorienormen!$E$48</definedName>
    <definedName name="catpn_1_RRHV_51">Categorienormen!$E$49</definedName>
    <definedName name="catpn_1_RRZB_1">Categorienormen!$E$50</definedName>
    <definedName name="catpn_1_RRZV_51">Categorienormen!$E$51</definedName>
    <definedName name="catpn_1_SDHB_1">Categorienormen!$E$26</definedName>
    <definedName name="catpn_1_SDHV_51">Categorienormen!$E$27</definedName>
    <definedName name="catpn_1_SKHB_1">Categorienormen!$E$28</definedName>
    <definedName name="catpn_1_SKHV_51">Categorienormen!$E$29</definedName>
    <definedName name="catpn_1_STHB_1">Categorienormen!$E$30</definedName>
    <definedName name="catpn_1_STHV_51">Categorienormen!$E$31</definedName>
    <definedName name="catpn_1_SWHB_1">Categorienormen!$E$32</definedName>
    <definedName name="catpn_1_SWHV_51">Categorienormen!$E$33</definedName>
    <definedName name="catpn_1_VAHB_1">Categorienormen!$E$52</definedName>
    <definedName name="catpn_1_VAHV_51">Categorienormen!$E$53</definedName>
    <definedName name="catpn_1_VAZB_1">Categorienormen!$E$54</definedName>
    <definedName name="catpn_1_VAZV_51">Categorienormen!$E$55</definedName>
    <definedName name="catpn_1_VEHV_51">Categorienormen!$E$56</definedName>
    <definedName name="catpn_1_VEZB_1">Categorienormen!$E$57</definedName>
    <definedName name="catpn_1_VEZV_51">Categorienormen!$E$58</definedName>
    <definedName name="catpn_1_VLHB_1">Categorienormen!$E$59</definedName>
    <definedName name="catpn_1_VLHV_51">Categorienormen!$E$60</definedName>
    <definedName name="catpn_1_VOHB_1">Categorienormen!$E$61</definedName>
    <definedName name="catpn_1_VOHV_51">Categorienormen!$E$62</definedName>
    <definedName name="catpn_1_VOZB_1">Categorienormen!$E$63</definedName>
    <definedName name="catpn_1_VOZV_51">Categorienormen!$E$64</definedName>
    <definedName name="catpn_1_VSHB_1">Categorienormen!$E$65</definedName>
    <definedName name="catpn_1_VSHV_51">Categorienormen!$E$66</definedName>
    <definedName name="catpn_1_VTHB_1">Categorienormen!$E$67</definedName>
    <definedName name="catpn_1_VTHV_51">Categorienormen!$E$68</definedName>
    <definedName name="cattf_1_BBHB_1">Categorienormen!$H$24</definedName>
    <definedName name="cattf_1_BBZV_51">Categorienormen!$H$25</definedName>
    <definedName name="cattf_1_BCZB_1">Categorienormen!$H$6</definedName>
    <definedName name="cattf_1_BCZV_51">Categorienormen!$H$7</definedName>
    <definedName name="cattf_1_BKHB_1">Categorienormen!$H$8</definedName>
    <definedName name="cattf_1_BKHV_51">Categorienormen!$H$9</definedName>
    <definedName name="cattf_1_BKZB_1">Categorienormen!$H$10</definedName>
    <definedName name="cattf_1_BKZV_51">Categorienormen!$H$11</definedName>
    <definedName name="cattf_1_BRHB_1">Categorienormen!$H$12</definedName>
    <definedName name="cattf_1_BRHV_51">Categorienormen!$H$13</definedName>
    <definedName name="cattf_1_BRZB_1">Categorienormen!$H$14</definedName>
    <definedName name="cattf_1_BRZV_51">Categorienormen!$H$15</definedName>
    <definedName name="cattf_1_BVHB_1">Categorienormen!$H$16</definedName>
    <definedName name="cattf_1_BVHB_51">Categorienormen!$H$17</definedName>
    <definedName name="cattf_1_BVZB_1">Categorienormen!$H$18</definedName>
    <definedName name="cattf_1_BVZV_51">Categorienormen!$H$19</definedName>
    <definedName name="cattf_1_EAHB_1">Categorienormen!$H$34</definedName>
    <definedName name="cattf_1_EAHV_51">Categorienormen!$H$35</definedName>
    <definedName name="cattf_1_ERHB_1">Categorienormen!$H$36</definedName>
    <definedName name="cattf_1_ERHV_51">Categorienormen!$H$37</definedName>
    <definedName name="cattf_1_GFHB_1">Categorienormen!$H$38</definedName>
    <definedName name="cattf_1_GFHV_51">Categorienormen!$H$39</definedName>
    <definedName name="cattf_1_GSHB_1">Categorienormen!$H$40</definedName>
    <definedName name="cattf_1_GSHV_51">Categorienormen!$H$41</definedName>
    <definedName name="cattf_1_LLHB_1">Categorienormen!$H$20</definedName>
    <definedName name="cattf_1_LLHV_51">Categorienormen!$H$21</definedName>
    <definedName name="cattf_1_LOHB_1">Categorienormen!$H$22</definedName>
    <definedName name="cattf_1_LOHV_51">Categorienormen!$H$23</definedName>
    <definedName name="cattf_1_MAHB_1">Categorienormen!$H$42</definedName>
    <definedName name="cattf_1_MAHV_51">Categorienormen!$H$43</definedName>
    <definedName name="cattf_1_RKHB_1">Categorienormen!$H$44</definedName>
    <definedName name="cattf_1_RKHV_51">Categorienormen!$H$45</definedName>
    <definedName name="cattf_1_RPHB_1">Categorienormen!$H$46</definedName>
    <definedName name="cattf_1_RPHV_51">Categorienormen!$H$47</definedName>
    <definedName name="cattf_1_RRHB_1">Categorienormen!$H$48</definedName>
    <definedName name="cattf_1_RRHV_51">Categorienormen!$H$49</definedName>
    <definedName name="cattf_1_RRZB_1">Categorienormen!$H$50</definedName>
    <definedName name="cattf_1_RRZV_51">Categorienormen!$H$51</definedName>
    <definedName name="cattf_1_SDHB_1">Categorienormen!$H$26</definedName>
    <definedName name="cattf_1_SDHV_51">Categorienormen!$H$27</definedName>
    <definedName name="cattf_1_SKHB_1">Categorienormen!$H$28</definedName>
    <definedName name="cattf_1_SKHV_51">Categorienormen!$H$29</definedName>
    <definedName name="cattf_1_STHB_1">Categorienormen!$H$30</definedName>
    <definedName name="cattf_1_STHV_51">Categorienormen!$H$31</definedName>
    <definedName name="cattf_1_SWHB_1">Categorienormen!$H$32</definedName>
    <definedName name="cattf_1_SWHV_51">Categorienormen!$H$33</definedName>
    <definedName name="cattf_1_VAHB_1">Categorienormen!$H$52</definedName>
    <definedName name="cattf_1_VAHV_51">Categorienormen!$H$53</definedName>
    <definedName name="cattf_1_VAZB_1">Categorienormen!$H$54</definedName>
    <definedName name="cattf_1_VAZV_51">Categorienormen!$H$55</definedName>
    <definedName name="cattf_1_VEHV_51">Categorienormen!$H$56</definedName>
    <definedName name="cattf_1_VEZB_1">Categorienormen!$H$57</definedName>
    <definedName name="cattf_1_VEZV_51">Categorienormen!$H$58</definedName>
    <definedName name="cattf_1_VLHB_1">Categorienormen!$H$59</definedName>
    <definedName name="cattf_1_VLHV_51">Categorienormen!$H$60</definedName>
    <definedName name="cattf_1_VOHB_1">Categorienormen!$H$61</definedName>
    <definedName name="cattf_1_VOHV_51">Categorienormen!$H$62</definedName>
    <definedName name="cattf_1_VOZB_1">Categorienormen!$H$63</definedName>
    <definedName name="cattf_1_VOZV_51">Categorienormen!$H$64</definedName>
    <definedName name="cattf_1_VSHB_1">Categorienormen!$H$65</definedName>
    <definedName name="cattf_1_VSHV_51">Categorienormen!$H$66</definedName>
    <definedName name="cattf_1_VTHB_1">Categorienormen!$H$67</definedName>
    <definedName name="cattf_1_VTHV_51">Categorienormen!$H$68</definedName>
    <definedName name="dagenperjaar1">Omreken!$B$9</definedName>
    <definedName name="dagenperweek1">Omreken!$B$10</definedName>
    <definedName name="dagsoorttabel1">Omreken!$A$13:$B$25</definedName>
    <definedName name="gemuurtarief1">'Regulier werk'!$I$85</definedName>
    <definedName name="kengetaltabel1">Objectinformatie!$G$5:$G$81</definedName>
    <definedName name="object1_gemuurtarief1">'Ruimten werkdag'!$O$25</definedName>
    <definedName name="object1_opptabel1">Objectinformatie!$I$5:$I$81</definedName>
    <definedName name="object1_prijsdag1">'Ruimten werkdag'!$Q$25</definedName>
    <definedName name="object1_prijsjaar1">'Ruimten werkdag'!$S$25</definedName>
    <definedName name="object1_urendag1">'Ruimten werkdag'!$P$25</definedName>
    <definedName name="object1_urenjaar1">'Ruimten werkdag'!$R$25</definedName>
    <definedName name="object10_gemuurtarief1">'Ruimten werkdag'!$O$278</definedName>
    <definedName name="object10_opptabel1">Objectinformatie!$R$5:$R$81</definedName>
    <definedName name="object10_prijsdag1">'Ruimten werkdag'!$Q$278</definedName>
    <definedName name="object10_prijsjaar1">'Ruimten werkdag'!$S$278</definedName>
    <definedName name="object10_urendag1">'Ruimten werkdag'!$P$278</definedName>
    <definedName name="object10_urenjaar1">'Ruimten werkdag'!$R$278</definedName>
    <definedName name="object11_gemuurtarief1">'Ruimten werkdag'!$O$299</definedName>
    <definedName name="object11_opptabel1">Objectinformatie!$S$5:$S$81</definedName>
    <definedName name="object11_prijsdag1">'Ruimten werkdag'!$Q$299</definedName>
    <definedName name="object11_prijsjaar1">'Ruimten werkdag'!$S$299</definedName>
    <definedName name="object11_urendag1">'Ruimten werkdag'!$P$299</definedName>
    <definedName name="object11_urenjaar1">'Ruimten werkdag'!$R$299</definedName>
    <definedName name="object12_gemuurtarief1">'Ruimten werkdag'!$O$316</definedName>
    <definedName name="object12_opptabel1">Objectinformatie!$T$5:$T$81</definedName>
    <definedName name="object12_prijsdag1">'Ruimten werkdag'!$Q$316</definedName>
    <definedName name="object12_prijsjaar1">'Ruimten werkdag'!$S$316</definedName>
    <definedName name="object12_urendag1">'Ruimten werkdag'!$P$316</definedName>
    <definedName name="object12_urenjaar1">'Ruimten werkdag'!$R$316</definedName>
    <definedName name="object13_gemuurtarief1">'Ruimten werkdag'!$O$556</definedName>
    <definedName name="object13_opptabel1">Objectinformatie!$U$5:$U$81</definedName>
    <definedName name="object13_prijsdag1">'Ruimten werkdag'!$Q$556</definedName>
    <definedName name="object13_prijsjaar1">'Ruimten werkdag'!$S$556</definedName>
    <definedName name="object13_urendag1">'Ruimten werkdag'!$P$556</definedName>
    <definedName name="object13_urenjaar1">'Ruimten werkdag'!$R$556</definedName>
    <definedName name="object14_gemuurtarief1">'Ruimten werkdag'!$O$572</definedName>
    <definedName name="object14_opptabel1">Objectinformatie!$V$5:$V$81</definedName>
    <definedName name="object14_prijsdag1">'Ruimten werkdag'!$Q$572</definedName>
    <definedName name="object14_prijsjaar1">'Ruimten werkdag'!$S$572</definedName>
    <definedName name="object14_urendag1">'Ruimten werkdag'!$P$572</definedName>
    <definedName name="object14_urenjaar1">'Ruimten werkdag'!$R$572</definedName>
    <definedName name="object15_gemuurtarief1">'Ruimten werkdag'!$O$588</definedName>
    <definedName name="object15_opptabel1">Objectinformatie!$W$5:$W$81</definedName>
    <definedName name="object15_prijsdag1">'Ruimten werkdag'!$Q$588</definedName>
    <definedName name="object15_prijsjaar1">'Ruimten werkdag'!$S$588</definedName>
    <definedName name="object15_urendag1">'Ruimten werkdag'!$P$588</definedName>
    <definedName name="object15_urenjaar1">'Ruimten werkdag'!$R$588</definedName>
    <definedName name="object16_gemuurtarief1">'Ruimten werkdag'!$O$626</definedName>
    <definedName name="object16_opptabel1">Objectinformatie!$X$5:$X$81</definedName>
    <definedName name="object16_prijsdag1">'Ruimten werkdag'!$Q$626</definedName>
    <definedName name="object16_prijsjaar1">'Ruimten werkdag'!$S$626</definedName>
    <definedName name="object16_urendag1">'Ruimten werkdag'!$P$626</definedName>
    <definedName name="object16_urenjaar1">'Ruimten werkdag'!$R$626</definedName>
    <definedName name="object17_gemuurtarief1">'Ruimten werkdag'!$O$645</definedName>
    <definedName name="object17_opptabel1">Objectinformatie!$Y$5:$Y$81</definedName>
    <definedName name="object17_prijsdag1">'Ruimten werkdag'!$Q$645</definedName>
    <definedName name="object17_prijsjaar1">'Ruimten werkdag'!$S$645</definedName>
    <definedName name="object17_urendag1">'Ruimten werkdag'!$P$645</definedName>
    <definedName name="object17_urenjaar1">'Ruimten werkdag'!$R$645</definedName>
    <definedName name="object18_gemuurtarief1">'Ruimten werkdag'!$O$675</definedName>
    <definedName name="object18_opptabel1">Objectinformatie!$Z$5:$Z$81</definedName>
    <definedName name="object18_prijsdag1">'Ruimten werkdag'!$Q$675</definedName>
    <definedName name="object18_prijsjaar1">'Ruimten werkdag'!$S$675</definedName>
    <definedName name="object18_urendag1">'Ruimten werkdag'!$P$675</definedName>
    <definedName name="object18_urenjaar1">'Ruimten werkdag'!$R$675</definedName>
    <definedName name="object19_gemuurtarief1">'Ruimten werkdag'!$O$706</definedName>
    <definedName name="object19_opptabel1">Objectinformatie!$AA$5:$AA$81</definedName>
    <definedName name="object19_prijsdag1">'Ruimten werkdag'!$Q$706</definedName>
    <definedName name="object19_prijsjaar1">'Ruimten werkdag'!$S$706</definedName>
    <definedName name="object19_urendag1">'Ruimten werkdag'!$P$706</definedName>
    <definedName name="object19_urenjaar1">'Ruimten werkdag'!$R$706</definedName>
    <definedName name="object2_gemuurtarief1">'Ruimten werkdag'!$O$50</definedName>
    <definedName name="object2_opptabel1">Objectinformatie!$J$5:$J$81</definedName>
    <definedName name="object2_prijsdag1">'Ruimten werkdag'!$Q$50</definedName>
    <definedName name="object2_prijsjaar1">'Ruimten werkdag'!$S$50</definedName>
    <definedName name="object2_urendag1">'Ruimten werkdag'!$P$50</definedName>
    <definedName name="object2_urenjaar1">'Ruimten werkdag'!$R$50</definedName>
    <definedName name="object20_gemuurtarief1">'Ruimten werkdag'!$O$722</definedName>
    <definedName name="object20_opptabel1">Objectinformatie!$AB$5:$AB$81</definedName>
    <definedName name="object20_prijsdag1">'Ruimten werkdag'!$Q$722</definedName>
    <definedName name="object20_prijsjaar1">'Ruimten werkdag'!$S$722</definedName>
    <definedName name="object20_urendag1">'Ruimten werkdag'!$P$722</definedName>
    <definedName name="object20_urenjaar1">'Ruimten werkdag'!$R$722</definedName>
    <definedName name="object21_gemuurtarief1">'Ruimten werkdag'!$O$751</definedName>
    <definedName name="object21_opptabel1">Objectinformatie!$AC$5:$AC$81</definedName>
    <definedName name="object21_prijsdag1">'Ruimten werkdag'!$Q$751</definedName>
    <definedName name="object21_prijsjaar1">'Ruimten werkdag'!$S$751</definedName>
    <definedName name="object21_urendag1">'Ruimten werkdag'!$P$751</definedName>
    <definedName name="object21_urenjaar1">'Ruimten werkdag'!$R$751</definedName>
    <definedName name="object22_gemuurtarief1">'Ruimten werkdag'!$O$768</definedName>
    <definedName name="object22_opptabel1">Objectinformatie!$AD$5:$AD$81</definedName>
    <definedName name="object22_prijsdag1">'Ruimten werkdag'!$Q$768</definedName>
    <definedName name="object22_prijsjaar1">'Ruimten werkdag'!$S$768</definedName>
    <definedName name="object22_urendag1">'Ruimten werkdag'!$P$768</definedName>
    <definedName name="object22_urenjaar1">'Ruimten werkdag'!$R$768</definedName>
    <definedName name="object23_gemuurtarief1">'Ruimten werkdag'!$O$799</definedName>
    <definedName name="object23_opptabel1">Objectinformatie!$AE$5:$AE$81</definedName>
    <definedName name="object23_prijsdag1">'Ruimten werkdag'!$Q$799</definedName>
    <definedName name="object23_prijsjaar1">'Ruimten werkdag'!$S$799</definedName>
    <definedName name="object23_urendag1">'Ruimten werkdag'!$P$799</definedName>
    <definedName name="object23_urenjaar1">'Ruimten werkdag'!$R$799</definedName>
    <definedName name="object24_gemuurtarief1">'Ruimten werkdag'!$O$913</definedName>
    <definedName name="object24_opptabel1">Objectinformatie!$AF$5:$AF$81</definedName>
    <definedName name="object24_prijsdag1">'Ruimten werkdag'!$Q$913</definedName>
    <definedName name="object24_prijsjaar1">'Ruimten werkdag'!$S$913</definedName>
    <definedName name="object24_urendag1">'Ruimten werkdag'!$P$913</definedName>
    <definedName name="object24_urenjaar1">'Ruimten werkdag'!$R$913</definedName>
    <definedName name="object25_gemuurtarief1">'Ruimten werkdag'!$O$939</definedName>
    <definedName name="object25_opptabel1">Objectinformatie!$AG$5:$AG$81</definedName>
    <definedName name="object25_prijsdag1">'Ruimten werkdag'!$Q$939</definedName>
    <definedName name="object25_prijsjaar1">'Ruimten werkdag'!$S$939</definedName>
    <definedName name="object25_urendag1">'Ruimten werkdag'!$P$939</definedName>
    <definedName name="object25_urenjaar1">'Ruimten werkdag'!$R$939</definedName>
    <definedName name="object26_gemuurtarief1">'Ruimten werkdag'!$O$975</definedName>
    <definedName name="object26_opptabel1">Objectinformatie!$AH$5:$AH$81</definedName>
    <definedName name="object26_prijsdag1">'Ruimten werkdag'!$Q$975</definedName>
    <definedName name="object26_prijsjaar1">'Ruimten werkdag'!$S$975</definedName>
    <definedName name="object26_urendag1">'Ruimten werkdag'!$P$975</definedName>
    <definedName name="object26_urenjaar1">'Ruimten werkdag'!$R$975</definedName>
    <definedName name="object27_gemuurtarief1">'Ruimten werkdag'!$O$1020</definedName>
    <definedName name="object27_opptabel1">Objectinformatie!$AI$5:$AI$81</definedName>
    <definedName name="object27_prijsdag1">'Ruimten werkdag'!$Q$1020</definedName>
    <definedName name="object27_prijsjaar1">'Ruimten werkdag'!$S$1020</definedName>
    <definedName name="object27_urendag1">'Ruimten werkdag'!$P$1020</definedName>
    <definedName name="object27_urenjaar1">'Ruimten werkdag'!$R$1020</definedName>
    <definedName name="object28_gemuurtarief1">'Ruimten werkdag'!$O$1045</definedName>
    <definedName name="object28_opptabel1">Objectinformatie!$AJ$5:$AJ$81</definedName>
    <definedName name="object28_prijsdag1">'Ruimten werkdag'!$Q$1045</definedName>
    <definedName name="object28_prijsjaar1">'Ruimten werkdag'!$S$1045</definedName>
    <definedName name="object28_urendag1">'Ruimten werkdag'!$P$1045</definedName>
    <definedName name="object28_urenjaar1">'Ruimten werkdag'!$R$1045</definedName>
    <definedName name="object29_gemuurtarief1">'Ruimten werkdag'!$O$1077</definedName>
    <definedName name="object29_opptabel1">Objectinformatie!$AK$5:$AK$81</definedName>
    <definedName name="object29_prijsdag1">'Ruimten werkdag'!$Q$1077</definedName>
    <definedName name="object29_prijsjaar1">'Ruimten werkdag'!$S$1077</definedName>
    <definedName name="object29_urendag1">'Ruimten werkdag'!$P$1077</definedName>
    <definedName name="object29_urenjaar1">'Ruimten werkdag'!$R$1077</definedName>
    <definedName name="object3_gemuurtarief1">'Ruimten werkdag'!$O$89</definedName>
    <definedName name="object3_opptabel1">Objectinformatie!$K$5:$K$81</definedName>
    <definedName name="object3_prijsdag1">'Ruimten werkdag'!$Q$89</definedName>
    <definedName name="object3_prijsjaar1">'Ruimten werkdag'!$S$89</definedName>
    <definedName name="object3_urendag1">'Ruimten werkdag'!$P$89</definedName>
    <definedName name="object3_urenjaar1">'Ruimten werkdag'!$R$89</definedName>
    <definedName name="object30_gemuurtarief1">'Ruimten werkdag'!$O$1101</definedName>
    <definedName name="object30_opptabel1">Objectinformatie!$AL$5:$AL$81</definedName>
    <definedName name="object30_prijsdag1">'Ruimten werkdag'!$Q$1101</definedName>
    <definedName name="object30_prijsjaar1">'Ruimten werkdag'!$S$1101</definedName>
    <definedName name="object30_urendag1">'Ruimten werkdag'!$P$1101</definedName>
    <definedName name="object30_urenjaar1">'Ruimten werkdag'!$R$1101</definedName>
    <definedName name="object31_gemuurtarief1">'Ruimten werkdag'!$O$1120</definedName>
    <definedName name="object31_opptabel1">Objectinformatie!$AM$5:$AM$81</definedName>
    <definedName name="object31_prijsdag1">'Ruimten werkdag'!$Q$1120</definedName>
    <definedName name="object31_prijsjaar1">'Ruimten werkdag'!$S$1120</definedName>
    <definedName name="object31_urendag1">'Ruimten werkdag'!$P$1120</definedName>
    <definedName name="object31_urenjaar1">'Ruimten werkdag'!$R$1120</definedName>
    <definedName name="object32_gemuurtarief1">'Ruimten werkdag'!$O$1139</definedName>
    <definedName name="object32_opptabel1">Objectinformatie!$AN$5:$AN$81</definedName>
    <definedName name="object32_prijsdag1">'Ruimten werkdag'!$Q$1139</definedName>
    <definedName name="object32_prijsjaar1">'Ruimten werkdag'!$S$1139</definedName>
    <definedName name="object32_urendag1">'Ruimten werkdag'!$P$1139</definedName>
    <definedName name="object32_urenjaar1">'Ruimten werkdag'!$R$1139</definedName>
    <definedName name="object33_gemuurtarief1">'Ruimten werkdag'!$O$1170</definedName>
    <definedName name="object33_opptabel1">Objectinformatie!$AO$5:$AO$81</definedName>
    <definedName name="object33_prijsdag1">'Ruimten werkdag'!$Q$1170</definedName>
    <definedName name="object33_prijsjaar1">'Ruimten werkdag'!$S$1170</definedName>
    <definedName name="object33_urendag1">'Ruimten werkdag'!$P$1170</definedName>
    <definedName name="object33_urenjaar1">'Ruimten werkdag'!$R$1170</definedName>
    <definedName name="object34_gemuurtarief1">'Ruimten werkdag'!$O$1199</definedName>
    <definedName name="object34_opptabel1">Objectinformatie!$AP$5:$AP$81</definedName>
    <definedName name="object34_prijsdag1">'Ruimten werkdag'!$Q$1199</definedName>
    <definedName name="object34_prijsjaar1">'Ruimten werkdag'!$S$1199</definedName>
    <definedName name="object34_urendag1">'Ruimten werkdag'!$P$1199</definedName>
    <definedName name="object34_urenjaar1">'Ruimten werkdag'!$R$1199</definedName>
    <definedName name="object35_gemuurtarief1">'Ruimten werkdag'!$O$1212</definedName>
    <definedName name="object35_opptabel1">Objectinformatie!$AQ$5:$AQ$81</definedName>
    <definedName name="object35_prijsdag1">'Ruimten werkdag'!$Q$1212</definedName>
    <definedName name="object35_prijsjaar1">'Ruimten werkdag'!$S$1212</definedName>
    <definedName name="object35_urendag1">'Ruimten werkdag'!$P$1212</definedName>
    <definedName name="object35_urenjaar1">'Ruimten werkdag'!$R$1212</definedName>
    <definedName name="object36_gemuurtarief1">'Ruimten werkdag'!$O$1231</definedName>
    <definedName name="object36_opptabel1">Objectinformatie!$AR$5:$AR$81</definedName>
    <definedName name="object36_prijsdag1">'Ruimten werkdag'!$Q$1231</definedName>
    <definedName name="object36_prijsjaar1">'Ruimten werkdag'!$S$1231</definedName>
    <definedName name="object36_urendag1">'Ruimten werkdag'!$P$1231</definedName>
    <definedName name="object36_urenjaar1">'Ruimten werkdag'!$R$1231</definedName>
    <definedName name="object4_gemuurtarief1">'Ruimten werkdag'!$O$121</definedName>
    <definedName name="object4_opptabel1">Objectinformatie!$L$5:$L$81</definedName>
    <definedName name="object4_prijsdag1">'Ruimten werkdag'!$Q$121</definedName>
    <definedName name="object4_prijsjaar1">'Ruimten werkdag'!$S$121</definedName>
    <definedName name="object4_urendag1">'Ruimten werkdag'!$P$121</definedName>
    <definedName name="object4_urenjaar1">'Ruimten werkdag'!$R$121</definedName>
    <definedName name="object5_gemuurtarief1">'Ruimten werkdag'!$O$149</definedName>
    <definedName name="object5_opptabel1">Objectinformatie!$M$5:$M$81</definedName>
    <definedName name="object5_prijsdag1">'Ruimten werkdag'!$Q$149</definedName>
    <definedName name="object5_prijsjaar1">'Ruimten werkdag'!$S$149</definedName>
    <definedName name="object5_urendag1">'Ruimten werkdag'!$P$149</definedName>
    <definedName name="object5_urenjaar1">'Ruimten werkdag'!$R$149</definedName>
    <definedName name="object6_gemuurtarief1">'Ruimten werkdag'!$O$180</definedName>
    <definedName name="object6_opptabel1">Objectinformatie!$N$5:$N$81</definedName>
    <definedName name="object6_prijsdag1">'Ruimten werkdag'!$Q$180</definedName>
    <definedName name="object6_prijsjaar1">'Ruimten werkdag'!$S$180</definedName>
    <definedName name="object6_urendag1">'Ruimten werkdag'!$P$180</definedName>
    <definedName name="object6_urenjaar1">'Ruimten werkdag'!$R$180</definedName>
    <definedName name="object7_gemuurtarief1">'Ruimten werkdag'!$O$212</definedName>
    <definedName name="object7_opptabel1">Objectinformatie!$O$5:$O$81</definedName>
    <definedName name="object7_prijsdag1">'Ruimten werkdag'!$Q$212</definedName>
    <definedName name="object7_prijsjaar1">'Ruimten werkdag'!$S$212</definedName>
    <definedName name="object7_urendag1">'Ruimten werkdag'!$P$212</definedName>
    <definedName name="object7_urenjaar1">'Ruimten werkdag'!$R$212</definedName>
    <definedName name="object8_gemuurtarief1">'Ruimten werkdag'!$O$246</definedName>
    <definedName name="object8_opptabel1">Objectinformatie!$P$5:$P$81</definedName>
    <definedName name="object8_prijsdag1">'Ruimten werkdag'!$Q$246</definedName>
    <definedName name="object8_prijsjaar1">'Ruimten werkdag'!$S$246</definedName>
    <definedName name="object8_urendag1">'Ruimten werkdag'!$P$246</definedName>
    <definedName name="object8_urenjaar1">'Ruimten werkdag'!$R$246</definedName>
    <definedName name="object9_gemuurtarief1">'Ruimten werkdag'!$O$263</definedName>
    <definedName name="object9_opptabel1">Objectinformatie!$Q$5:$Q$81</definedName>
    <definedName name="object9_prijsdag1">'Ruimten werkdag'!$Q$263</definedName>
    <definedName name="object9_prijsjaar1">'Ruimten werkdag'!$S$263</definedName>
    <definedName name="object9_urendag1">'Ruimten werkdag'!$P$263</definedName>
    <definedName name="object9_urenjaar1">'Ruimten werkdag'!$R$263</definedName>
    <definedName name="objectprijs1_1">Objecten!$N$6</definedName>
    <definedName name="objectprijs10_1">Objecten!$N$15</definedName>
    <definedName name="objectprijs11_1">Objecten!$N$16</definedName>
    <definedName name="objectprijs12_1">Objecten!$N$17</definedName>
    <definedName name="objectprijs13_1">Objecten!$N$18</definedName>
    <definedName name="objectprijs14_1">Objecten!$N$19</definedName>
    <definedName name="objectprijs15_1">Objecten!$N$20</definedName>
    <definedName name="objectprijs16_1">Objecten!$N$21</definedName>
    <definedName name="objectprijs17_1">Objecten!$N$22</definedName>
    <definedName name="objectprijs18_1">Objecten!$N$23</definedName>
    <definedName name="objectprijs19_1">Objecten!$N$24</definedName>
    <definedName name="objectprijs2_1">Objecten!$N$7</definedName>
    <definedName name="objectprijs20_1">Objecten!$N$25</definedName>
    <definedName name="objectprijs21_1">Objecten!$N$26</definedName>
    <definedName name="objectprijs22_1">Objecten!$N$27</definedName>
    <definedName name="objectprijs23_1">Objecten!$N$28</definedName>
    <definedName name="objectprijs24_1">Objecten!$N$29</definedName>
    <definedName name="objectprijs25_1">Objecten!$N$30</definedName>
    <definedName name="objectprijs26_1">Objecten!$N$31</definedName>
    <definedName name="objectprijs27_1">Objecten!$N$32</definedName>
    <definedName name="objectprijs28_1">Objecten!$N$33</definedName>
    <definedName name="objectprijs29_1">Objecten!$N$34</definedName>
    <definedName name="objectprijs3_1">Objecten!$N$8</definedName>
    <definedName name="objectprijs30_1">Objecten!$N$35</definedName>
    <definedName name="objectprijs31_1">Objecten!$N$36</definedName>
    <definedName name="objectprijs32_1">Objecten!$N$37</definedName>
    <definedName name="objectprijs33_1">Objecten!$N$38</definedName>
    <definedName name="objectprijs34_1">Objecten!$N$39</definedName>
    <definedName name="objectprijs35_1">Objecten!$N$40</definedName>
    <definedName name="objectprijs36_1">Objecten!$N$41</definedName>
    <definedName name="objectprijs4_1">Objecten!$N$9</definedName>
    <definedName name="objectprijs5_1">Objecten!$N$10</definedName>
    <definedName name="objectprijs6_1">Objecten!$N$11</definedName>
    <definedName name="objectprijs7_1">Objecten!$N$12</definedName>
    <definedName name="objectprijs8_1">Objecten!$N$13</definedName>
    <definedName name="objectprijs9_1">Objecten!$N$14</definedName>
    <definedName name="objecturen1_1">Objecten!$M$6</definedName>
    <definedName name="objecturen10_1">Objecten!$M$15</definedName>
    <definedName name="objecturen11_1">Objecten!$M$16</definedName>
    <definedName name="objecturen12_1">Objecten!$M$17</definedName>
    <definedName name="objecturen13_1">Objecten!$M$18</definedName>
    <definedName name="objecturen14_1">Objecten!$M$19</definedName>
    <definedName name="objecturen15_1">Objecten!$M$20</definedName>
    <definedName name="objecturen16_1">Objecten!$M$21</definedName>
    <definedName name="objecturen17_1">Objecten!$M$22</definedName>
    <definedName name="objecturen18_1">Objecten!$M$23</definedName>
    <definedName name="objecturen19_1">Objecten!$M$24</definedName>
    <definedName name="objecturen2_1">Objecten!$M$7</definedName>
    <definedName name="objecturen20_1">Objecten!$M$25</definedName>
    <definedName name="objecturen21_1">Objecten!$M$26</definedName>
    <definedName name="objecturen22_1">Objecten!$M$27</definedName>
    <definedName name="objecturen23_1">Objecten!$M$28</definedName>
    <definedName name="objecturen24_1">Objecten!$M$29</definedName>
    <definedName name="objecturen25_1">Objecten!$M$30</definedName>
    <definedName name="objecturen26_1">Objecten!$M$31</definedName>
    <definedName name="objecturen27_1">Objecten!$M$32</definedName>
    <definedName name="objecturen28_1">Objecten!$M$33</definedName>
    <definedName name="objecturen29_1">Objecten!$M$34</definedName>
    <definedName name="objecturen3_1">Objecten!$M$8</definedName>
    <definedName name="objecturen30_1">Objecten!$M$35</definedName>
    <definedName name="objecturen31_1">Objecten!$M$36</definedName>
    <definedName name="objecturen32_1">Objecten!$M$37</definedName>
    <definedName name="objecturen33_1">Objecten!$M$38</definedName>
    <definedName name="objecturen34_1">Objecten!$M$39</definedName>
    <definedName name="objecturen35_1">Objecten!$M$40</definedName>
    <definedName name="objecturen36_1">Objecten!$M$41</definedName>
    <definedName name="objecturen4_1">Objecten!$M$9</definedName>
    <definedName name="objecturen5_1">Objecten!$M$10</definedName>
    <definedName name="objecturen6_1">Objecten!$M$11</definedName>
    <definedName name="objecturen7_1">Objecten!$M$12</definedName>
    <definedName name="objecturen8_1">Objecten!$M$13</definedName>
    <definedName name="objecturen9_1">Objecten!$M$14</definedName>
    <definedName name="prijsdag1">'Regulier werk'!$K$83</definedName>
    <definedName name="prijsjaar">'Regulier werk'!$M$88</definedName>
    <definedName name="prijsjaar1">'Regulier werk'!$M$83</definedName>
    <definedName name="prijsjaaradditioneel">'Additioneel werk'!$K$9</definedName>
    <definedName name="prijsjaaradditioneel1">'Additioneel werk'!$K$7</definedName>
    <definedName name="prijsjaarglas">Glas!$K$51</definedName>
    <definedName name="prijsjaarglas1">Glas!$K$49</definedName>
    <definedName name="prijsjaarregie">Regiewerk!$K$12</definedName>
    <definedName name="prijsjaarregie1">Regiewerk!$K$10</definedName>
    <definedName name="prijsjaartotaal">Objecten!$N$45</definedName>
    <definedName name="prijsjaartotaal1">Objecten!$N$42</definedName>
    <definedName name="prijsjaartotaaloverzicht">'Totaalblad Objecten'!$F$41</definedName>
    <definedName name="prijsmaandtotaal1">Objecten!$O$42</definedName>
    <definedName name="prodnorm0">Glas!$H$18</definedName>
    <definedName name="prodnorm1">'Glas per locatie'!$I$219</definedName>
    <definedName name="prodnorm10">'Glas per locatie'!$I$147</definedName>
    <definedName name="prodnorm100">'Regulier werk'!$G$56</definedName>
    <definedName name="prodnorm101">'Regulier werk'!$G$57</definedName>
    <definedName name="prodnorm102">'Regulier werk'!$G$58</definedName>
    <definedName name="prodnorm103">'Regulier werk'!$G$59</definedName>
    <definedName name="prodnorm104">'Regulier werk'!$G$60</definedName>
    <definedName name="prodnorm105">'Regulier werk'!$G$61</definedName>
    <definedName name="prodnorm106">'Regulier werk'!$G$62</definedName>
    <definedName name="prodnorm107">'Regulier werk'!$G$63</definedName>
    <definedName name="prodnorm108">'Regulier werk'!$G$64</definedName>
    <definedName name="prodnorm109">'Regulier werk'!$G$65</definedName>
    <definedName name="prodnorm110">'Regulier werk'!$G$66</definedName>
    <definedName name="prodnorm111">'Regulier werk'!$G$67</definedName>
    <definedName name="prodnorm112">'Regulier werk'!$G$68</definedName>
    <definedName name="prodnorm113">'Regulier werk'!$G$69</definedName>
    <definedName name="prodnorm114">'Regulier werk'!$G$70</definedName>
    <definedName name="prodnorm115">'Regulier werk'!$G$71</definedName>
    <definedName name="prodnorm116">'Regulier werk'!$G$72</definedName>
    <definedName name="prodnorm117">'Regulier werk'!$G$73</definedName>
    <definedName name="prodnorm118">'Regulier werk'!$G$74</definedName>
    <definedName name="prodnorm119">'Regulier werk'!$G$75</definedName>
    <definedName name="prodnorm12">'Glas per locatie'!$I$148</definedName>
    <definedName name="prodnorm120">'Regulier werk'!$G$76</definedName>
    <definedName name="prodnorm121">'Regulier werk'!$G$77</definedName>
    <definedName name="prodnorm122">'Regulier werk'!$G$78</definedName>
    <definedName name="prodnorm123">'Regulier werk'!$G$79</definedName>
    <definedName name="prodnorm124">'Regulier werk'!$G$80</definedName>
    <definedName name="prodnorm125">'Regulier werk'!$G$81</definedName>
    <definedName name="prodnorm126">'Regulier werk'!$G$82</definedName>
    <definedName name="prodnorm13">'Glas per locatie'!$I$79</definedName>
    <definedName name="prodnorm14">'Glas per locatie'!$I$80</definedName>
    <definedName name="prodnorm15">'Glas per locatie'!$I$149</definedName>
    <definedName name="prodnorm16">'Glas per locatie'!$I$81</definedName>
    <definedName name="prodnorm17">'Glas per locatie'!$I$82</definedName>
    <definedName name="prodnorm18">'Glas per locatie'!$I$150</definedName>
    <definedName name="prodnorm19">'Glas per locatie'!$I$170</definedName>
    <definedName name="prodnorm2">'Glas per locatie'!$I$144</definedName>
    <definedName name="prodnorm21">'Glas per locatie'!$I$15</definedName>
    <definedName name="prodnorm22">'Glas per locatie'!$I$21</definedName>
    <definedName name="prodnorm23">'Glas per locatie'!$I$27</definedName>
    <definedName name="prodnorm24">'Glas per locatie'!$I$33</definedName>
    <definedName name="prodnorm25">'Glas per locatie'!$I$39</definedName>
    <definedName name="prodnorm26">'Glas per locatie'!$I$45</definedName>
    <definedName name="prodnorm27">'Glas per locatie'!$I$51</definedName>
    <definedName name="prodnorm28">'Glas per locatie'!$I$57</definedName>
    <definedName name="prodnorm3">'Glas per locatie'!$I$220</definedName>
    <definedName name="prodnorm30">'Glas per locatie'!$I$83</definedName>
    <definedName name="prodnorm31">'Glas per locatie'!$I$94</definedName>
    <definedName name="prodnorm32">'Glas per locatie'!$I$100</definedName>
    <definedName name="prodnorm33">'Glas per locatie'!$I$106</definedName>
    <definedName name="prodnorm34">'Glas per locatie'!$I$112</definedName>
    <definedName name="prodnorm35">'Glas per locatie'!$I$118</definedName>
    <definedName name="prodnorm36">'Glas per locatie'!$I$129</definedName>
    <definedName name="prodnorm37">'Glas per locatie'!$I$140</definedName>
    <definedName name="prodnorm38">'Glas per locatie'!$I$151</definedName>
    <definedName name="prodnorm39">'Glas per locatie'!$I$162</definedName>
    <definedName name="prodnorm4">'Glas per locatie'!$I$145</definedName>
    <definedName name="prodnorm40">'Glas per locatie'!$I$171</definedName>
    <definedName name="prodnorm41">'Glas per locatie'!$I$177</definedName>
    <definedName name="prodnorm42">'Glas per locatie'!$I$183</definedName>
    <definedName name="prodnorm43">'Glas per locatie'!$I$189</definedName>
    <definedName name="prodnorm44">'Glas per locatie'!$I$200</definedName>
    <definedName name="prodnorm45">'Glas per locatie'!$I$204</definedName>
    <definedName name="prodnorm46">'Glas per locatie'!$I$210</definedName>
    <definedName name="prodnorm47">'Glas per locatie'!$I$221</definedName>
    <definedName name="prodnorm48">'Additioneel werk per locatie'!$I$94</definedName>
    <definedName name="prodnorm50">'Regulier werk'!$G$6</definedName>
    <definedName name="prodnorm51">'Regulier werk'!$G$7</definedName>
    <definedName name="prodnorm52">'Regulier werk'!$G$8</definedName>
    <definedName name="prodnorm53">'Regulier werk'!$G$9</definedName>
    <definedName name="prodnorm54">'Regulier werk'!$G$10</definedName>
    <definedName name="prodnorm55">'Regulier werk'!$G$11</definedName>
    <definedName name="prodnorm56">'Regulier werk'!$G$12</definedName>
    <definedName name="prodnorm57">'Regulier werk'!$G$13</definedName>
    <definedName name="prodnorm58">'Regulier werk'!$G$14</definedName>
    <definedName name="prodnorm59">'Regulier werk'!$G$15</definedName>
    <definedName name="prodnorm6">'Glas per locatie'!$I$146</definedName>
    <definedName name="prodnorm60">'Regulier werk'!$G$16</definedName>
    <definedName name="prodnorm61">'Regulier werk'!$G$17</definedName>
    <definedName name="prodnorm62">'Regulier werk'!$G$18</definedName>
    <definedName name="prodnorm63">'Regulier werk'!$G$19</definedName>
    <definedName name="prodnorm64">'Regulier werk'!$G$20</definedName>
    <definedName name="prodnorm65">'Regulier werk'!$G$21</definedName>
    <definedName name="prodnorm66">'Regulier werk'!$G$22</definedName>
    <definedName name="prodnorm67">'Regulier werk'!$G$23</definedName>
    <definedName name="prodnorm68">'Regulier werk'!$G$24</definedName>
    <definedName name="prodnorm69">'Regulier werk'!$G$25</definedName>
    <definedName name="prodnorm7">'Glas per locatie'!$I$168</definedName>
    <definedName name="prodnorm70">'Regulier werk'!$G$26</definedName>
    <definedName name="prodnorm71">'Regulier werk'!$G$27</definedName>
    <definedName name="prodnorm72">'Regulier werk'!$G$28</definedName>
    <definedName name="prodnorm73">'Regulier werk'!$G$29</definedName>
    <definedName name="prodnorm74">'Regulier werk'!$G$30</definedName>
    <definedName name="prodnorm75">'Regulier werk'!$G$31</definedName>
    <definedName name="prodnorm76">'Regulier werk'!$G$32</definedName>
    <definedName name="prodnorm77">'Regulier werk'!$G$33</definedName>
    <definedName name="prodnorm78">'Regulier werk'!$G$34</definedName>
    <definedName name="prodnorm79">'Regulier werk'!$G$35</definedName>
    <definedName name="prodnorm8">'Glas per locatie'!$I$169</definedName>
    <definedName name="prodnorm80">'Regulier werk'!$G$36</definedName>
    <definedName name="prodnorm81">'Regulier werk'!$G$37</definedName>
    <definedName name="prodnorm82">'Regulier werk'!$G$38</definedName>
    <definedName name="prodnorm83">'Regulier werk'!$G$39</definedName>
    <definedName name="prodnorm84">'Regulier werk'!$G$40</definedName>
    <definedName name="prodnorm85">'Regulier werk'!$G$41</definedName>
    <definedName name="prodnorm86">'Regulier werk'!$G$42</definedName>
    <definedName name="prodnorm87">'Regulier werk'!$G$43</definedName>
    <definedName name="prodnorm88">'Regulier werk'!$G$44</definedName>
    <definedName name="prodnorm89">'Regulier werk'!$G$45</definedName>
    <definedName name="prodnorm90">'Regulier werk'!$G$46</definedName>
    <definedName name="prodnorm91">'Regulier werk'!$G$47</definedName>
    <definedName name="prodnorm92">'Regulier werk'!$G$48</definedName>
    <definedName name="prodnorm93">'Regulier werk'!$G$49</definedName>
    <definedName name="prodnorm94">'Regulier werk'!$G$50</definedName>
    <definedName name="prodnorm95">'Regulier werk'!$G$51</definedName>
    <definedName name="prodnorm96">'Regulier werk'!$G$52</definedName>
    <definedName name="prodnorm97">'Regulier werk'!$G$53</definedName>
    <definedName name="prodnorm98">'Regulier werk'!$G$54</definedName>
    <definedName name="prodnorm99">'Regulier werk'!$G$55</definedName>
    <definedName name="taakfreqtabel1">Objectinformatie!$E$5:$E$81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Objectinformatie!$H$5:$H$81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werk'!$J$83</definedName>
    <definedName name="urenjaar">'Regulier werk'!$L$88</definedName>
    <definedName name="urenjaar1">'Regulier werk'!$L$83</definedName>
    <definedName name="urenjaartotaal">Objecten!$M$45</definedName>
    <definedName name="urenjaartotaal1">Objecten!$M$42</definedName>
    <definedName name="urenjaartotaaloverzicht">'Totaalblad Objecten'!$E$41</definedName>
    <definedName name="uurfactortabel1">Objectinformatie!$F$5:$F$81</definedName>
    <definedName name="uurtarief0">Glas!$I$18</definedName>
    <definedName name="uurtarief1">'Glas per locatie'!$J$219</definedName>
    <definedName name="uurtarief10">'Glas per locatie'!$J$147</definedName>
    <definedName name="uurtarief100">'Regulier werk'!$I$56</definedName>
    <definedName name="uurtarief101">'Regulier werk'!$I$57</definedName>
    <definedName name="uurtarief102">'Regulier werk'!$I$58</definedName>
    <definedName name="uurtarief103">'Regulier werk'!$I$59</definedName>
    <definedName name="uurtarief104">'Regulier werk'!$I$60</definedName>
    <definedName name="uurtarief105">'Regulier werk'!$I$61</definedName>
    <definedName name="uurtarief106">'Regulier werk'!$I$62</definedName>
    <definedName name="uurtarief107">'Regulier werk'!$I$63</definedName>
    <definedName name="uurtarief108">'Regulier werk'!$I$64</definedName>
    <definedName name="uurtarief109">'Regulier werk'!$I$65</definedName>
    <definedName name="uurtarief110">'Regulier werk'!$I$66</definedName>
    <definedName name="uurtarief111">'Regulier werk'!$I$67</definedName>
    <definedName name="uurtarief112">'Regulier werk'!$I$68</definedName>
    <definedName name="uurtarief113">'Regulier werk'!$I$69</definedName>
    <definedName name="uurtarief114">'Regulier werk'!$I$70</definedName>
    <definedName name="uurtarief115">'Regulier werk'!$I$71</definedName>
    <definedName name="uurtarief116">'Regulier werk'!$I$72</definedName>
    <definedName name="uurtarief117">'Regulier werk'!$I$73</definedName>
    <definedName name="uurtarief118">'Regulier werk'!$I$74</definedName>
    <definedName name="uurtarief119">'Regulier werk'!$I$75</definedName>
    <definedName name="uurtarief12">'Glas per locatie'!$J$148</definedName>
    <definedName name="uurtarief120">'Regulier werk'!$I$76</definedName>
    <definedName name="uurtarief121">'Regulier werk'!$I$77</definedName>
    <definedName name="uurtarief122">'Regulier werk'!$I$78</definedName>
    <definedName name="uurtarief123">'Regulier werk'!$I$79</definedName>
    <definedName name="uurtarief124">'Regulier werk'!$I$80</definedName>
    <definedName name="uurtarief125">'Regulier werk'!$I$81</definedName>
    <definedName name="uurtarief126">'Regulier werk'!$I$82</definedName>
    <definedName name="uurtarief13">'Glas per locatie'!$J$79</definedName>
    <definedName name="uurtarief14">'Glas per locatie'!$J$80</definedName>
    <definedName name="uurtarief15">'Glas per locatie'!$J$149</definedName>
    <definedName name="uurtarief16">'Glas per locatie'!$J$81</definedName>
    <definedName name="uurtarief17">'Glas per locatie'!$J$82</definedName>
    <definedName name="uurtarief18">'Glas per locatie'!$J$150</definedName>
    <definedName name="uurtarief19">'Glas per locatie'!$J$170</definedName>
    <definedName name="uurtarief2">'Glas per locatie'!$J$144</definedName>
    <definedName name="uurtarief21">'Glas per locatie'!$J$15</definedName>
    <definedName name="uurtarief22">'Glas per locatie'!$J$21</definedName>
    <definedName name="uurtarief23">'Glas per locatie'!$J$27</definedName>
    <definedName name="uurtarief24">'Glas per locatie'!$J$33</definedName>
    <definedName name="uurtarief25">'Glas per locatie'!$J$39</definedName>
    <definedName name="uurtarief26">'Glas per locatie'!$J$45</definedName>
    <definedName name="uurtarief27">'Glas per locatie'!$J$51</definedName>
    <definedName name="uurtarief28">'Glas per locatie'!$J$57</definedName>
    <definedName name="uurtarief3">'Glas per locatie'!$J$220</definedName>
    <definedName name="uurtarief30">'Glas per locatie'!$J$83</definedName>
    <definedName name="uurtarief31">'Glas per locatie'!$J$94</definedName>
    <definedName name="uurtarief32">'Glas per locatie'!$J$100</definedName>
    <definedName name="uurtarief33">'Glas per locatie'!$J$106</definedName>
    <definedName name="uurtarief34">'Glas per locatie'!$J$112</definedName>
    <definedName name="uurtarief35">'Glas per locatie'!$J$118</definedName>
    <definedName name="uurtarief36">'Glas per locatie'!$J$129</definedName>
    <definedName name="uurtarief37">'Glas per locatie'!$J$140</definedName>
    <definedName name="uurtarief38">'Glas per locatie'!$J$151</definedName>
    <definedName name="uurtarief39">'Glas per locatie'!$J$162</definedName>
    <definedName name="uurtarief4">'Glas per locatie'!$J$145</definedName>
    <definedName name="uurtarief40">'Glas per locatie'!$J$171</definedName>
    <definedName name="uurtarief41">'Glas per locatie'!$J$177</definedName>
    <definedName name="uurtarief42">'Glas per locatie'!$J$183</definedName>
    <definedName name="uurtarief43">'Glas per locatie'!$J$189</definedName>
    <definedName name="uurtarief44">'Glas per locatie'!$J$200</definedName>
    <definedName name="uurtarief45">'Glas per locatie'!$J$204</definedName>
    <definedName name="uurtarief46">'Glas per locatie'!$J$210</definedName>
    <definedName name="uurtarief47">'Glas per locatie'!$J$221</definedName>
    <definedName name="uurtarief48">'Additioneel werk per locatie'!$H$94</definedName>
    <definedName name="uurtarief50">'Regulier werk'!$I$6</definedName>
    <definedName name="uurtarief51">'Regulier werk'!$I$7</definedName>
    <definedName name="uurtarief52">'Regulier werk'!$I$8</definedName>
    <definedName name="uurtarief53">'Regulier werk'!$I$9</definedName>
    <definedName name="uurtarief54">'Regulier werk'!$I$10</definedName>
    <definedName name="uurtarief55">'Regulier werk'!$I$11</definedName>
    <definedName name="uurtarief56">'Regulier werk'!$I$12</definedName>
    <definedName name="uurtarief57">'Regulier werk'!$I$13</definedName>
    <definedName name="uurtarief58">'Regulier werk'!$I$14</definedName>
    <definedName name="uurtarief59">'Regulier werk'!$I$15</definedName>
    <definedName name="uurtarief6">'Glas per locatie'!$J$146</definedName>
    <definedName name="uurtarief60">'Regulier werk'!$I$16</definedName>
    <definedName name="uurtarief61">'Regulier werk'!$I$17</definedName>
    <definedName name="uurtarief62">'Regulier werk'!$I$18</definedName>
    <definedName name="uurtarief63">'Regulier werk'!$I$19</definedName>
    <definedName name="uurtarief64">'Regulier werk'!$I$20</definedName>
    <definedName name="uurtarief65">'Regulier werk'!$I$21</definedName>
    <definedName name="uurtarief66">'Regulier werk'!$I$22</definedName>
    <definedName name="uurtarief67">'Regulier werk'!$I$23</definedName>
    <definedName name="uurtarief68">'Regulier werk'!$I$24</definedName>
    <definedName name="uurtarief69">'Regulier werk'!$I$25</definedName>
    <definedName name="uurtarief7">'Glas per locatie'!$J$168</definedName>
    <definedName name="uurtarief70">'Regulier werk'!$I$26</definedName>
    <definedName name="uurtarief71">'Regulier werk'!$I$27</definedName>
    <definedName name="uurtarief72">'Regulier werk'!$I$28</definedName>
    <definedName name="uurtarief73">'Regulier werk'!$I$29</definedName>
    <definedName name="uurtarief74">'Regulier werk'!$I$30</definedName>
    <definedName name="uurtarief75">'Regulier werk'!$I$31</definedName>
    <definedName name="uurtarief76">'Regulier werk'!$I$32</definedName>
    <definedName name="uurtarief77">'Regulier werk'!$I$33</definedName>
    <definedName name="uurtarief78">'Regulier werk'!$I$34</definedName>
    <definedName name="uurtarief79">'Regulier werk'!$I$35</definedName>
    <definedName name="uurtarief8">'Glas per locatie'!$J$169</definedName>
    <definedName name="uurtarief80">'Regulier werk'!$I$36</definedName>
    <definedName name="uurtarief81">'Regulier werk'!$I$37</definedName>
    <definedName name="uurtarief82">'Regulier werk'!$I$38</definedName>
    <definedName name="uurtarief83">'Regulier werk'!$I$39</definedName>
    <definedName name="uurtarief84">'Regulier werk'!$I$40</definedName>
    <definedName name="uurtarief85">'Regulier werk'!$I$41</definedName>
    <definedName name="uurtarief86">'Regulier werk'!$I$42</definedName>
    <definedName name="uurtarief87">'Regulier werk'!$I$43</definedName>
    <definedName name="uurtarief88">'Regulier werk'!$I$44</definedName>
    <definedName name="uurtarief89">'Regulier werk'!$I$45</definedName>
    <definedName name="uurtarief90">'Regulier werk'!$I$46</definedName>
    <definedName name="uurtarief91">'Regulier werk'!$I$47</definedName>
    <definedName name="uurtarief92">'Regulier werk'!$I$48</definedName>
    <definedName name="uurtarief93">'Regulier werk'!$I$49</definedName>
    <definedName name="uurtarief94">'Regulier werk'!$I$50</definedName>
    <definedName name="uurtarief95">'Regulier werk'!$I$51</definedName>
    <definedName name="uurtarief96">'Regulier werk'!$I$52</definedName>
    <definedName name="uurtarief97">'Regulier werk'!$I$53</definedName>
    <definedName name="uurtarief98">'Regulier werk'!$I$54</definedName>
    <definedName name="uurtarief99">'Regulier werk'!$I$55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1" i="15" l="1"/>
  <c r="J221" i="14"/>
  <c r="K221" i="14" s="1"/>
  <c r="J220" i="14"/>
  <c r="K220" i="14" s="1"/>
  <c r="J219" i="14"/>
  <c r="K219" i="14" s="1"/>
  <c r="K222" i="14" s="1"/>
  <c r="J215" i="14"/>
  <c r="K215" i="14" s="1"/>
  <c r="J214" i="14"/>
  <c r="K214" i="14" s="1"/>
  <c r="K216" i="14" s="1"/>
  <c r="J210" i="14"/>
  <c r="K210" i="14" s="1"/>
  <c r="J209" i="14"/>
  <c r="K209" i="14" s="1"/>
  <c r="J208" i="14"/>
  <c r="K208" i="14" s="1"/>
  <c r="K211" i="14" s="1"/>
  <c r="J204" i="14"/>
  <c r="K204" i="14" s="1"/>
  <c r="K205" i="14" s="1"/>
  <c r="J200" i="14"/>
  <c r="K200" i="14" s="1"/>
  <c r="J199" i="14"/>
  <c r="K199" i="14" s="1"/>
  <c r="J198" i="14"/>
  <c r="K198" i="14" s="1"/>
  <c r="K201" i="14" s="1"/>
  <c r="J194" i="14"/>
  <c r="K194" i="14" s="1"/>
  <c r="J193" i="14"/>
  <c r="K193" i="14" s="1"/>
  <c r="K195" i="14" s="1"/>
  <c r="J189" i="14"/>
  <c r="K189" i="14" s="1"/>
  <c r="J188" i="14"/>
  <c r="K188" i="14" s="1"/>
  <c r="J187" i="14"/>
  <c r="K187" i="14" s="1"/>
  <c r="K190" i="14" s="1"/>
  <c r="J183" i="14"/>
  <c r="K183" i="14" s="1"/>
  <c r="J182" i="14"/>
  <c r="K182" i="14" s="1"/>
  <c r="J181" i="14"/>
  <c r="K181" i="14" s="1"/>
  <c r="K184" i="14" s="1"/>
  <c r="J177" i="14"/>
  <c r="K177" i="14" s="1"/>
  <c r="J176" i="14"/>
  <c r="K176" i="14" s="1"/>
  <c r="J175" i="14"/>
  <c r="K175" i="14" s="1"/>
  <c r="K178" i="14" s="1"/>
  <c r="J171" i="14"/>
  <c r="K171" i="14" s="1"/>
  <c r="J170" i="14"/>
  <c r="K170" i="14" s="1"/>
  <c r="J169" i="14"/>
  <c r="K169" i="14" s="1"/>
  <c r="J168" i="14"/>
  <c r="K168" i="14" s="1"/>
  <c r="J167" i="14"/>
  <c r="K167" i="14" s="1"/>
  <c r="J166" i="14"/>
  <c r="K166" i="14" s="1"/>
  <c r="K172" i="14" s="1"/>
  <c r="J162" i="14"/>
  <c r="K162" i="14" s="1"/>
  <c r="J161" i="14"/>
  <c r="K161" i="14" s="1"/>
  <c r="J160" i="14"/>
  <c r="K160" i="14" s="1"/>
  <c r="K163" i="14" s="1"/>
  <c r="J156" i="14"/>
  <c r="K156" i="14" s="1"/>
  <c r="J155" i="14"/>
  <c r="K155" i="14" s="1"/>
  <c r="K157" i="14" s="1"/>
  <c r="J151" i="14"/>
  <c r="K151" i="14" s="1"/>
  <c r="J150" i="14"/>
  <c r="K150" i="14" s="1"/>
  <c r="J149" i="14"/>
  <c r="K149" i="14" s="1"/>
  <c r="J148" i="14"/>
  <c r="K148" i="14" s="1"/>
  <c r="J147" i="14"/>
  <c r="K147" i="14" s="1"/>
  <c r="J146" i="14"/>
  <c r="K146" i="14" s="1"/>
  <c r="J145" i="14"/>
  <c r="K145" i="14" s="1"/>
  <c r="J144" i="14"/>
  <c r="K144" i="14" s="1"/>
  <c r="K152" i="14" s="1"/>
  <c r="J140" i="14"/>
  <c r="K140" i="14" s="1"/>
  <c r="J139" i="14"/>
  <c r="K139" i="14" s="1"/>
  <c r="J138" i="14"/>
  <c r="K138" i="14" s="1"/>
  <c r="K141" i="14" s="1"/>
  <c r="J134" i="14"/>
  <c r="K134" i="14" s="1"/>
  <c r="J133" i="14"/>
  <c r="K133" i="14" s="1"/>
  <c r="K135" i="14" s="1"/>
  <c r="J129" i="14"/>
  <c r="K129" i="14" s="1"/>
  <c r="J128" i="14"/>
  <c r="K128" i="14" s="1"/>
  <c r="J127" i="14"/>
  <c r="K127" i="14" s="1"/>
  <c r="K130" i="14" s="1"/>
  <c r="J123" i="14"/>
  <c r="K123" i="14" s="1"/>
  <c r="J122" i="14"/>
  <c r="K122" i="14" s="1"/>
  <c r="K124" i="14" s="1"/>
  <c r="J118" i="14"/>
  <c r="K118" i="14" s="1"/>
  <c r="J117" i="14"/>
  <c r="K117" i="14" s="1"/>
  <c r="J116" i="14"/>
  <c r="K116" i="14" s="1"/>
  <c r="K119" i="14" s="1"/>
  <c r="J112" i="14"/>
  <c r="K112" i="14" s="1"/>
  <c r="J111" i="14"/>
  <c r="K111" i="14" s="1"/>
  <c r="J110" i="14"/>
  <c r="K110" i="14" s="1"/>
  <c r="K113" i="14" s="1"/>
  <c r="J106" i="14"/>
  <c r="K106" i="14" s="1"/>
  <c r="J105" i="14"/>
  <c r="K105" i="14" s="1"/>
  <c r="J104" i="14"/>
  <c r="K104" i="14" s="1"/>
  <c r="K107" i="14" s="1"/>
  <c r="J100" i="14"/>
  <c r="K100" i="14" s="1"/>
  <c r="J99" i="14"/>
  <c r="K99" i="14" s="1"/>
  <c r="J98" i="14"/>
  <c r="K98" i="14" s="1"/>
  <c r="K101" i="14" s="1"/>
  <c r="J94" i="14"/>
  <c r="K94" i="14" s="1"/>
  <c r="J93" i="14"/>
  <c r="K93" i="14" s="1"/>
  <c r="J92" i="14"/>
  <c r="K92" i="14" s="1"/>
  <c r="K95" i="14" s="1"/>
  <c r="J88" i="14"/>
  <c r="K88" i="14" s="1"/>
  <c r="J87" i="14"/>
  <c r="K87" i="14" s="1"/>
  <c r="K89" i="14" s="1"/>
  <c r="J83" i="14"/>
  <c r="K83" i="14" s="1"/>
  <c r="J82" i="14"/>
  <c r="K82" i="14" s="1"/>
  <c r="J81" i="14"/>
  <c r="K81" i="14" s="1"/>
  <c r="J80" i="14"/>
  <c r="K80" i="14" s="1"/>
  <c r="J79" i="14"/>
  <c r="K79" i="14" s="1"/>
  <c r="J78" i="14"/>
  <c r="K78" i="14" s="1"/>
  <c r="J77" i="14"/>
  <c r="K77" i="14" s="1"/>
  <c r="J76" i="14"/>
  <c r="K76" i="14" s="1"/>
  <c r="K84" i="14" s="1"/>
  <c r="J72" i="14"/>
  <c r="K72" i="14" s="1"/>
  <c r="J71" i="14"/>
  <c r="K71" i="14" s="1"/>
  <c r="K73" i="14" s="1"/>
  <c r="J67" i="14"/>
  <c r="K67" i="14" s="1"/>
  <c r="J66" i="14"/>
  <c r="K66" i="14" s="1"/>
  <c r="K68" i="14" s="1"/>
  <c r="J62" i="14"/>
  <c r="K62" i="14" s="1"/>
  <c r="J61" i="14"/>
  <c r="K61" i="14" s="1"/>
  <c r="K63" i="14" s="1"/>
  <c r="J57" i="14"/>
  <c r="K57" i="14" s="1"/>
  <c r="J56" i="14"/>
  <c r="K56" i="14" s="1"/>
  <c r="J55" i="14"/>
  <c r="K55" i="14" s="1"/>
  <c r="K58" i="14" s="1"/>
  <c r="J51" i="14"/>
  <c r="K51" i="14" s="1"/>
  <c r="J50" i="14"/>
  <c r="K50" i="14" s="1"/>
  <c r="J49" i="14"/>
  <c r="K49" i="14" s="1"/>
  <c r="K52" i="14" s="1"/>
  <c r="J45" i="14"/>
  <c r="K45" i="14" s="1"/>
  <c r="J44" i="14"/>
  <c r="K44" i="14" s="1"/>
  <c r="J43" i="14"/>
  <c r="K43" i="14" s="1"/>
  <c r="K46" i="14" s="1"/>
  <c r="J39" i="14"/>
  <c r="K39" i="14" s="1"/>
  <c r="J38" i="14"/>
  <c r="K38" i="14" s="1"/>
  <c r="J37" i="14"/>
  <c r="K37" i="14" s="1"/>
  <c r="K40" i="14" s="1"/>
  <c r="J33" i="14"/>
  <c r="K33" i="14" s="1"/>
  <c r="J32" i="14"/>
  <c r="K32" i="14" s="1"/>
  <c r="J31" i="14"/>
  <c r="K31" i="14" s="1"/>
  <c r="K34" i="14" s="1"/>
  <c r="J27" i="14"/>
  <c r="K27" i="14" s="1"/>
  <c r="J26" i="14"/>
  <c r="K26" i="14" s="1"/>
  <c r="J25" i="14"/>
  <c r="K25" i="14" s="1"/>
  <c r="K28" i="14" s="1"/>
  <c r="J21" i="14"/>
  <c r="K21" i="14" s="1"/>
  <c r="J20" i="14"/>
  <c r="K20" i="14" s="1"/>
  <c r="J19" i="14"/>
  <c r="K19" i="14" s="1"/>
  <c r="K22" i="14" s="1"/>
  <c r="J15" i="14"/>
  <c r="K15" i="14" s="1"/>
  <c r="J14" i="14"/>
  <c r="K14" i="14" s="1"/>
  <c r="J13" i="14"/>
  <c r="K13" i="14" s="1"/>
  <c r="K16" i="14" s="1"/>
  <c r="J9" i="14"/>
  <c r="K9" i="14" s="1"/>
  <c r="J8" i="14"/>
  <c r="K8" i="14" s="1"/>
  <c r="J7" i="14"/>
  <c r="K7" i="14" s="1"/>
  <c r="J6" i="14"/>
  <c r="K6" i="14" s="1"/>
  <c r="K10" i="14" s="1"/>
  <c r="A1" i="14"/>
  <c r="J48" i="13"/>
  <c r="J47" i="13"/>
  <c r="J46" i="13"/>
  <c r="J45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J8" i="13"/>
  <c r="J7" i="13"/>
  <c r="J6" i="13"/>
  <c r="A1" i="13"/>
  <c r="A1" i="12"/>
  <c r="A1" i="11"/>
  <c r="I94" i="10"/>
  <c r="I90" i="10"/>
  <c r="I86" i="10"/>
  <c r="I82" i="10"/>
  <c r="I78" i="10"/>
  <c r="I74" i="10"/>
  <c r="I70" i="10"/>
  <c r="I66" i="10"/>
  <c r="I62" i="10"/>
  <c r="I58" i="10"/>
  <c r="I54" i="10"/>
  <c r="I50" i="10"/>
  <c r="I46" i="10"/>
  <c r="I42" i="10"/>
  <c r="I38" i="10"/>
  <c r="I34" i="10"/>
  <c r="I30" i="10"/>
  <c r="I26" i="10"/>
  <c r="I22" i="10"/>
  <c r="I18" i="10"/>
  <c r="I14" i="10"/>
  <c r="I10" i="10"/>
  <c r="I6" i="10"/>
  <c r="A1" i="10"/>
  <c r="J6" i="9"/>
  <c r="A1" i="9"/>
  <c r="A1" i="8"/>
  <c r="A1" i="7"/>
  <c r="A1" i="5"/>
  <c r="I82" i="4"/>
  <c r="G82" i="4"/>
  <c r="I81" i="4"/>
  <c r="G81" i="4"/>
  <c r="I80" i="4"/>
  <c r="G80" i="4"/>
  <c r="I79" i="4"/>
  <c r="G79" i="4"/>
  <c r="I78" i="4"/>
  <c r="G78" i="4"/>
  <c r="I77" i="4"/>
  <c r="G77" i="4"/>
  <c r="I76" i="4"/>
  <c r="G76" i="4"/>
  <c r="I75" i="4"/>
  <c r="G75" i="4"/>
  <c r="I74" i="4"/>
  <c r="G74" i="4"/>
  <c r="I73" i="4"/>
  <c r="G73" i="4"/>
  <c r="I72" i="4"/>
  <c r="G72" i="4"/>
  <c r="I71" i="4"/>
  <c r="G71" i="4"/>
  <c r="I70" i="4"/>
  <c r="G70" i="4"/>
  <c r="I69" i="4"/>
  <c r="G69" i="4"/>
  <c r="I68" i="4"/>
  <c r="G68" i="4"/>
  <c r="I67" i="4"/>
  <c r="G67" i="4"/>
  <c r="I66" i="4"/>
  <c r="G66" i="4"/>
  <c r="I65" i="4"/>
  <c r="G65" i="4"/>
  <c r="I64" i="4"/>
  <c r="G64" i="4"/>
  <c r="I63" i="4"/>
  <c r="G63" i="4"/>
  <c r="I62" i="4"/>
  <c r="G62" i="4"/>
  <c r="I61" i="4"/>
  <c r="G61" i="4"/>
  <c r="I60" i="4"/>
  <c r="G60" i="4"/>
  <c r="I59" i="4"/>
  <c r="G59" i="4"/>
  <c r="I58" i="4"/>
  <c r="G58" i="4"/>
  <c r="I57" i="4"/>
  <c r="G57" i="4"/>
  <c r="I56" i="4"/>
  <c r="G56" i="4"/>
  <c r="I55" i="4"/>
  <c r="G55" i="4"/>
  <c r="I54" i="4"/>
  <c r="G54" i="4"/>
  <c r="I53" i="4"/>
  <c r="G53" i="4"/>
  <c r="I52" i="4"/>
  <c r="G52" i="4"/>
  <c r="I51" i="4"/>
  <c r="G51" i="4"/>
  <c r="I50" i="4"/>
  <c r="G50" i="4"/>
  <c r="I49" i="4"/>
  <c r="G49" i="4"/>
  <c r="I48" i="4"/>
  <c r="G48" i="4"/>
  <c r="I47" i="4"/>
  <c r="G47" i="4"/>
  <c r="I46" i="4"/>
  <c r="G46" i="4"/>
  <c r="I45" i="4"/>
  <c r="G45" i="4"/>
  <c r="I44" i="4"/>
  <c r="G44" i="4"/>
  <c r="I43" i="4"/>
  <c r="G43" i="4"/>
  <c r="I42" i="4"/>
  <c r="G42" i="4"/>
  <c r="I41" i="4"/>
  <c r="G41" i="4"/>
  <c r="I40" i="4"/>
  <c r="G40" i="4"/>
  <c r="I39" i="4"/>
  <c r="G39" i="4"/>
  <c r="I38" i="4"/>
  <c r="G38" i="4"/>
  <c r="I37" i="4"/>
  <c r="G37" i="4"/>
  <c r="I36" i="4"/>
  <c r="G36" i="4"/>
  <c r="I35" i="4"/>
  <c r="G35" i="4"/>
  <c r="I34" i="4"/>
  <c r="G34" i="4"/>
  <c r="I33" i="4"/>
  <c r="G33" i="4"/>
  <c r="I32" i="4"/>
  <c r="G32" i="4"/>
  <c r="I31" i="4"/>
  <c r="G31" i="4"/>
  <c r="I30" i="4"/>
  <c r="G30" i="4"/>
  <c r="I29" i="4"/>
  <c r="G29" i="4"/>
  <c r="I28" i="4"/>
  <c r="G28" i="4"/>
  <c r="I27" i="4"/>
  <c r="G27" i="4"/>
  <c r="I26" i="4"/>
  <c r="G26" i="4"/>
  <c r="I25" i="4"/>
  <c r="G25" i="4"/>
  <c r="I24" i="4"/>
  <c r="G24" i="4"/>
  <c r="I23" i="4"/>
  <c r="G23" i="4"/>
  <c r="I22" i="4"/>
  <c r="G22" i="4"/>
  <c r="I21" i="4"/>
  <c r="G21" i="4"/>
  <c r="I20" i="4"/>
  <c r="G20" i="4"/>
  <c r="I19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81" i="6" l="1"/>
  <c r="E75" i="6"/>
  <c r="E72" i="6"/>
  <c r="E70" i="6"/>
  <c r="E66" i="6"/>
  <c r="E63" i="6"/>
  <c r="E57" i="6"/>
  <c r="E54" i="6"/>
  <c r="E51" i="6"/>
  <c r="E47" i="6"/>
  <c r="E46" i="6"/>
  <c r="E43" i="6"/>
  <c r="E40" i="6"/>
  <c r="E35" i="6"/>
  <c r="E32" i="6"/>
  <c r="E21" i="6"/>
  <c r="E18" i="6"/>
  <c r="E15" i="6"/>
  <c r="E12" i="6"/>
  <c r="E10" i="6"/>
  <c r="E7" i="6"/>
  <c r="L911" i="5"/>
  <c r="L909" i="5"/>
  <c r="L908" i="5"/>
  <c r="L907" i="5"/>
  <c r="L906" i="5"/>
  <c r="L901" i="5"/>
  <c r="L900" i="5"/>
  <c r="L899" i="5"/>
  <c r="L898" i="5"/>
  <c r="L897" i="5"/>
  <c r="L896" i="5"/>
  <c r="L895" i="5"/>
  <c r="L894" i="5"/>
  <c r="L893" i="5"/>
  <c r="L892" i="5"/>
  <c r="L891" i="5"/>
  <c r="L890" i="5"/>
  <c r="L889" i="5"/>
  <c r="L888" i="5"/>
  <c r="L887" i="5"/>
  <c r="L885" i="5"/>
  <c r="L884" i="5"/>
  <c r="L880" i="5"/>
  <c r="L879" i="5"/>
  <c r="L878" i="5"/>
  <c r="L876" i="5"/>
  <c r="L873" i="5"/>
  <c r="L870" i="5"/>
  <c r="L869" i="5"/>
  <c r="L856" i="5"/>
  <c r="L855" i="5"/>
  <c r="L854" i="5"/>
  <c r="L853" i="5"/>
  <c r="L852" i="5"/>
  <c r="L844" i="5"/>
  <c r="L843" i="5"/>
  <c r="L838" i="5"/>
  <c r="L829" i="5"/>
  <c r="L828" i="5"/>
  <c r="L827" i="5"/>
  <c r="L825" i="5"/>
  <c r="L824" i="5"/>
  <c r="L823" i="5"/>
  <c r="L820" i="5"/>
  <c r="L819" i="5"/>
  <c r="L801" i="5"/>
  <c r="L553" i="5"/>
  <c r="L551" i="5"/>
  <c r="L550" i="5"/>
  <c r="L549" i="5"/>
  <c r="L548" i="5"/>
  <c r="L547" i="5"/>
  <c r="L546" i="5"/>
  <c r="L545" i="5"/>
  <c r="L544" i="5"/>
  <c r="L543" i="5"/>
  <c r="L542" i="5"/>
  <c r="L541" i="5"/>
  <c r="L540" i="5"/>
  <c r="L539" i="5"/>
  <c r="L538" i="5"/>
  <c r="L537" i="5"/>
  <c r="L535" i="5"/>
  <c r="L534" i="5"/>
  <c r="L533" i="5"/>
  <c r="L532" i="5"/>
  <c r="L531" i="5"/>
  <c r="L530" i="5"/>
  <c r="L529" i="5"/>
  <c r="L528" i="5"/>
  <c r="L527" i="5"/>
  <c r="L526" i="5"/>
  <c r="L525" i="5"/>
  <c r="L524" i="5"/>
  <c r="L523" i="5"/>
  <c r="L522" i="5"/>
  <c r="L505" i="5"/>
  <c r="L502" i="5"/>
  <c r="L500" i="5"/>
  <c r="L498" i="5"/>
  <c r="L497" i="5"/>
  <c r="L496" i="5"/>
  <c r="L495" i="5"/>
  <c r="L494" i="5"/>
  <c r="L493" i="5"/>
  <c r="L492" i="5"/>
  <c r="L491" i="5"/>
  <c r="L490" i="5"/>
  <c r="L489" i="5"/>
  <c r="L488" i="5"/>
  <c r="L487" i="5"/>
  <c r="L486" i="5"/>
  <c r="L485" i="5"/>
  <c r="L484" i="5"/>
  <c r="L483" i="5"/>
  <c r="L481" i="5"/>
  <c r="L480" i="5"/>
  <c r="L479" i="5"/>
  <c r="L478" i="5"/>
  <c r="L477" i="5"/>
  <c r="L476" i="5"/>
  <c r="L475" i="5"/>
  <c r="L474" i="5"/>
  <c r="L473" i="5"/>
  <c r="L472" i="5"/>
  <c r="L471" i="5"/>
  <c r="L470" i="5"/>
  <c r="L469" i="5"/>
  <c r="L468" i="5"/>
  <c r="L467" i="5"/>
  <c r="L466" i="5"/>
  <c r="L465" i="5"/>
  <c r="L464" i="5"/>
  <c r="L454" i="5"/>
  <c r="L453" i="5"/>
  <c r="L452" i="5"/>
  <c r="L444" i="5"/>
  <c r="L442" i="5"/>
  <c r="L441" i="5"/>
  <c r="L440" i="5"/>
  <c r="L439" i="5"/>
  <c r="L438" i="5"/>
  <c r="L437" i="5"/>
  <c r="L436" i="5"/>
  <c r="L435" i="5"/>
  <c r="L434" i="5"/>
  <c r="L433" i="5"/>
  <c r="L432" i="5"/>
  <c r="L431" i="5"/>
  <c r="L430" i="5"/>
  <c r="L429" i="5"/>
  <c r="L428" i="5"/>
  <c r="L427" i="5"/>
  <c r="L422" i="5"/>
  <c r="L421" i="5"/>
  <c r="L420" i="5"/>
  <c r="L407" i="5"/>
  <c r="L406" i="5"/>
  <c r="L405" i="5"/>
  <c r="L388" i="5"/>
  <c r="L387" i="5"/>
  <c r="L386" i="5"/>
  <c r="L385" i="5"/>
  <c r="L384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L351" i="5"/>
  <c r="L350" i="5"/>
  <c r="L349" i="5"/>
  <c r="L348" i="5"/>
  <c r="L345" i="5"/>
  <c r="L344" i="5"/>
  <c r="L343" i="5"/>
  <c r="L342" i="5"/>
  <c r="L341" i="5"/>
  <c r="L338" i="5"/>
  <c r="L337" i="5"/>
  <c r="L336" i="5"/>
  <c r="L331" i="5"/>
  <c r="L328" i="5"/>
  <c r="L327" i="5"/>
  <c r="L325" i="5"/>
  <c r="L324" i="5"/>
  <c r="L323" i="5"/>
  <c r="L322" i="5"/>
  <c r="L321" i="5"/>
  <c r="L320" i="5"/>
  <c r="L319" i="5"/>
  <c r="L318" i="5"/>
  <c r="F82" i="4"/>
  <c r="F76" i="4"/>
  <c r="F73" i="4"/>
  <c r="F71" i="4"/>
  <c r="F67" i="4"/>
  <c r="F64" i="4"/>
  <c r="F58" i="4"/>
  <c r="F55" i="4"/>
  <c r="F52" i="4"/>
  <c r="F48" i="4"/>
  <c r="F47" i="4"/>
  <c r="F44" i="4"/>
  <c r="F41" i="4"/>
  <c r="F36" i="4"/>
  <c r="F33" i="4"/>
  <c r="F22" i="4"/>
  <c r="F19" i="4"/>
  <c r="F16" i="4"/>
  <c r="F13" i="4"/>
  <c r="F11" i="4"/>
  <c r="F8" i="4"/>
  <c r="E80" i="6"/>
  <c r="E69" i="6"/>
  <c r="E65" i="6"/>
  <c r="E62" i="6"/>
  <c r="E60" i="6"/>
  <c r="E56" i="6"/>
  <c r="E53" i="6"/>
  <c r="E50" i="6"/>
  <c r="E48" i="6"/>
  <c r="E45" i="6"/>
  <c r="E42" i="6"/>
  <c r="E39" i="6"/>
  <c r="E34" i="6"/>
  <c r="E31" i="6"/>
  <c r="E20" i="6"/>
  <c r="E17" i="6"/>
  <c r="E9" i="6"/>
  <c r="L1076" i="5"/>
  <c r="L1073" i="5"/>
  <c r="L1072" i="5"/>
  <c r="L1071" i="5"/>
  <c r="L1070" i="5"/>
  <c r="L1069" i="5"/>
  <c r="L1068" i="5"/>
  <c r="L1066" i="5"/>
  <c r="L1065" i="5"/>
  <c r="L1064" i="5"/>
  <c r="L1059" i="5"/>
  <c r="L1051" i="5"/>
  <c r="L1049" i="5"/>
  <c r="L1047" i="5"/>
  <c r="L1019" i="5"/>
  <c r="L1018" i="5"/>
  <c r="L1014" i="5"/>
  <c r="L1013" i="5"/>
  <c r="L1012" i="5"/>
  <c r="L1010" i="5"/>
  <c r="L1009" i="5"/>
  <c r="L1008" i="5"/>
  <c r="L1007" i="5"/>
  <c r="L998" i="5"/>
  <c r="L995" i="5"/>
  <c r="L990" i="5"/>
  <c r="L989" i="5"/>
  <c r="L987" i="5"/>
  <c r="L985" i="5"/>
  <c r="L978" i="5"/>
  <c r="L977" i="5"/>
  <c r="L973" i="5"/>
  <c r="L971" i="5"/>
  <c r="L970" i="5"/>
  <c r="L969" i="5"/>
  <c r="L968" i="5"/>
  <c r="L965" i="5"/>
  <c r="L964" i="5"/>
  <c r="L963" i="5"/>
  <c r="L962" i="5"/>
  <c r="L956" i="5"/>
  <c r="L949" i="5"/>
  <c r="L942" i="5"/>
  <c r="L941" i="5"/>
  <c r="L928" i="5"/>
  <c r="L926" i="5"/>
  <c r="L925" i="5"/>
  <c r="L920" i="5"/>
  <c r="L919" i="5"/>
  <c r="L918" i="5"/>
  <c r="L917" i="5"/>
  <c r="L866" i="5"/>
  <c r="L865" i="5"/>
  <c r="L815" i="5"/>
  <c r="L814" i="5"/>
  <c r="L625" i="5"/>
  <c r="L624" i="5"/>
  <c r="L623" i="5"/>
  <c r="L618" i="5"/>
  <c r="L616" i="5"/>
  <c r="L615" i="5"/>
  <c r="L614" i="5"/>
  <c r="L613" i="5"/>
  <c r="L606" i="5"/>
  <c r="L604" i="5"/>
  <c r="L603" i="5"/>
  <c r="L602" i="5"/>
  <c r="L601" i="5"/>
  <c r="L593" i="5"/>
  <c r="L592" i="5"/>
  <c r="L591" i="5"/>
  <c r="L590" i="5"/>
  <c r="L501" i="5"/>
  <c r="L499" i="5"/>
  <c r="L369" i="5"/>
  <c r="L368" i="5"/>
  <c r="L245" i="5"/>
  <c r="L244" i="5"/>
  <c r="L243" i="5"/>
  <c r="L242" i="5"/>
  <c r="L241" i="5"/>
  <c r="L240" i="5"/>
  <c r="L239" i="5"/>
  <c r="L238" i="5"/>
  <c r="L237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5" i="5"/>
  <c r="L214" i="5"/>
  <c r="L147" i="5"/>
  <c r="L146" i="5"/>
  <c r="L145" i="5"/>
  <c r="L137" i="5"/>
  <c r="L135" i="5"/>
  <c r="L133" i="5"/>
  <c r="L131" i="5"/>
  <c r="L130" i="5"/>
  <c r="L127" i="5"/>
  <c r="L126" i="5"/>
  <c r="L125" i="5"/>
  <c r="L124" i="5"/>
  <c r="F81" i="4"/>
  <c r="F70" i="4"/>
  <c r="F66" i="4"/>
  <c r="F63" i="4"/>
  <c r="F61" i="4"/>
  <c r="F57" i="4"/>
  <c r="F54" i="4"/>
  <c r="F51" i="4"/>
  <c r="F49" i="4"/>
  <c r="F46" i="4"/>
  <c r="F43" i="4"/>
  <c r="F40" i="4"/>
  <c r="F35" i="4"/>
  <c r="F32" i="4"/>
  <c r="F21" i="4"/>
  <c r="F18" i="4"/>
  <c r="F10" i="4"/>
  <c r="E79" i="6"/>
  <c r="E77" i="6"/>
  <c r="E76" i="6"/>
  <c r="E74" i="6"/>
  <c r="E71" i="6"/>
  <c r="E68" i="6"/>
  <c r="E67" i="6"/>
  <c r="E64" i="6"/>
  <c r="E61" i="6"/>
  <c r="E59" i="6"/>
  <c r="E55" i="6"/>
  <c r="E52" i="6"/>
  <c r="E49" i="6"/>
  <c r="E44" i="6"/>
  <c r="E41" i="6"/>
  <c r="E38" i="6"/>
  <c r="E37" i="6"/>
  <c r="E33" i="6"/>
  <c r="E30" i="6"/>
  <c r="E29" i="6"/>
  <c r="E27" i="6"/>
  <c r="E26" i="6"/>
  <c r="E23" i="6"/>
  <c r="E19" i="6"/>
  <c r="E16" i="6"/>
  <c r="E14" i="6"/>
  <c r="E13" i="6"/>
  <c r="E11" i="6"/>
  <c r="E8" i="6"/>
  <c r="E6" i="6"/>
  <c r="L1230" i="5"/>
  <c r="L1229" i="5"/>
  <c r="L1228" i="5"/>
  <c r="L1227" i="5"/>
  <c r="L1226" i="5"/>
  <c r="L1225" i="5"/>
  <c r="L1224" i="5"/>
  <c r="L1223" i="5"/>
  <c r="L1222" i="5"/>
  <c r="L1221" i="5"/>
  <c r="L1218" i="5"/>
  <c r="L1217" i="5"/>
  <c r="L1216" i="5"/>
  <c r="L1215" i="5"/>
  <c r="L1211" i="5"/>
  <c r="L1210" i="5"/>
  <c r="L1209" i="5"/>
  <c r="L1208" i="5"/>
  <c r="L1206" i="5"/>
  <c r="L1205" i="5"/>
  <c r="L1204" i="5"/>
  <c r="L1203" i="5"/>
  <c r="L1202" i="5"/>
  <c r="L1201" i="5"/>
  <c r="L1198" i="5"/>
  <c r="L1196" i="5"/>
  <c r="L1195" i="5"/>
  <c r="L1194" i="5"/>
  <c r="L1193" i="5"/>
  <c r="L1192" i="5"/>
  <c r="L1191" i="5"/>
  <c r="L1186" i="5"/>
  <c r="L1185" i="5"/>
  <c r="L1184" i="5"/>
  <c r="L1183" i="5"/>
  <c r="L1182" i="5"/>
  <c r="L1181" i="5"/>
  <c r="L1180" i="5"/>
  <c r="L1177" i="5"/>
  <c r="L1176" i="5"/>
  <c r="L1175" i="5"/>
  <c r="L1174" i="5"/>
  <c r="L1173" i="5"/>
  <c r="L1172" i="5"/>
  <c r="L1169" i="5"/>
  <c r="L1168" i="5"/>
  <c r="L1167" i="5"/>
  <c r="L1166" i="5"/>
  <c r="L1165" i="5"/>
  <c r="L1164" i="5"/>
  <c r="L1163" i="5"/>
  <c r="L1162" i="5"/>
  <c r="L1161" i="5"/>
  <c r="L1160" i="5"/>
  <c r="L1159" i="5"/>
  <c r="L1158" i="5"/>
  <c r="L1156" i="5"/>
  <c r="L1155" i="5"/>
  <c r="L1153" i="5"/>
  <c r="L1152" i="5"/>
  <c r="L1151" i="5"/>
  <c r="L1150" i="5"/>
  <c r="L1149" i="5"/>
  <c r="L1148" i="5"/>
  <c r="L1147" i="5"/>
  <c r="L1146" i="5"/>
  <c r="L1145" i="5"/>
  <c r="L1144" i="5"/>
  <c r="L1143" i="5"/>
  <c r="L1142" i="5"/>
  <c r="L1141" i="5"/>
  <c r="L1137" i="5"/>
  <c r="L1135" i="5"/>
  <c r="L1134" i="5"/>
  <c r="L1131" i="5"/>
  <c r="L1130" i="5"/>
  <c r="L1129" i="5"/>
  <c r="L1128" i="5"/>
  <c r="L1127" i="5"/>
  <c r="L1126" i="5"/>
  <c r="L1124" i="5"/>
  <c r="L1123" i="5"/>
  <c r="L1122" i="5"/>
  <c r="L1118" i="5"/>
  <c r="L1117" i="5"/>
  <c r="L1116" i="5"/>
  <c r="L1115" i="5"/>
  <c r="L1114" i="5"/>
  <c r="L1113" i="5"/>
  <c r="L1112" i="5"/>
  <c r="L1111" i="5"/>
  <c r="L1110" i="5"/>
  <c r="L1109" i="5"/>
  <c r="L1108" i="5"/>
  <c r="L1107" i="5"/>
  <c r="L1104" i="5"/>
  <c r="L1103" i="5"/>
  <c r="L1098" i="5"/>
  <c r="L1097" i="5"/>
  <c r="L1096" i="5"/>
  <c r="L1095" i="5"/>
  <c r="L1093" i="5"/>
  <c r="L1092" i="5"/>
  <c r="L1090" i="5"/>
  <c r="L1089" i="5"/>
  <c r="L1085" i="5"/>
  <c r="L1084" i="5"/>
  <c r="L1083" i="5"/>
  <c r="L1082" i="5"/>
  <c r="L1081" i="5"/>
  <c r="L1067" i="5"/>
  <c r="L1062" i="5"/>
  <c r="L1060" i="5"/>
  <c r="L1054" i="5"/>
  <c r="L1053" i="5"/>
  <c r="L1052" i="5"/>
  <c r="L1048" i="5"/>
  <c r="L1044" i="5"/>
  <c r="L1043" i="5"/>
  <c r="L1042" i="5"/>
  <c r="L1040" i="5"/>
  <c r="L1039" i="5"/>
  <c r="L1036" i="5"/>
  <c r="L1031" i="5"/>
  <c r="L1030" i="5"/>
  <c r="L1028" i="5"/>
  <c r="L1026" i="5"/>
  <c r="L1025" i="5"/>
  <c r="L1024" i="5"/>
  <c r="L1023" i="5"/>
  <c r="L1022" i="5"/>
  <c r="L1011" i="5"/>
  <c r="L1005" i="5"/>
  <c r="L1004" i="5"/>
  <c r="L997" i="5"/>
  <c r="L996" i="5"/>
  <c r="L994" i="5"/>
  <c r="L993" i="5"/>
  <c r="L991" i="5"/>
  <c r="L986" i="5"/>
  <c r="L984" i="5"/>
  <c r="L983" i="5"/>
  <c r="L982" i="5"/>
  <c r="L981" i="5"/>
  <c r="L980" i="5"/>
  <c r="L979" i="5"/>
  <c r="L972" i="5"/>
  <c r="L967" i="5"/>
  <c r="L958" i="5"/>
  <c r="L957" i="5"/>
  <c r="L955" i="5"/>
  <c r="L954" i="5"/>
  <c r="L953" i="5"/>
  <c r="L952" i="5"/>
  <c r="L950" i="5"/>
  <c r="L948" i="5"/>
  <c r="L947" i="5"/>
  <c r="L946" i="5"/>
  <c r="L944" i="5"/>
  <c r="L943" i="5"/>
  <c r="L933" i="5"/>
  <c r="L932" i="5"/>
  <c r="L929" i="5"/>
  <c r="L927" i="5"/>
  <c r="L924" i="5"/>
  <c r="L923" i="5"/>
  <c r="L921" i="5"/>
  <c r="L916" i="5"/>
  <c r="L915" i="5"/>
  <c r="L903" i="5"/>
  <c r="L902" i="5"/>
  <c r="L886" i="5"/>
  <c r="L875" i="5"/>
  <c r="L874" i="5"/>
  <c r="L872" i="5"/>
  <c r="L867" i="5"/>
  <c r="L851" i="5"/>
  <c r="L846" i="5"/>
  <c r="L845" i="5"/>
  <c r="L842" i="5"/>
  <c r="L840" i="5"/>
  <c r="L837" i="5"/>
  <c r="L836" i="5"/>
  <c r="L835" i="5"/>
  <c r="L834" i="5"/>
  <c r="L833" i="5"/>
  <c r="L832" i="5"/>
  <c r="L831" i="5"/>
  <c r="L830" i="5"/>
  <c r="L826" i="5"/>
  <c r="L821" i="5"/>
  <c r="L812" i="5"/>
  <c r="L811" i="5"/>
  <c r="L810" i="5"/>
  <c r="L809" i="5"/>
  <c r="L807" i="5"/>
  <c r="L806" i="5"/>
  <c r="L797" i="5"/>
  <c r="L795" i="5"/>
  <c r="L794" i="5"/>
  <c r="L793" i="5"/>
  <c r="L792" i="5"/>
  <c r="L791" i="5"/>
  <c r="L790" i="5"/>
  <c r="L788" i="5"/>
  <c r="L784" i="5"/>
  <c r="L783" i="5"/>
  <c r="L782" i="5"/>
  <c r="L781" i="5"/>
  <c r="L780" i="5"/>
  <c r="L779" i="5"/>
  <c r="L777" i="5"/>
  <c r="L775" i="5"/>
  <c r="L774" i="5"/>
  <c r="L773" i="5"/>
  <c r="L772" i="5"/>
  <c r="L771" i="5"/>
  <c r="L770" i="5"/>
  <c r="L767" i="5"/>
  <c r="L766" i="5"/>
  <c r="L765" i="5"/>
  <c r="L764" i="5"/>
  <c r="L762" i="5"/>
  <c r="L760" i="5"/>
  <c r="L759" i="5"/>
  <c r="L758" i="5"/>
  <c r="L757" i="5"/>
  <c r="L756" i="5"/>
  <c r="L755" i="5"/>
  <c r="L754" i="5"/>
  <c r="L753" i="5"/>
  <c r="L747" i="5"/>
  <c r="L746" i="5"/>
  <c r="L745" i="5"/>
  <c r="L743" i="5"/>
  <c r="L742" i="5"/>
  <c r="L741" i="5"/>
  <c r="L740" i="5"/>
  <c r="L739" i="5"/>
  <c r="L738" i="5"/>
  <c r="L737" i="5"/>
  <c r="L736" i="5"/>
  <c r="L735" i="5"/>
  <c r="L734" i="5"/>
  <c r="L733" i="5"/>
  <c r="L732" i="5"/>
  <c r="L731" i="5"/>
  <c r="L726" i="5"/>
  <c r="L725" i="5"/>
  <c r="L724" i="5"/>
  <c r="L719" i="5"/>
  <c r="L718" i="5"/>
  <c r="L717" i="5"/>
  <c r="L716" i="5"/>
  <c r="L715" i="5"/>
  <c r="L714" i="5"/>
  <c r="L713" i="5"/>
  <c r="L712" i="5"/>
  <c r="L711" i="5"/>
  <c r="L710" i="5"/>
  <c r="L709" i="5"/>
  <c r="L708" i="5"/>
  <c r="L705" i="5"/>
  <c r="L703" i="5"/>
  <c r="L702" i="5"/>
  <c r="L701" i="5"/>
  <c r="L700" i="5"/>
  <c r="L699" i="5"/>
  <c r="L698" i="5"/>
  <c r="L697" i="5"/>
  <c r="L696" i="5"/>
  <c r="L695" i="5"/>
  <c r="L693" i="5"/>
  <c r="L688" i="5"/>
  <c r="L687" i="5"/>
  <c r="L686" i="5"/>
  <c r="L685" i="5"/>
  <c r="L684" i="5"/>
  <c r="L683" i="5"/>
  <c r="L682" i="5"/>
  <c r="L681" i="5"/>
  <c r="L679" i="5"/>
  <c r="L678" i="5"/>
  <c r="L677" i="5"/>
  <c r="L674" i="5"/>
  <c r="L673" i="5"/>
  <c r="L672" i="5"/>
  <c r="L671" i="5"/>
  <c r="L670" i="5"/>
  <c r="L669" i="5"/>
  <c r="L668" i="5"/>
  <c r="L667" i="5"/>
  <c r="L665" i="5"/>
  <c r="L664" i="5"/>
  <c r="L663" i="5"/>
  <c r="L662" i="5"/>
  <c r="L660" i="5"/>
  <c r="L659" i="5"/>
  <c r="L658" i="5"/>
  <c r="L657" i="5"/>
  <c r="L656" i="5"/>
  <c r="L653" i="5"/>
  <c r="L652" i="5"/>
  <c r="L651" i="5"/>
  <c r="L650" i="5"/>
  <c r="L649" i="5"/>
  <c r="L648" i="5"/>
  <c r="L647" i="5"/>
  <c r="L643" i="5"/>
  <c r="L642" i="5"/>
  <c r="L641" i="5"/>
  <c r="L640" i="5"/>
  <c r="L639" i="5"/>
  <c r="L638" i="5"/>
  <c r="L635" i="5"/>
  <c r="L634" i="5"/>
  <c r="L633" i="5"/>
  <c r="L632" i="5"/>
  <c r="L631" i="5"/>
  <c r="L630" i="5"/>
  <c r="L629" i="5"/>
  <c r="L628" i="5"/>
  <c r="L622" i="5"/>
  <c r="L621" i="5"/>
  <c r="L619" i="5"/>
  <c r="L617" i="5"/>
  <c r="L607" i="5"/>
  <c r="L605" i="5"/>
  <c r="L600" i="5"/>
  <c r="L599" i="5"/>
  <c r="L598" i="5"/>
  <c r="L597" i="5"/>
  <c r="L595" i="5"/>
  <c r="L594" i="5"/>
  <c r="L587" i="5"/>
  <c r="L586" i="5"/>
  <c r="L584" i="5"/>
  <c r="L583" i="5"/>
  <c r="L582" i="5"/>
  <c r="L581" i="5"/>
  <c r="L579" i="5"/>
  <c r="L578" i="5"/>
  <c r="L577" i="5"/>
  <c r="L576" i="5"/>
  <c r="L575" i="5"/>
  <c r="L574" i="5"/>
  <c r="L571" i="5"/>
  <c r="L570" i="5"/>
  <c r="L569" i="5"/>
  <c r="L568" i="5"/>
  <c r="L567" i="5"/>
  <c r="L566" i="5"/>
  <c r="L565" i="5"/>
  <c r="L564" i="5"/>
  <c r="L563" i="5"/>
  <c r="L562" i="5"/>
  <c r="L561" i="5"/>
  <c r="L560" i="5"/>
  <c r="L552" i="5"/>
  <c r="L536" i="5"/>
  <c r="L521" i="5"/>
  <c r="L520" i="5"/>
  <c r="L519" i="5"/>
  <c r="L518" i="5"/>
  <c r="L517" i="5"/>
  <c r="L516" i="5"/>
  <c r="L515" i="5"/>
  <c r="L514" i="5"/>
  <c r="L512" i="5"/>
  <c r="L511" i="5"/>
  <c r="L510" i="5"/>
  <c r="L509" i="5"/>
  <c r="L508" i="5"/>
  <c r="L507" i="5"/>
  <c r="L506" i="5"/>
  <c r="L503" i="5"/>
  <c r="L463" i="5"/>
  <c r="L462" i="5"/>
  <c r="L461" i="5"/>
  <c r="L460" i="5"/>
  <c r="L459" i="5"/>
  <c r="L458" i="5"/>
  <c r="L457" i="5"/>
  <c r="L456" i="5"/>
  <c r="L451" i="5"/>
  <c r="L450" i="5"/>
  <c r="L443" i="5"/>
  <c r="L426" i="5"/>
  <c r="L425" i="5"/>
  <c r="L424" i="5"/>
  <c r="L423" i="5"/>
  <c r="L419" i="5"/>
  <c r="L418" i="5"/>
  <c r="L417" i="5"/>
  <c r="L416" i="5"/>
  <c r="L415" i="5"/>
  <c r="L414" i="5"/>
  <c r="L413" i="5"/>
  <c r="L412" i="5"/>
  <c r="L411" i="5"/>
  <c r="L410" i="5"/>
  <c r="L409" i="5"/>
  <c r="L401" i="5"/>
  <c r="L400" i="5"/>
  <c r="L399" i="5"/>
  <c r="L398" i="5"/>
  <c r="L397" i="5"/>
  <c r="L396" i="5"/>
  <c r="L382" i="5"/>
  <c r="L381" i="5"/>
  <c r="L379" i="5"/>
  <c r="L378" i="5"/>
  <c r="L377" i="5"/>
  <c r="L376" i="5"/>
  <c r="L375" i="5"/>
  <c r="L374" i="5"/>
  <c r="L373" i="5"/>
  <c r="L372" i="5"/>
  <c r="L371" i="5"/>
  <c r="L354" i="5"/>
  <c r="L352" i="5"/>
  <c r="L347" i="5"/>
  <c r="L330" i="5"/>
  <c r="L329" i="5"/>
  <c r="L326" i="5"/>
  <c r="L315" i="5"/>
  <c r="L311" i="5"/>
  <c r="L310" i="5"/>
  <c r="L309" i="5"/>
  <c r="L308" i="5"/>
  <c r="L307" i="5"/>
  <c r="L304" i="5"/>
  <c r="L303" i="5"/>
  <c r="L302" i="5"/>
  <c r="L301" i="5"/>
  <c r="L297" i="5"/>
  <c r="L296" i="5"/>
  <c r="L295" i="5"/>
  <c r="L294" i="5"/>
  <c r="L293" i="5"/>
  <c r="L292" i="5"/>
  <c r="L290" i="5"/>
  <c r="L289" i="5"/>
  <c r="L288" i="5"/>
  <c r="L287" i="5"/>
  <c r="L286" i="5"/>
  <c r="L284" i="5"/>
  <c r="L282" i="5"/>
  <c r="L281" i="5"/>
  <c r="L280" i="5"/>
  <c r="L277" i="5"/>
  <c r="L276" i="5"/>
  <c r="L275" i="5"/>
  <c r="L274" i="5"/>
  <c r="L272" i="5"/>
  <c r="L271" i="5"/>
  <c r="L269" i="5"/>
  <c r="L268" i="5"/>
  <c r="L267" i="5"/>
  <c r="L266" i="5"/>
  <c r="L265" i="5"/>
  <c r="L261" i="5"/>
  <c r="L260" i="5"/>
  <c r="L259" i="5"/>
  <c r="L258" i="5"/>
  <c r="L255" i="5"/>
  <c r="L254" i="5"/>
  <c r="L253" i="5"/>
  <c r="L252" i="5"/>
  <c r="L251" i="5"/>
  <c r="L250" i="5"/>
  <c r="L249" i="5"/>
  <c r="L248" i="5"/>
  <c r="L235" i="5"/>
  <c r="L217" i="5"/>
  <c r="L216" i="5"/>
  <c r="L210" i="5"/>
  <c r="L209" i="5"/>
  <c r="L208" i="5"/>
  <c r="L207" i="5"/>
  <c r="L206" i="5"/>
  <c r="L205" i="5"/>
  <c r="L204" i="5"/>
  <c r="L203" i="5"/>
  <c r="L201" i="5"/>
  <c r="L200" i="5"/>
  <c r="L197" i="5"/>
  <c r="L196" i="5"/>
  <c r="L195" i="5"/>
  <c r="L194" i="5"/>
  <c r="L193" i="5"/>
  <c r="L192" i="5"/>
  <c r="L191" i="5"/>
  <c r="L190" i="5"/>
  <c r="L188" i="5"/>
  <c r="L187" i="5"/>
  <c r="L183" i="5"/>
  <c r="L179" i="5"/>
  <c r="L178" i="5"/>
  <c r="L177" i="5"/>
  <c r="L176" i="5"/>
  <c r="L175" i="5"/>
  <c r="L174" i="5"/>
  <c r="L173" i="5"/>
  <c r="L172" i="5"/>
  <c r="L171" i="5"/>
  <c r="L169" i="5"/>
  <c r="L167" i="5"/>
  <c r="L166" i="5"/>
  <c r="L164" i="5"/>
  <c r="L163" i="5"/>
  <c r="L160" i="5"/>
  <c r="L159" i="5"/>
  <c r="L158" i="5"/>
  <c r="L157" i="5"/>
  <c r="L156" i="5"/>
  <c r="L155" i="5"/>
  <c r="L154" i="5"/>
  <c r="L152" i="5"/>
  <c r="L151" i="5"/>
  <c r="L144" i="5"/>
  <c r="L142" i="5"/>
  <c r="L129" i="5"/>
  <c r="L128" i="5"/>
  <c r="L123" i="5"/>
  <c r="L120" i="5"/>
  <c r="L119" i="5"/>
  <c r="L118" i="5"/>
  <c r="L117" i="5"/>
  <c r="L116" i="5"/>
  <c r="L115" i="5"/>
  <c r="L114" i="5"/>
  <c r="L113" i="5"/>
  <c r="L112" i="5"/>
  <c r="L109" i="5"/>
  <c r="L106" i="5"/>
  <c r="L103" i="5"/>
  <c r="L102" i="5"/>
  <c r="L101" i="5"/>
  <c r="L100" i="5"/>
  <c r="L99" i="5"/>
  <c r="L98" i="5"/>
  <c r="L95" i="5"/>
  <c r="L93" i="5"/>
  <c r="L92" i="5"/>
  <c r="L91" i="5"/>
  <c r="L86" i="5"/>
  <c r="L85" i="5"/>
  <c r="L84" i="5"/>
  <c r="L83" i="5"/>
  <c r="L82" i="5"/>
  <c r="L81" i="5"/>
  <c r="L80" i="5"/>
  <c r="L79" i="5"/>
  <c r="L78" i="5"/>
  <c r="L77" i="5"/>
  <c r="L75" i="5"/>
  <c r="L72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3" i="5"/>
  <c r="L52" i="5"/>
  <c r="L48" i="5"/>
  <c r="L47" i="5"/>
  <c r="L46" i="5"/>
  <c r="L45" i="5"/>
  <c r="L42" i="5"/>
  <c r="L41" i="5"/>
  <c r="L35" i="5"/>
  <c r="L33" i="5"/>
  <c r="L31" i="5"/>
  <c r="L30" i="5"/>
  <c r="L29" i="5"/>
  <c r="L28" i="5"/>
  <c r="L27" i="5"/>
  <c r="L24" i="5"/>
  <c r="L21" i="5"/>
  <c r="L20" i="5"/>
  <c r="L19" i="5"/>
  <c r="L16" i="5"/>
  <c r="L15" i="5"/>
  <c r="L14" i="5"/>
  <c r="L13" i="5"/>
  <c r="L12" i="5"/>
  <c r="L11" i="5"/>
  <c r="L10" i="5"/>
  <c r="L9" i="5"/>
  <c r="L8" i="5"/>
  <c r="L7" i="5"/>
  <c r="L6" i="5"/>
  <c r="L5" i="5"/>
  <c r="F80" i="4"/>
  <c r="F78" i="4"/>
  <c r="F77" i="4"/>
  <c r="F75" i="4"/>
  <c r="F72" i="4"/>
  <c r="F69" i="4"/>
  <c r="F68" i="4"/>
  <c r="F65" i="4"/>
  <c r="F62" i="4"/>
  <c r="F60" i="4"/>
  <c r="F56" i="4"/>
  <c r="F53" i="4"/>
  <c r="F50" i="4"/>
  <c r="F45" i="4"/>
  <c r="F42" i="4"/>
  <c r="F39" i="4"/>
  <c r="F38" i="4"/>
  <c r="F34" i="4"/>
  <c r="F31" i="4"/>
  <c r="F30" i="4"/>
  <c r="F28" i="4"/>
  <c r="F27" i="4"/>
  <c r="F24" i="4"/>
  <c r="F20" i="4"/>
  <c r="F17" i="4"/>
  <c r="F15" i="4"/>
  <c r="F14" i="4"/>
  <c r="F12" i="4"/>
  <c r="F9" i="4"/>
  <c r="F7" i="4"/>
  <c r="C7" i="12"/>
  <c r="C6" i="12"/>
  <c r="C151" i="14"/>
  <c r="L151" i="14" s="1"/>
  <c r="M151" i="14" s="1"/>
  <c r="C150" i="14"/>
  <c r="L150" i="14" s="1"/>
  <c r="M150" i="14" s="1"/>
  <c r="C149" i="14"/>
  <c r="L149" i="14" s="1"/>
  <c r="M149" i="14" s="1"/>
  <c r="C148" i="14"/>
  <c r="L148" i="14" s="1"/>
  <c r="M148" i="14" s="1"/>
  <c r="C147" i="14"/>
  <c r="L147" i="14" s="1"/>
  <c r="M147" i="14" s="1"/>
  <c r="C146" i="14"/>
  <c r="L146" i="14" s="1"/>
  <c r="M146" i="14" s="1"/>
  <c r="C145" i="14"/>
  <c r="L145" i="14" s="1"/>
  <c r="M145" i="14" s="1"/>
  <c r="C144" i="14"/>
  <c r="L144" i="14" s="1"/>
  <c r="C83" i="14"/>
  <c r="L83" i="14" s="1"/>
  <c r="M83" i="14" s="1"/>
  <c r="C82" i="14"/>
  <c r="L82" i="14" s="1"/>
  <c r="M82" i="14" s="1"/>
  <c r="C81" i="14"/>
  <c r="L81" i="14" s="1"/>
  <c r="M81" i="14" s="1"/>
  <c r="C80" i="14"/>
  <c r="L80" i="14" s="1"/>
  <c r="M80" i="14" s="1"/>
  <c r="C79" i="14"/>
  <c r="L79" i="14" s="1"/>
  <c r="M79" i="14" s="1"/>
  <c r="C78" i="14"/>
  <c r="L78" i="14" s="1"/>
  <c r="M78" i="14" s="1"/>
  <c r="C77" i="14"/>
  <c r="L77" i="14" s="1"/>
  <c r="M77" i="14" s="1"/>
  <c r="C76" i="14"/>
  <c r="L76" i="14" s="1"/>
  <c r="C39" i="13"/>
  <c r="K39" i="13" s="1"/>
  <c r="L39" i="13" s="1"/>
  <c r="C31" i="13"/>
  <c r="K31" i="13" s="1"/>
  <c r="L31" i="13" s="1"/>
  <c r="C21" i="13"/>
  <c r="K21" i="13" s="1"/>
  <c r="L21" i="13" s="1"/>
  <c r="C20" i="13"/>
  <c r="K20" i="13" s="1"/>
  <c r="L20" i="13" s="1"/>
  <c r="C19" i="13"/>
  <c r="K19" i="13" s="1"/>
  <c r="L19" i="13" s="1"/>
  <c r="C17" i="13"/>
  <c r="K17" i="13" s="1"/>
  <c r="L17" i="13" s="1"/>
  <c r="C16" i="13"/>
  <c r="K16" i="13" s="1"/>
  <c r="L16" i="13" s="1"/>
  <c r="C15" i="13"/>
  <c r="K15" i="13" s="1"/>
  <c r="L15" i="13" s="1"/>
  <c r="C14" i="13"/>
  <c r="K14" i="13" s="1"/>
  <c r="L14" i="13" s="1"/>
  <c r="C13" i="13"/>
  <c r="K13" i="13" s="1"/>
  <c r="L13" i="13" s="1"/>
  <c r="C10" i="13"/>
  <c r="K10" i="13" s="1"/>
  <c r="L10" i="13" s="1"/>
  <c r="C9" i="13"/>
  <c r="K9" i="13" s="1"/>
  <c r="L9" i="13" s="1"/>
  <c r="C7" i="13"/>
  <c r="K7" i="13" s="1"/>
  <c r="L7" i="13" s="1"/>
  <c r="C221" i="14"/>
  <c r="L221" i="14" s="1"/>
  <c r="M221" i="14" s="1"/>
  <c r="C220" i="14"/>
  <c r="L220" i="14" s="1"/>
  <c r="M220" i="14" s="1"/>
  <c r="C219" i="14"/>
  <c r="L219" i="14" s="1"/>
  <c r="C215" i="14"/>
  <c r="L215" i="14" s="1"/>
  <c r="M215" i="14" s="1"/>
  <c r="C214" i="14"/>
  <c r="L214" i="14" s="1"/>
  <c r="C210" i="14"/>
  <c r="L210" i="14" s="1"/>
  <c r="M210" i="14" s="1"/>
  <c r="C209" i="14"/>
  <c r="L209" i="14" s="1"/>
  <c r="M209" i="14" s="1"/>
  <c r="C208" i="14"/>
  <c r="L208" i="14" s="1"/>
  <c r="C204" i="14"/>
  <c r="L204" i="14" s="1"/>
  <c r="C200" i="14"/>
  <c r="L200" i="14" s="1"/>
  <c r="M200" i="14" s="1"/>
  <c r="C199" i="14"/>
  <c r="L199" i="14" s="1"/>
  <c r="M199" i="14" s="1"/>
  <c r="C198" i="14"/>
  <c r="L198" i="14" s="1"/>
  <c r="C194" i="14"/>
  <c r="L194" i="14" s="1"/>
  <c r="M194" i="14" s="1"/>
  <c r="C193" i="14"/>
  <c r="L193" i="14" s="1"/>
  <c r="C189" i="14"/>
  <c r="L189" i="14" s="1"/>
  <c r="M189" i="14" s="1"/>
  <c r="C188" i="14"/>
  <c r="L188" i="14" s="1"/>
  <c r="M188" i="14" s="1"/>
  <c r="C187" i="14"/>
  <c r="L187" i="14" s="1"/>
  <c r="C183" i="14"/>
  <c r="L183" i="14" s="1"/>
  <c r="M183" i="14" s="1"/>
  <c r="C182" i="14"/>
  <c r="L182" i="14" s="1"/>
  <c r="M182" i="14" s="1"/>
  <c r="C181" i="14"/>
  <c r="L181" i="14" s="1"/>
  <c r="C177" i="14"/>
  <c r="L177" i="14" s="1"/>
  <c r="M177" i="14" s="1"/>
  <c r="C176" i="14"/>
  <c r="L176" i="14" s="1"/>
  <c r="M176" i="14" s="1"/>
  <c r="C175" i="14"/>
  <c r="L175" i="14" s="1"/>
  <c r="C171" i="14"/>
  <c r="L171" i="14" s="1"/>
  <c r="M171" i="14" s="1"/>
  <c r="C170" i="14"/>
  <c r="L170" i="14" s="1"/>
  <c r="M170" i="14" s="1"/>
  <c r="C169" i="14"/>
  <c r="L169" i="14" s="1"/>
  <c r="M169" i="14" s="1"/>
  <c r="C168" i="14"/>
  <c r="L168" i="14" s="1"/>
  <c r="M168" i="14" s="1"/>
  <c r="C167" i="14"/>
  <c r="L167" i="14" s="1"/>
  <c r="M167" i="14" s="1"/>
  <c r="C166" i="14"/>
  <c r="L166" i="14" s="1"/>
  <c r="C162" i="14"/>
  <c r="L162" i="14" s="1"/>
  <c r="M162" i="14" s="1"/>
  <c r="C161" i="14"/>
  <c r="L161" i="14" s="1"/>
  <c r="M161" i="14" s="1"/>
  <c r="C160" i="14"/>
  <c r="L160" i="14" s="1"/>
  <c r="C156" i="14"/>
  <c r="L156" i="14" s="1"/>
  <c r="M156" i="14" s="1"/>
  <c r="C155" i="14"/>
  <c r="L155" i="14" s="1"/>
  <c r="C140" i="14"/>
  <c r="L140" i="14" s="1"/>
  <c r="M140" i="14" s="1"/>
  <c r="C139" i="14"/>
  <c r="L139" i="14" s="1"/>
  <c r="M139" i="14" s="1"/>
  <c r="C138" i="14"/>
  <c r="L138" i="14" s="1"/>
  <c r="C134" i="14"/>
  <c r="L134" i="14" s="1"/>
  <c r="M134" i="14" s="1"/>
  <c r="C133" i="14"/>
  <c r="L133" i="14" s="1"/>
  <c r="C129" i="14"/>
  <c r="L129" i="14" s="1"/>
  <c r="M129" i="14" s="1"/>
  <c r="C128" i="14"/>
  <c r="L128" i="14" s="1"/>
  <c r="M128" i="14" s="1"/>
  <c r="C127" i="14"/>
  <c r="L127" i="14" s="1"/>
  <c r="C123" i="14"/>
  <c r="L123" i="14" s="1"/>
  <c r="M123" i="14" s="1"/>
  <c r="C122" i="14"/>
  <c r="L122" i="14" s="1"/>
  <c r="C118" i="14"/>
  <c r="L118" i="14" s="1"/>
  <c r="M118" i="14" s="1"/>
  <c r="C117" i="14"/>
  <c r="L117" i="14" s="1"/>
  <c r="M117" i="14" s="1"/>
  <c r="C116" i="14"/>
  <c r="L116" i="14" s="1"/>
  <c r="C112" i="14"/>
  <c r="L112" i="14" s="1"/>
  <c r="M112" i="14" s="1"/>
  <c r="C111" i="14"/>
  <c r="L111" i="14" s="1"/>
  <c r="M111" i="14" s="1"/>
  <c r="C110" i="14"/>
  <c r="L110" i="14" s="1"/>
  <c r="C106" i="14"/>
  <c r="L106" i="14" s="1"/>
  <c r="M106" i="14" s="1"/>
  <c r="C105" i="14"/>
  <c r="L105" i="14" s="1"/>
  <c r="M105" i="14" s="1"/>
  <c r="C104" i="14"/>
  <c r="L104" i="14" s="1"/>
  <c r="C100" i="14"/>
  <c r="L100" i="14" s="1"/>
  <c r="M100" i="14" s="1"/>
  <c r="C99" i="14"/>
  <c r="L99" i="14" s="1"/>
  <c r="M99" i="14" s="1"/>
  <c r="C98" i="14"/>
  <c r="L98" i="14" s="1"/>
  <c r="C94" i="14"/>
  <c r="L94" i="14" s="1"/>
  <c r="M94" i="14" s="1"/>
  <c r="C93" i="14"/>
  <c r="L93" i="14" s="1"/>
  <c r="M93" i="14" s="1"/>
  <c r="C92" i="14"/>
  <c r="L92" i="14" s="1"/>
  <c r="C88" i="14"/>
  <c r="L88" i="14" s="1"/>
  <c r="M88" i="14" s="1"/>
  <c r="C87" i="14"/>
  <c r="L87" i="14" s="1"/>
  <c r="C72" i="14"/>
  <c r="L72" i="14" s="1"/>
  <c r="M72" i="14" s="1"/>
  <c r="C71" i="14"/>
  <c r="L71" i="14" s="1"/>
  <c r="C67" i="14"/>
  <c r="L67" i="14" s="1"/>
  <c r="M67" i="14" s="1"/>
  <c r="C66" i="14"/>
  <c r="L66" i="14" s="1"/>
  <c r="C62" i="14"/>
  <c r="L62" i="14" s="1"/>
  <c r="M62" i="14" s="1"/>
  <c r="C61" i="14"/>
  <c r="L61" i="14" s="1"/>
  <c r="C57" i="14"/>
  <c r="L57" i="14" s="1"/>
  <c r="M57" i="14" s="1"/>
  <c r="C56" i="14"/>
  <c r="L56" i="14" s="1"/>
  <c r="M56" i="14" s="1"/>
  <c r="C55" i="14"/>
  <c r="L55" i="14" s="1"/>
  <c r="C51" i="14"/>
  <c r="L51" i="14" s="1"/>
  <c r="M51" i="14" s="1"/>
  <c r="C50" i="14"/>
  <c r="L50" i="14" s="1"/>
  <c r="M50" i="14" s="1"/>
  <c r="C49" i="14"/>
  <c r="L49" i="14" s="1"/>
  <c r="C45" i="14"/>
  <c r="L45" i="14" s="1"/>
  <c r="M45" i="14" s="1"/>
  <c r="C44" i="14"/>
  <c r="L44" i="14" s="1"/>
  <c r="M44" i="14" s="1"/>
  <c r="C43" i="14"/>
  <c r="L43" i="14" s="1"/>
  <c r="C39" i="14"/>
  <c r="L39" i="14" s="1"/>
  <c r="M39" i="14" s="1"/>
  <c r="C38" i="14"/>
  <c r="L38" i="14" s="1"/>
  <c r="M38" i="14" s="1"/>
  <c r="C37" i="14"/>
  <c r="L37" i="14" s="1"/>
  <c r="C33" i="14"/>
  <c r="L33" i="14" s="1"/>
  <c r="M33" i="14" s="1"/>
  <c r="C32" i="14"/>
  <c r="L32" i="14" s="1"/>
  <c r="M32" i="14" s="1"/>
  <c r="C31" i="14"/>
  <c r="L31" i="14" s="1"/>
  <c r="C27" i="14"/>
  <c r="L27" i="14" s="1"/>
  <c r="M27" i="14" s="1"/>
  <c r="C26" i="14"/>
  <c r="L26" i="14" s="1"/>
  <c r="M26" i="14" s="1"/>
  <c r="C25" i="14"/>
  <c r="L25" i="14" s="1"/>
  <c r="C21" i="14"/>
  <c r="L21" i="14" s="1"/>
  <c r="M21" i="14" s="1"/>
  <c r="C20" i="14"/>
  <c r="L20" i="14" s="1"/>
  <c r="M20" i="14" s="1"/>
  <c r="C19" i="14"/>
  <c r="L19" i="14" s="1"/>
  <c r="C15" i="14"/>
  <c r="L15" i="14" s="1"/>
  <c r="M15" i="14" s="1"/>
  <c r="C14" i="14"/>
  <c r="L14" i="14" s="1"/>
  <c r="M14" i="14" s="1"/>
  <c r="C13" i="14"/>
  <c r="L13" i="14" s="1"/>
  <c r="C9" i="14"/>
  <c r="L9" i="14" s="1"/>
  <c r="M9" i="14" s="1"/>
  <c r="C8" i="14"/>
  <c r="L8" i="14" s="1"/>
  <c r="M8" i="14" s="1"/>
  <c r="C7" i="14"/>
  <c r="L7" i="14" s="1"/>
  <c r="M7" i="14" s="1"/>
  <c r="C6" i="14"/>
  <c r="L6" i="14" s="1"/>
  <c r="C48" i="13"/>
  <c r="K48" i="13" s="1"/>
  <c r="L48" i="13" s="1"/>
  <c r="C47" i="13"/>
  <c r="K47" i="13" s="1"/>
  <c r="L47" i="13" s="1"/>
  <c r="C46" i="13"/>
  <c r="K46" i="13" s="1"/>
  <c r="L46" i="13" s="1"/>
  <c r="C45" i="13"/>
  <c r="K45" i="13" s="1"/>
  <c r="L45" i="13" s="1"/>
  <c r="C44" i="13"/>
  <c r="K44" i="13" s="1"/>
  <c r="L44" i="13" s="1"/>
  <c r="C43" i="13"/>
  <c r="K43" i="13" s="1"/>
  <c r="L43" i="13" s="1"/>
  <c r="C42" i="13"/>
  <c r="K42" i="13" s="1"/>
  <c r="L42" i="13" s="1"/>
  <c r="C41" i="13"/>
  <c r="K41" i="13" s="1"/>
  <c r="L41" i="13" s="1"/>
  <c r="C40" i="13"/>
  <c r="K40" i="13" s="1"/>
  <c r="L40" i="13" s="1"/>
  <c r="C38" i="13"/>
  <c r="K38" i="13" s="1"/>
  <c r="L38" i="13" s="1"/>
  <c r="C37" i="13"/>
  <c r="K37" i="13" s="1"/>
  <c r="L37" i="13" s="1"/>
  <c r="C36" i="13"/>
  <c r="K36" i="13" s="1"/>
  <c r="L36" i="13" s="1"/>
  <c r="C35" i="13"/>
  <c r="K35" i="13" s="1"/>
  <c r="L35" i="13" s="1"/>
  <c r="C34" i="13"/>
  <c r="K34" i="13" s="1"/>
  <c r="L34" i="13" s="1"/>
  <c r="C33" i="13"/>
  <c r="K33" i="13" s="1"/>
  <c r="L33" i="13" s="1"/>
  <c r="C32" i="13"/>
  <c r="K32" i="13" s="1"/>
  <c r="L32" i="13" s="1"/>
  <c r="C30" i="13"/>
  <c r="K30" i="13" s="1"/>
  <c r="L30" i="13" s="1"/>
  <c r="C29" i="13"/>
  <c r="K29" i="13" s="1"/>
  <c r="L29" i="13" s="1"/>
  <c r="C28" i="13"/>
  <c r="K28" i="13" s="1"/>
  <c r="L28" i="13" s="1"/>
  <c r="C27" i="13"/>
  <c r="K27" i="13" s="1"/>
  <c r="L27" i="13" s="1"/>
  <c r="C26" i="13"/>
  <c r="K26" i="13" s="1"/>
  <c r="L26" i="13" s="1"/>
  <c r="C25" i="13"/>
  <c r="K25" i="13" s="1"/>
  <c r="L25" i="13" s="1"/>
  <c r="C24" i="13"/>
  <c r="K24" i="13" s="1"/>
  <c r="L24" i="13" s="1"/>
  <c r="C23" i="13"/>
  <c r="K23" i="13" s="1"/>
  <c r="L23" i="13" s="1"/>
  <c r="C22" i="13"/>
  <c r="K22" i="13" s="1"/>
  <c r="L22" i="13" s="1"/>
  <c r="C12" i="13"/>
  <c r="K12" i="13" s="1"/>
  <c r="L12" i="13" s="1"/>
  <c r="C11" i="13"/>
  <c r="K11" i="13" s="1"/>
  <c r="L11" i="13" s="1"/>
  <c r="C8" i="13"/>
  <c r="K8" i="13" s="1"/>
  <c r="L8" i="13" s="1"/>
  <c r="C6" i="13"/>
  <c r="K6" i="13" s="1"/>
  <c r="C9" i="12"/>
  <c r="C8" i="12"/>
  <c r="E24" i="6"/>
  <c r="L786" i="5"/>
  <c r="L333" i="5"/>
  <c r="L332" i="5"/>
  <c r="F25" i="4"/>
  <c r="C18" i="13"/>
  <c r="K18" i="13" s="1"/>
  <c r="L18" i="13" s="1"/>
  <c r="C94" i="10"/>
  <c r="C90" i="10"/>
  <c r="C86" i="10"/>
  <c r="C82" i="10"/>
  <c r="C78" i="10"/>
  <c r="C74" i="10"/>
  <c r="C70" i="10"/>
  <c r="C66" i="10"/>
  <c r="C62" i="10"/>
  <c r="C58" i="10"/>
  <c r="C54" i="10"/>
  <c r="C50" i="10"/>
  <c r="C46" i="10"/>
  <c r="C42" i="10"/>
  <c r="C38" i="10"/>
  <c r="C34" i="10"/>
  <c r="C30" i="10"/>
  <c r="C26" i="10"/>
  <c r="C22" i="10"/>
  <c r="C18" i="10"/>
  <c r="C14" i="10"/>
  <c r="C10" i="10"/>
  <c r="C6" i="10"/>
  <c r="C6" i="9"/>
  <c r="K6" i="9" s="1"/>
  <c r="E78" i="6"/>
  <c r="E73" i="6"/>
  <c r="E58" i="6"/>
  <c r="E36" i="6"/>
  <c r="E28" i="6"/>
  <c r="E25" i="6"/>
  <c r="E22" i="6"/>
  <c r="E5" i="6"/>
  <c r="L1214" i="5"/>
  <c r="L1187" i="5"/>
  <c r="L1133" i="5"/>
  <c r="L1106" i="5"/>
  <c r="L1105" i="5"/>
  <c r="L1079" i="5"/>
  <c r="L1074" i="5"/>
  <c r="L1063" i="5"/>
  <c r="L1061" i="5"/>
  <c r="L1057" i="5"/>
  <c r="L1056" i="5"/>
  <c r="L1055" i="5"/>
  <c r="L1038" i="5"/>
  <c r="L1037" i="5"/>
  <c r="L1035" i="5"/>
  <c r="L1003" i="5"/>
  <c r="L1002" i="5"/>
  <c r="L1000" i="5"/>
  <c r="L999" i="5"/>
  <c r="L961" i="5"/>
  <c r="L959" i="5"/>
  <c r="L938" i="5"/>
  <c r="L930" i="5"/>
  <c r="L910" i="5"/>
  <c r="L905" i="5"/>
  <c r="L882" i="5"/>
  <c r="L881" i="5"/>
  <c r="L877" i="5"/>
  <c r="L864" i="5"/>
  <c r="L863" i="5"/>
  <c r="L862" i="5"/>
  <c r="L861" i="5"/>
  <c r="L860" i="5"/>
  <c r="L859" i="5"/>
  <c r="L858" i="5"/>
  <c r="L857" i="5"/>
  <c r="L850" i="5"/>
  <c r="L849" i="5"/>
  <c r="L848" i="5"/>
  <c r="L847" i="5"/>
  <c r="L841" i="5"/>
  <c r="L839" i="5"/>
  <c r="L816" i="5"/>
  <c r="L813" i="5"/>
  <c r="L805" i="5"/>
  <c r="L804" i="5"/>
  <c r="L803" i="5"/>
  <c r="L802" i="5"/>
  <c r="L787" i="5"/>
  <c r="L785" i="5"/>
  <c r="L778" i="5"/>
  <c r="L761" i="5"/>
  <c r="L744" i="5"/>
  <c r="L730" i="5"/>
  <c r="L721" i="5"/>
  <c r="L691" i="5"/>
  <c r="L689" i="5"/>
  <c r="L661" i="5"/>
  <c r="L655" i="5"/>
  <c r="L654" i="5"/>
  <c r="L636" i="5"/>
  <c r="L612" i="5"/>
  <c r="L611" i="5"/>
  <c r="L608" i="5"/>
  <c r="L596" i="5"/>
  <c r="L585" i="5"/>
  <c r="L559" i="5"/>
  <c r="L558" i="5"/>
  <c r="L555" i="5"/>
  <c r="L554" i="5"/>
  <c r="L449" i="5"/>
  <c r="L448" i="5"/>
  <c r="L447" i="5"/>
  <c r="L446" i="5"/>
  <c r="L383" i="5"/>
  <c r="L370" i="5"/>
  <c r="L353" i="5"/>
  <c r="L314" i="5"/>
  <c r="L312" i="5"/>
  <c r="L285" i="5"/>
  <c r="L270" i="5"/>
  <c r="L257" i="5"/>
  <c r="L236" i="5"/>
  <c r="L234" i="5"/>
  <c r="L232" i="5"/>
  <c r="L231" i="5"/>
  <c r="L230" i="5"/>
  <c r="L186" i="5"/>
  <c r="L182" i="5"/>
  <c r="L165" i="5"/>
  <c r="L162" i="5"/>
  <c r="L153" i="5"/>
  <c r="L141" i="5"/>
  <c r="L138" i="5"/>
  <c r="L136" i="5"/>
  <c r="L108" i="5"/>
  <c r="L105" i="5"/>
  <c r="L104" i="5"/>
  <c r="L97" i="5"/>
  <c r="L74" i="5"/>
  <c r="L68" i="5"/>
  <c r="L40" i="5"/>
  <c r="L38" i="5"/>
  <c r="L18" i="5"/>
  <c r="L17" i="5"/>
  <c r="F79" i="4"/>
  <c r="F74" i="4"/>
  <c r="F59" i="4"/>
  <c r="F37" i="4"/>
  <c r="F29" i="4"/>
  <c r="F26" i="4"/>
  <c r="F23" i="4"/>
  <c r="F6" i="4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596" i="5"/>
  <c r="P596" i="5" s="1"/>
  <c r="R596" i="5" s="1"/>
  <c r="J6" i="4"/>
  <c r="H5" i="6"/>
  <c r="O596" i="5"/>
  <c r="Q596" i="5" s="1"/>
  <c r="K6" i="4"/>
  <c r="G6" i="6"/>
  <c r="M903" i="5"/>
  <c r="P903" i="5" s="1"/>
  <c r="R903" i="5" s="1"/>
  <c r="M851" i="5"/>
  <c r="P851" i="5" s="1"/>
  <c r="R851" i="5" s="1"/>
  <c r="M371" i="5"/>
  <c r="P371" i="5" s="1"/>
  <c r="R371" i="5" s="1"/>
  <c r="J7" i="4"/>
  <c r="L7" i="4" s="1"/>
  <c r="M7" i="4" s="1"/>
  <c r="H6" i="6"/>
  <c r="O903" i="5"/>
  <c r="Q903" i="5" s="1"/>
  <c r="O851" i="5"/>
  <c r="Q851" i="5" s="1"/>
  <c r="O371" i="5"/>
  <c r="Q371" i="5" s="1"/>
  <c r="K7" i="4"/>
  <c r="G7" i="6"/>
  <c r="M895" i="5"/>
  <c r="P895" i="5" s="1"/>
  <c r="R895" i="5" s="1"/>
  <c r="M893" i="5"/>
  <c r="P893" i="5" s="1"/>
  <c r="R893" i="5" s="1"/>
  <c r="M892" i="5"/>
  <c r="P892" i="5" s="1"/>
  <c r="R892" i="5" s="1"/>
  <c r="M547" i="5"/>
  <c r="P547" i="5" s="1"/>
  <c r="R547" i="5" s="1"/>
  <c r="M546" i="5"/>
  <c r="P546" i="5" s="1"/>
  <c r="R546" i="5" s="1"/>
  <c r="M530" i="5"/>
  <c r="P530" i="5" s="1"/>
  <c r="R530" i="5" s="1"/>
  <c r="M529" i="5"/>
  <c r="P529" i="5" s="1"/>
  <c r="R529" i="5" s="1"/>
  <c r="M495" i="5"/>
  <c r="P495" i="5" s="1"/>
  <c r="R495" i="5" s="1"/>
  <c r="M494" i="5"/>
  <c r="P494" i="5" s="1"/>
  <c r="R494" i="5" s="1"/>
  <c r="M484" i="5"/>
  <c r="P484" i="5" s="1"/>
  <c r="R484" i="5" s="1"/>
  <c r="M470" i="5"/>
  <c r="P470" i="5" s="1"/>
  <c r="R470" i="5" s="1"/>
  <c r="M435" i="5"/>
  <c r="P435" i="5" s="1"/>
  <c r="R435" i="5" s="1"/>
  <c r="M434" i="5"/>
  <c r="P434" i="5" s="1"/>
  <c r="R434" i="5" s="1"/>
  <c r="J8" i="4"/>
  <c r="L8" i="4" s="1"/>
  <c r="M8" i="4" s="1"/>
  <c r="H7" i="6"/>
  <c r="O895" i="5"/>
  <c r="Q895" i="5" s="1"/>
  <c r="O893" i="5"/>
  <c r="Q893" i="5" s="1"/>
  <c r="O892" i="5"/>
  <c r="Q892" i="5" s="1"/>
  <c r="O547" i="5"/>
  <c r="Q547" i="5" s="1"/>
  <c r="O546" i="5"/>
  <c r="Q546" i="5" s="1"/>
  <c r="O530" i="5"/>
  <c r="Q530" i="5" s="1"/>
  <c r="O529" i="5"/>
  <c r="Q529" i="5" s="1"/>
  <c r="O495" i="5"/>
  <c r="Q495" i="5" s="1"/>
  <c r="O494" i="5"/>
  <c r="Q494" i="5" s="1"/>
  <c r="O484" i="5"/>
  <c r="Q484" i="5" s="1"/>
  <c r="O470" i="5"/>
  <c r="Q470" i="5" s="1"/>
  <c r="O435" i="5"/>
  <c r="Q435" i="5" s="1"/>
  <c r="O434" i="5"/>
  <c r="Q434" i="5" s="1"/>
  <c r="K8" i="4"/>
  <c r="G8" i="6"/>
  <c r="M1177" i="5"/>
  <c r="P1177" i="5" s="1"/>
  <c r="R1177" i="5" s="1"/>
  <c r="M1168" i="5"/>
  <c r="P1168" i="5" s="1"/>
  <c r="R1168" i="5" s="1"/>
  <c r="M1167" i="5"/>
  <c r="P1167" i="5" s="1"/>
  <c r="R1167" i="5" s="1"/>
  <c r="M1166" i="5"/>
  <c r="P1166" i="5" s="1"/>
  <c r="R1166" i="5" s="1"/>
  <c r="M1123" i="5"/>
  <c r="P1123" i="5" s="1"/>
  <c r="R1123" i="5" s="1"/>
  <c r="M1090" i="5"/>
  <c r="P1090" i="5" s="1"/>
  <c r="R1090" i="5" s="1"/>
  <c r="M1084" i="5"/>
  <c r="P1084" i="5" s="1"/>
  <c r="R1084" i="5" s="1"/>
  <c r="M1060" i="5"/>
  <c r="P1060" i="5" s="1"/>
  <c r="R1060" i="5" s="1"/>
  <c r="M1036" i="5"/>
  <c r="P1036" i="5" s="1"/>
  <c r="R1036" i="5" s="1"/>
  <c r="M946" i="5"/>
  <c r="P946" i="5" s="1"/>
  <c r="R946" i="5" s="1"/>
  <c r="M944" i="5"/>
  <c r="P944" i="5" s="1"/>
  <c r="R944" i="5" s="1"/>
  <c r="M943" i="5"/>
  <c r="P943" i="5" s="1"/>
  <c r="R943" i="5" s="1"/>
  <c r="M929" i="5"/>
  <c r="P929" i="5" s="1"/>
  <c r="R929" i="5" s="1"/>
  <c r="M807" i="5"/>
  <c r="P807" i="5" s="1"/>
  <c r="R807" i="5" s="1"/>
  <c r="M773" i="5"/>
  <c r="P773" i="5" s="1"/>
  <c r="R773" i="5" s="1"/>
  <c r="M760" i="5"/>
  <c r="P760" i="5" s="1"/>
  <c r="R760" i="5" s="1"/>
  <c r="M741" i="5"/>
  <c r="P741" i="5" s="1"/>
  <c r="R741" i="5" s="1"/>
  <c r="M725" i="5"/>
  <c r="P725" i="5" s="1"/>
  <c r="R725" i="5" s="1"/>
  <c r="M710" i="5"/>
  <c r="P710" i="5" s="1"/>
  <c r="R710" i="5" s="1"/>
  <c r="M698" i="5"/>
  <c r="P698" i="5" s="1"/>
  <c r="R698" i="5" s="1"/>
  <c r="M651" i="5"/>
  <c r="P651" i="5" s="1"/>
  <c r="R651" i="5" s="1"/>
  <c r="M650" i="5"/>
  <c r="P650" i="5" s="1"/>
  <c r="R650" i="5" s="1"/>
  <c r="M635" i="5"/>
  <c r="P635" i="5" s="1"/>
  <c r="R635" i="5" s="1"/>
  <c r="M576" i="5"/>
  <c r="P576" i="5" s="1"/>
  <c r="R576" i="5" s="1"/>
  <c r="M569" i="5"/>
  <c r="P569" i="5" s="1"/>
  <c r="R569" i="5" s="1"/>
  <c r="M509" i="5"/>
  <c r="P509" i="5" s="1"/>
  <c r="R509" i="5" s="1"/>
  <c r="M508" i="5"/>
  <c r="P508" i="5" s="1"/>
  <c r="R508" i="5" s="1"/>
  <c r="M507" i="5"/>
  <c r="P507" i="5" s="1"/>
  <c r="R507" i="5" s="1"/>
  <c r="M506" i="5"/>
  <c r="P506" i="5" s="1"/>
  <c r="R506" i="5" s="1"/>
  <c r="M426" i="5"/>
  <c r="P426" i="5" s="1"/>
  <c r="R426" i="5" s="1"/>
  <c r="M425" i="5"/>
  <c r="P425" i="5" s="1"/>
  <c r="R425" i="5" s="1"/>
  <c r="M424" i="5"/>
  <c r="P424" i="5" s="1"/>
  <c r="R424" i="5" s="1"/>
  <c r="M423" i="5"/>
  <c r="P423" i="5" s="1"/>
  <c r="R423" i="5" s="1"/>
  <c r="M330" i="5"/>
  <c r="P330" i="5" s="1"/>
  <c r="R330" i="5" s="1"/>
  <c r="M315" i="5"/>
  <c r="P315" i="5" s="1"/>
  <c r="R315" i="5" s="1"/>
  <c r="M293" i="5"/>
  <c r="P293" i="5" s="1"/>
  <c r="R293" i="5" s="1"/>
  <c r="M282" i="5"/>
  <c r="P282" i="5" s="1"/>
  <c r="R282" i="5" s="1"/>
  <c r="M269" i="5"/>
  <c r="P269" i="5" s="1"/>
  <c r="R269" i="5" s="1"/>
  <c r="M259" i="5"/>
  <c r="P259" i="5" s="1"/>
  <c r="R259" i="5" s="1"/>
  <c r="M176" i="5"/>
  <c r="P176" i="5" s="1"/>
  <c r="R176" i="5" s="1"/>
  <c r="M172" i="5"/>
  <c r="P172" i="5" s="1"/>
  <c r="R172" i="5" s="1"/>
  <c r="M164" i="5"/>
  <c r="P164" i="5" s="1"/>
  <c r="R164" i="5" s="1"/>
  <c r="M163" i="5"/>
  <c r="P163" i="5" s="1"/>
  <c r="R163" i="5" s="1"/>
  <c r="M120" i="5"/>
  <c r="P120" i="5" s="1"/>
  <c r="R120" i="5" s="1"/>
  <c r="M119" i="5"/>
  <c r="P119" i="5" s="1"/>
  <c r="R119" i="5" s="1"/>
  <c r="M113" i="5"/>
  <c r="P113" i="5" s="1"/>
  <c r="R113" i="5" s="1"/>
  <c r="M85" i="5"/>
  <c r="P85" i="5" s="1"/>
  <c r="R85" i="5" s="1"/>
  <c r="M75" i="5"/>
  <c r="P75" i="5" s="1"/>
  <c r="R75" i="5" s="1"/>
  <c r="M57" i="5"/>
  <c r="P57" i="5" s="1"/>
  <c r="R57" i="5" s="1"/>
  <c r="M41" i="5"/>
  <c r="P41" i="5" s="1"/>
  <c r="R41" i="5" s="1"/>
  <c r="M8" i="5"/>
  <c r="P8" i="5" s="1"/>
  <c r="R8" i="5" s="1"/>
  <c r="J9" i="4"/>
  <c r="L9" i="4" s="1"/>
  <c r="M9" i="4" s="1"/>
  <c r="H8" i="6"/>
  <c r="O1177" i="5"/>
  <c r="Q1177" i="5" s="1"/>
  <c r="O1168" i="5"/>
  <c r="Q1168" i="5" s="1"/>
  <c r="O1167" i="5"/>
  <c r="Q1167" i="5" s="1"/>
  <c r="O1166" i="5"/>
  <c r="Q1166" i="5" s="1"/>
  <c r="O1123" i="5"/>
  <c r="Q1123" i="5" s="1"/>
  <c r="O1090" i="5"/>
  <c r="Q1090" i="5" s="1"/>
  <c r="O1084" i="5"/>
  <c r="Q1084" i="5" s="1"/>
  <c r="O1060" i="5"/>
  <c r="Q1060" i="5" s="1"/>
  <c r="O1036" i="5"/>
  <c r="Q1036" i="5" s="1"/>
  <c r="O946" i="5"/>
  <c r="Q946" i="5" s="1"/>
  <c r="O944" i="5"/>
  <c r="Q944" i="5" s="1"/>
  <c r="O943" i="5"/>
  <c r="Q943" i="5" s="1"/>
  <c r="O929" i="5"/>
  <c r="Q929" i="5" s="1"/>
  <c r="O807" i="5"/>
  <c r="Q807" i="5" s="1"/>
  <c r="O773" i="5"/>
  <c r="Q773" i="5" s="1"/>
  <c r="O760" i="5"/>
  <c r="Q760" i="5" s="1"/>
  <c r="O741" i="5"/>
  <c r="Q741" i="5" s="1"/>
  <c r="O725" i="5"/>
  <c r="Q725" i="5" s="1"/>
  <c r="O710" i="5"/>
  <c r="Q710" i="5" s="1"/>
  <c r="O698" i="5"/>
  <c r="Q698" i="5" s="1"/>
  <c r="O651" i="5"/>
  <c r="Q651" i="5" s="1"/>
  <c r="O650" i="5"/>
  <c r="Q650" i="5" s="1"/>
  <c r="O635" i="5"/>
  <c r="Q635" i="5" s="1"/>
  <c r="O576" i="5"/>
  <c r="Q576" i="5" s="1"/>
  <c r="O569" i="5"/>
  <c r="Q569" i="5" s="1"/>
  <c r="O509" i="5"/>
  <c r="Q509" i="5" s="1"/>
  <c r="O508" i="5"/>
  <c r="Q508" i="5" s="1"/>
  <c r="O507" i="5"/>
  <c r="Q507" i="5" s="1"/>
  <c r="O506" i="5"/>
  <c r="Q506" i="5" s="1"/>
  <c r="O426" i="5"/>
  <c r="Q426" i="5" s="1"/>
  <c r="O425" i="5"/>
  <c r="Q425" i="5" s="1"/>
  <c r="O424" i="5"/>
  <c r="Q424" i="5" s="1"/>
  <c r="O423" i="5"/>
  <c r="Q423" i="5" s="1"/>
  <c r="O330" i="5"/>
  <c r="Q330" i="5" s="1"/>
  <c r="O315" i="5"/>
  <c r="Q315" i="5" s="1"/>
  <c r="O293" i="5"/>
  <c r="Q293" i="5" s="1"/>
  <c r="O282" i="5"/>
  <c r="Q282" i="5" s="1"/>
  <c r="O269" i="5"/>
  <c r="Q269" i="5" s="1"/>
  <c r="O259" i="5"/>
  <c r="Q259" i="5" s="1"/>
  <c r="O176" i="5"/>
  <c r="Q176" i="5" s="1"/>
  <c r="O172" i="5"/>
  <c r="Q172" i="5" s="1"/>
  <c r="O164" i="5"/>
  <c r="Q164" i="5" s="1"/>
  <c r="O163" i="5"/>
  <c r="Q163" i="5" s="1"/>
  <c r="O120" i="5"/>
  <c r="Q120" i="5" s="1"/>
  <c r="O119" i="5"/>
  <c r="Q119" i="5" s="1"/>
  <c r="O113" i="5"/>
  <c r="Q113" i="5" s="1"/>
  <c r="O85" i="5"/>
  <c r="Q85" i="5" s="1"/>
  <c r="O75" i="5"/>
  <c r="Q75" i="5" s="1"/>
  <c r="O57" i="5"/>
  <c r="Q57" i="5" s="1"/>
  <c r="O41" i="5"/>
  <c r="Q41" i="5" s="1"/>
  <c r="O8" i="5"/>
  <c r="Q8" i="5" s="1"/>
  <c r="K9" i="4"/>
  <c r="G9" i="6"/>
  <c r="M369" i="5"/>
  <c r="P369" i="5" s="1"/>
  <c r="R369" i="5" s="1"/>
  <c r="M368" i="5"/>
  <c r="P368" i="5" s="1"/>
  <c r="R368" i="5" s="1"/>
  <c r="J10" i="4"/>
  <c r="L10" i="4" s="1"/>
  <c r="M10" i="4" s="1"/>
  <c r="H9" i="6"/>
  <c r="O369" i="5"/>
  <c r="Q369" i="5" s="1"/>
  <c r="O368" i="5"/>
  <c r="Q368" i="5" s="1"/>
  <c r="K10" i="4"/>
  <c r="G10" i="6"/>
  <c r="M838" i="5"/>
  <c r="P838" i="5" s="1"/>
  <c r="R838" i="5" s="1"/>
  <c r="M328" i="5"/>
  <c r="P328" i="5" s="1"/>
  <c r="R328" i="5" s="1"/>
  <c r="M327" i="5"/>
  <c r="P327" i="5" s="1"/>
  <c r="R327" i="5" s="1"/>
  <c r="M322" i="5"/>
  <c r="P322" i="5" s="1"/>
  <c r="R322" i="5" s="1"/>
  <c r="J11" i="4"/>
  <c r="L11" i="4" s="1"/>
  <c r="M11" i="4" s="1"/>
  <c r="H10" i="6"/>
  <c r="O838" i="5"/>
  <c r="Q838" i="5" s="1"/>
  <c r="O328" i="5"/>
  <c r="Q328" i="5" s="1"/>
  <c r="O327" i="5"/>
  <c r="Q327" i="5" s="1"/>
  <c r="O322" i="5"/>
  <c r="Q322" i="5" s="1"/>
  <c r="K11" i="4"/>
  <c r="G11" i="6"/>
  <c r="M1195" i="5"/>
  <c r="P1195" i="5" s="1"/>
  <c r="R1195" i="5" s="1"/>
  <c r="M1113" i="5"/>
  <c r="P1113" i="5" s="1"/>
  <c r="R1113" i="5" s="1"/>
  <c r="M986" i="5"/>
  <c r="P986" i="5" s="1"/>
  <c r="R986" i="5" s="1"/>
  <c r="M984" i="5"/>
  <c r="P984" i="5" s="1"/>
  <c r="R984" i="5" s="1"/>
  <c r="M982" i="5"/>
  <c r="P982" i="5" s="1"/>
  <c r="R982" i="5" s="1"/>
  <c r="M981" i="5"/>
  <c r="P981" i="5" s="1"/>
  <c r="R981" i="5" s="1"/>
  <c r="M980" i="5"/>
  <c r="P980" i="5" s="1"/>
  <c r="R980" i="5" s="1"/>
  <c r="M979" i="5"/>
  <c r="P979" i="5" s="1"/>
  <c r="R979" i="5" s="1"/>
  <c r="M916" i="5"/>
  <c r="P916" i="5" s="1"/>
  <c r="R916" i="5" s="1"/>
  <c r="M915" i="5"/>
  <c r="P915" i="5" s="1"/>
  <c r="M705" i="5"/>
  <c r="P705" i="5" s="1"/>
  <c r="R705" i="5" s="1"/>
  <c r="M673" i="5"/>
  <c r="P673" i="5" s="1"/>
  <c r="R673" i="5" s="1"/>
  <c r="M671" i="5"/>
  <c r="P671" i="5" s="1"/>
  <c r="R671" i="5" s="1"/>
  <c r="M622" i="5"/>
  <c r="P622" i="5" s="1"/>
  <c r="R622" i="5" s="1"/>
  <c r="M621" i="5"/>
  <c r="P621" i="5" s="1"/>
  <c r="R621" i="5" s="1"/>
  <c r="M617" i="5"/>
  <c r="P617" i="5" s="1"/>
  <c r="R617" i="5" s="1"/>
  <c r="M600" i="5"/>
  <c r="P600" i="5" s="1"/>
  <c r="R600" i="5" s="1"/>
  <c r="M599" i="5"/>
  <c r="P599" i="5" s="1"/>
  <c r="R599" i="5" s="1"/>
  <c r="M595" i="5"/>
  <c r="P595" i="5" s="1"/>
  <c r="R595" i="5" s="1"/>
  <c r="M594" i="5"/>
  <c r="P594" i="5" s="1"/>
  <c r="R594" i="5" s="1"/>
  <c r="M217" i="5"/>
  <c r="P217" i="5" s="1"/>
  <c r="R217" i="5" s="1"/>
  <c r="M210" i="5"/>
  <c r="P210" i="5" s="1"/>
  <c r="R210" i="5" s="1"/>
  <c r="M129" i="5"/>
  <c r="P129" i="5" s="1"/>
  <c r="R129" i="5" s="1"/>
  <c r="M128" i="5"/>
  <c r="P128" i="5" s="1"/>
  <c r="R128" i="5" s="1"/>
  <c r="M123" i="5"/>
  <c r="P123" i="5" s="1"/>
  <c r="M95" i="5"/>
  <c r="P95" i="5" s="1"/>
  <c r="R95" i="5" s="1"/>
  <c r="J12" i="4"/>
  <c r="L12" i="4" s="1"/>
  <c r="M12" i="4" s="1"/>
  <c r="H11" i="6"/>
  <c r="O1195" i="5"/>
  <c r="Q1195" i="5" s="1"/>
  <c r="O1113" i="5"/>
  <c r="Q1113" i="5" s="1"/>
  <c r="O986" i="5"/>
  <c r="Q986" i="5" s="1"/>
  <c r="O984" i="5"/>
  <c r="Q984" i="5" s="1"/>
  <c r="O982" i="5"/>
  <c r="Q982" i="5" s="1"/>
  <c r="O981" i="5"/>
  <c r="Q981" i="5" s="1"/>
  <c r="O980" i="5"/>
  <c r="Q980" i="5" s="1"/>
  <c r="O979" i="5"/>
  <c r="Q979" i="5" s="1"/>
  <c r="O916" i="5"/>
  <c r="Q916" i="5" s="1"/>
  <c r="O915" i="5"/>
  <c r="Q915" i="5" s="1"/>
  <c r="Q939" i="5" s="1"/>
  <c r="O705" i="5"/>
  <c r="Q705" i="5" s="1"/>
  <c r="O673" i="5"/>
  <c r="Q673" i="5" s="1"/>
  <c r="O671" i="5"/>
  <c r="Q671" i="5" s="1"/>
  <c r="O622" i="5"/>
  <c r="Q622" i="5" s="1"/>
  <c r="O621" i="5"/>
  <c r="Q621" i="5" s="1"/>
  <c r="O617" i="5"/>
  <c r="Q617" i="5" s="1"/>
  <c r="O600" i="5"/>
  <c r="Q600" i="5" s="1"/>
  <c r="O599" i="5"/>
  <c r="Q599" i="5" s="1"/>
  <c r="O595" i="5"/>
  <c r="Q595" i="5" s="1"/>
  <c r="O594" i="5"/>
  <c r="Q594" i="5" s="1"/>
  <c r="O217" i="5"/>
  <c r="Q217" i="5" s="1"/>
  <c r="O210" i="5"/>
  <c r="Q210" i="5" s="1"/>
  <c r="O129" i="5"/>
  <c r="Q129" i="5" s="1"/>
  <c r="O128" i="5"/>
  <c r="Q128" i="5" s="1"/>
  <c r="O123" i="5"/>
  <c r="Q123" i="5" s="1"/>
  <c r="Q149" i="5" s="1"/>
  <c r="O95" i="5"/>
  <c r="Q95" i="5" s="1"/>
  <c r="K12" i="4"/>
  <c r="G12" i="6"/>
  <c r="M909" i="5"/>
  <c r="P909" i="5" s="1"/>
  <c r="R909" i="5" s="1"/>
  <c r="M908" i="5"/>
  <c r="P908" i="5" s="1"/>
  <c r="R908" i="5" s="1"/>
  <c r="M907" i="5"/>
  <c r="P907" i="5" s="1"/>
  <c r="R907" i="5" s="1"/>
  <c r="M901" i="5"/>
  <c r="P901" i="5" s="1"/>
  <c r="R901" i="5" s="1"/>
  <c r="M900" i="5"/>
  <c r="P900" i="5" s="1"/>
  <c r="R900" i="5" s="1"/>
  <c r="M899" i="5"/>
  <c r="P899" i="5" s="1"/>
  <c r="R899" i="5" s="1"/>
  <c r="M898" i="5"/>
  <c r="P898" i="5" s="1"/>
  <c r="R898" i="5" s="1"/>
  <c r="M897" i="5"/>
  <c r="P897" i="5" s="1"/>
  <c r="R897" i="5" s="1"/>
  <c r="M896" i="5"/>
  <c r="P896" i="5" s="1"/>
  <c r="R896" i="5" s="1"/>
  <c r="M891" i="5"/>
  <c r="P891" i="5" s="1"/>
  <c r="R891" i="5" s="1"/>
  <c r="M550" i="5"/>
  <c r="P550" i="5" s="1"/>
  <c r="R550" i="5" s="1"/>
  <c r="M549" i="5"/>
  <c r="P549" i="5" s="1"/>
  <c r="R549" i="5" s="1"/>
  <c r="M548" i="5"/>
  <c r="P548" i="5" s="1"/>
  <c r="R548" i="5" s="1"/>
  <c r="M545" i="5"/>
  <c r="P545" i="5" s="1"/>
  <c r="R545" i="5" s="1"/>
  <c r="M543" i="5"/>
  <c r="P543" i="5" s="1"/>
  <c r="R543" i="5" s="1"/>
  <c r="M542" i="5"/>
  <c r="P542" i="5" s="1"/>
  <c r="R542" i="5" s="1"/>
  <c r="M541" i="5"/>
  <c r="P541" i="5" s="1"/>
  <c r="R541" i="5" s="1"/>
  <c r="M540" i="5"/>
  <c r="P540" i="5" s="1"/>
  <c r="R540" i="5" s="1"/>
  <c r="M537" i="5"/>
  <c r="P537" i="5" s="1"/>
  <c r="R537" i="5" s="1"/>
  <c r="M531" i="5"/>
  <c r="P531" i="5" s="1"/>
  <c r="R531" i="5" s="1"/>
  <c r="M528" i="5"/>
  <c r="P528" i="5" s="1"/>
  <c r="R528" i="5" s="1"/>
  <c r="M526" i="5"/>
  <c r="P526" i="5" s="1"/>
  <c r="R526" i="5" s="1"/>
  <c r="M525" i="5"/>
  <c r="P525" i="5" s="1"/>
  <c r="R525" i="5" s="1"/>
  <c r="M524" i="5"/>
  <c r="P524" i="5" s="1"/>
  <c r="R524" i="5" s="1"/>
  <c r="M523" i="5"/>
  <c r="P523" i="5" s="1"/>
  <c r="R523" i="5" s="1"/>
  <c r="M522" i="5"/>
  <c r="P522" i="5" s="1"/>
  <c r="R522" i="5" s="1"/>
  <c r="M498" i="5"/>
  <c r="P498" i="5" s="1"/>
  <c r="R498" i="5" s="1"/>
  <c r="M497" i="5"/>
  <c r="P497" i="5" s="1"/>
  <c r="R497" i="5" s="1"/>
  <c r="M496" i="5"/>
  <c r="P496" i="5" s="1"/>
  <c r="R496" i="5" s="1"/>
  <c r="M493" i="5"/>
  <c r="P493" i="5" s="1"/>
  <c r="R493" i="5" s="1"/>
  <c r="M490" i="5"/>
  <c r="P490" i="5" s="1"/>
  <c r="R490" i="5" s="1"/>
  <c r="M487" i="5"/>
  <c r="P487" i="5" s="1"/>
  <c r="R487" i="5" s="1"/>
  <c r="M479" i="5"/>
  <c r="P479" i="5" s="1"/>
  <c r="R479" i="5" s="1"/>
  <c r="M478" i="5"/>
  <c r="P478" i="5" s="1"/>
  <c r="R478" i="5" s="1"/>
  <c r="M477" i="5"/>
  <c r="P477" i="5" s="1"/>
  <c r="R477" i="5" s="1"/>
  <c r="M476" i="5"/>
  <c r="P476" i="5" s="1"/>
  <c r="R476" i="5" s="1"/>
  <c r="M475" i="5"/>
  <c r="P475" i="5" s="1"/>
  <c r="R475" i="5" s="1"/>
  <c r="M474" i="5"/>
  <c r="P474" i="5" s="1"/>
  <c r="R474" i="5" s="1"/>
  <c r="M471" i="5"/>
  <c r="P471" i="5" s="1"/>
  <c r="R471" i="5" s="1"/>
  <c r="M467" i="5"/>
  <c r="P467" i="5" s="1"/>
  <c r="R467" i="5" s="1"/>
  <c r="M466" i="5"/>
  <c r="P466" i="5" s="1"/>
  <c r="R466" i="5" s="1"/>
  <c r="M465" i="5"/>
  <c r="P465" i="5" s="1"/>
  <c r="R465" i="5" s="1"/>
  <c r="M436" i="5"/>
  <c r="P436" i="5" s="1"/>
  <c r="R436" i="5" s="1"/>
  <c r="M433" i="5"/>
  <c r="P433" i="5" s="1"/>
  <c r="R433" i="5" s="1"/>
  <c r="M430" i="5"/>
  <c r="P430" i="5" s="1"/>
  <c r="R430" i="5" s="1"/>
  <c r="M429" i="5"/>
  <c r="P429" i="5" s="1"/>
  <c r="R429" i="5" s="1"/>
  <c r="M428" i="5"/>
  <c r="P428" i="5" s="1"/>
  <c r="R428" i="5" s="1"/>
  <c r="M427" i="5"/>
  <c r="P427" i="5" s="1"/>
  <c r="R427" i="5" s="1"/>
  <c r="J13" i="4"/>
  <c r="L13" i="4" s="1"/>
  <c r="M13" i="4" s="1"/>
  <c r="H12" i="6"/>
  <c r="O909" i="5"/>
  <c r="Q909" i="5" s="1"/>
  <c r="O908" i="5"/>
  <c r="Q908" i="5" s="1"/>
  <c r="O907" i="5"/>
  <c r="Q907" i="5" s="1"/>
  <c r="O901" i="5"/>
  <c r="Q901" i="5" s="1"/>
  <c r="O900" i="5"/>
  <c r="Q900" i="5" s="1"/>
  <c r="O899" i="5"/>
  <c r="Q899" i="5" s="1"/>
  <c r="O898" i="5"/>
  <c r="Q898" i="5" s="1"/>
  <c r="O897" i="5"/>
  <c r="Q897" i="5" s="1"/>
  <c r="O896" i="5"/>
  <c r="Q896" i="5" s="1"/>
  <c r="O891" i="5"/>
  <c r="Q891" i="5" s="1"/>
  <c r="O550" i="5"/>
  <c r="Q550" i="5" s="1"/>
  <c r="O549" i="5"/>
  <c r="Q549" i="5" s="1"/>
  <c r="O548" i="5"/>
  <c r="Q548" i="5" s="1"/>
  <c r="O545" i="5"/>
  <c r="Q545" i="5" s="1"/>
  <c r="O543" i="5"/>
  <c r="Q543" i="5" s="1"/>
  <c r="O542" i="5"/>
  <c r="Q542" i="5" s="1"/>
  <c r="O541" i="5"/>
  <c r="Q541" i="5" s="1"/>
  <c r="O540" i="5"/>
  <c r="Q540" i="5" s="1"/>
  <c r="O537" i="5"/>
  <c r="Q537" i="5" s="1"/>
  <c r="O531" i="5"/>
  <c r="Q531" i="5" s="1"/>
  <c r="O528" i="5"/>
  <c r="Q528" i="5" s="1"/>
  <c r="O526" i="5"/>
  <c r="Q526" i="5" s="1"/>
  <c r="O525" i="5"/>
  <c r="Q525" i="5" s="1"/>
  <c r="O524" i="5"/>
  <c r="Q524" i="5" s="1"/>
  <c r="O523" i="5"/>
  <c r="Q523" i="5" s="1"/>
  <c r="O522" i="5"/>
  <c r="Q522" i="5" s="1"/>
  <c r="O498" i="5"/>
  <c r="Q498" i="5" s="1"/>
  <c r="O497" i="5"/>
  <c r="Q497" i="5" s="1"/>
  <c r="O496" i="5"/>
  <c r="Q496" i="5" s="1"/>
  <c r="O493" i="5"/>
  <c r="Q493" i="5" s="1"/>
  <c r="O490" i="5"/>
  <c r="Q490" i="5" s="1"/>
  <c r="O487" i="5"/>
  <c r="Q487" i="5" s="1"/>
  <c r="O479" i="5"/>
  <c r="Q479" i="5" s="1"/>
  <c r="O478" i="5"/>
  <c r="Q478" i="5" s="1"/>
  <c r="O477" i="5"/>
  <c r="Q477" i="5" s="1"/>
  <c r="O476" i="5"/>
  <c r="Q476" i="5" s="1"/>
  <c r="O475" i="5"/>
  <c r="Q475" i="5" s="1"/>
  <c r="O474" i="5"/>
  <c r="Q474" i="5" s="1"/>
  <c r="O471" i="5"/>
  <c r="Q471" i="5" s="1"/>
  <c r="O467" i="5"/>
  <c r="Q467" i="5" s="1"/>
  <c r="O466" i="5"/>
  <c r="Q466" i="5" s="1"/>
  <c r="O465" i="5"/>
  <c r="Q465" i="5" s="1"/>
  <c r="O436" i="5"/>
  <c r="Q436" i="5" s="1"/>
  <c r="O433" i="5"/>
  <c r="Q433" i="5" s="1"/>
  <c r="O430" i="5"/>
  <c r="Q430" i="5" s="1"/>
  <c r="O429" i="5"/>
  <c r="Q429" i="5" s="1"/>
  <c r="O428" i="5"/>
  <c r="Q428" i="5" s="1"/>
  <c r="O427" i="5"/>
  <c r="Q427" i="5" s="1"/>
  <c r="K13" i="4"/>
  <c r="G13" i="6"/>
  <c r="M510" i="5"/>
  <c r="P510" i="5" s="1"/>
  <c r="R510" i="5" s="1"/>
  <c r="J14" i="4"/>
  <c r="L14" i="4" s="1"/>
  <c r="M14" i="4" s="1"/>
  <c r="H13" i="6"/>
  <c r="O510" i="5"/>
  <c r="Q510" i="5" s="1"/>
  <c r="K14" i="4"/>
  <c r="G14" i="6"/>
  <c r="M451" i="5"/>
  <c r="P451" i="5" s="1"/>
  <c r="R451" i="5" s="1"/>
  <c r="J15" i="4"/>
  <c r="L15" i="4" s="1"/>
  <c r="M15" i="4" s="1"/>
  <c r="H14" i="6"/>
  <c r="O451" i="5"/>
  <c r="Q451" i="5" s="1"/>
  <c r="K15" i="4"/>
  <c r="G15" i="6"/>
  <c r="M319" i="5"/>
  <c r="P319" i="5" s="1"/>
  <c r="R319" i="5" s="1"/>
  <c r="J16" i="4"/>
  <c r="L16" i="4" s="1"/>
  <c r="M16" i="4" s="1"/>
  <c r="H15" i="6"/>
  <c r="O319" i="5"/>
  <c r="Q319" i="5" s="1"/>
  <c r="K16" i="4"/>
  <c r="G16" i="6"/>
  <c r="M1209" i="5"/>
  <c r="P1209" i="5" s="1"/>
  <c r="R1209" i="5" s="1"/>
  <c r="M947" i="5"/>
  <c r="P947" i="5" s="1"/>
  <c r="R947" i="5" s="1"/>
  <c r="M302" i="5"/>
  <c r="P302" i="5" s="1"/>
  <c r="R302" i="5" s="1"/>
  <c r="M175" i="5"/>
  <c r="P175" i="5" s="1"/>
  <c r="R175" i="5" s="1"/>
  <c r="M86" i="5"/>
  <c r="P86" i="5" s="1"/>
  <c r="R86" i="5" s="1"/>
  <c r="J17" i="4"/>
  <c r="L17" i="4" s="1"/>
  <c r="M17" i="4" s="1"/>
  <c r="H16" i="6"/>
  <c r="O1209" i="5"/>
  <c r="Q1209" i="5" s="1"/>
  <c r="O947" i="5"/>
  <c r="Q947" i="5" s="1"/>
  <c r="O302" i="5"/>
  <c r="Q302" i="5" s="1"/>
  <c r="O175" i="5"/>
  <c r="Q175" i="5" s="1"/>
  <c r="O86" i="5"/>
  <c r="Q86" i="5" s="1"/>
  <c r="K17" i="4"/>
  <c r="G17" i="6"/>
  <c r="M1073" i="5"/>
  <c r="P1073" i="5" s="1"/>
  <c r="R1073" i="5" s="1"/>
  <c r="M1072" i="5"/>
  <c r="P1072" i="5" s="1"/>
  <c r="R1072" i="5" s="1"/>
  <c r="M1064" i="5"/>
  <c r="P1064" i="5" s="1"/>
  <c r="R1064" i="5" s="1"/>
  <c r="M624" i="5"/>
  <c r="P624" i="5" s="1"/>
  <c r="R624" i="5" s="1"/>
  <c r="J18" i="4"/>
  <c r="L18" i="4" s="1"/>
  <c r="M18" i="4" s="1"/>
  <c r="H17" i="6"/>
  <c r="O1073" i="5"/>
  <c r="Q1073" i="5" s="1"/>
  <c r="O1072" i="5"/>
  <c r="Q1072" i="5" s="1"/>
  <c r="O1064" i="5"/>
  <c r="Q1064" i="5" s="1"/>
  <c r="O624" i="5"/>
  <c r="Q624" i="5" s="1"/>
  <c r="K18" i="4"/>
  <c r="G18" i="6"/>
  <c r="M534" i="5"/>
  <c r="P534" i="5" s="1"/>
  <c r="R534" i="5" s="1"/>
  <c r="M533" i="5"/>
  <c r="P533" i="5" s="1"/>
  <c r="R533" i="5" s="1"/>
  <c r="M532" i="5"/>
  <c r="P532" i="5" s="1"/>
  <c r="R532" i="5" s="1"/>
  <c r="M325" i="5"/>
  <c r="P325" i="5" s="1"/>
  <c r="R325" i="5" s="1"/>
  <c r="J19" i="4"/>
  <c r="L19" i="4" s="1"/>
  <c r="M19" i="4" s="1"/>
  <c r="H18" i="6"/>
  <c r="O534" i="5"/>
  <c r="Q534" i="5" s="1"/>
  <c r="O533" i="5"/>
  <c r="Q533" i="5" s="1"/>
  <c r="O532" i="5"/>
  <c r="Q532" i="5" s="1"/>
  <c r="O325" i="5"/>
  <c r="Q325" i="5" s="1"/>
  <c r="K19" i="4"/>
  <c r="G19" i="6"/>
  <c r="M1104" i="5"/>
  <c r="P1104" i="5" s="1"/>
  <c r="R1104" i="5" s="1"/>
  <c r="M1026" i="5"/>
  <c r="P1026" i="5" s="1"/>
  <c r="R1026" i="5" s="1"/>
  <c r="M699" i="5"/>
  <c r="P699" i="5" s="1"/>
  <c r="R699" i="5" s="1"/>
  <c r="J20" i="4"/>
  <c r="L20" i="4" s="1"/>
  <c r="M20" i="4" s="1"/>
  <c r="H19" i="6"/>
  <c r="O1104" i="5"/>
  <c r="Q1104" i="5" s="1"/>
  <c r="O1026" i="5"/>
  <c r="Q1026" i="5" s="1"/>
  <c r="O699" i="5"/>
  <c r="Q699" i="5" s="1"/>
  <c r="K20" i="4"/>
  <c r="G20" i="6"/>
  <c r="M919" i="5"/>
  <c r="P919" i="5" s="1"/>
  <c r="R919" i="5" s="1"/>
  <c r="M616" i="5"/>
  <c r="P616" i="5" s="1"/>
  <c r="R616" i="5" s="1"/>
  <c r="M237" i="5"/>
  <c r="P237" i="5" s="1"/>
  <c r="R237" i="5" s="1"/>
  <c r="M124" i="5"/>
  <c r="P124" i="5" s="1"/>
  <c r="R124" i="5" s="1"/>
  <c r="J21" i="4"/>
  <c r="L21" i="4" s="1"/>
  <c r="M21" i="4" s="1"/>
  <c r="H20" i="6"/>
  <c r="O919" i="5"/>
  <c r="Q919" i="5" s="1"/>
  <c r="O616" i="5"/>
  <c r="Q616" i="5" s="1"/>
  <c r="O237" i="5"/>
  <c r="Q237" i="5" s="1"/>
  <c r="O124" i="5"/>
  <c r="Q124" i="5" s="1"/>
  <c r="K21" i="4"/>
  <c r="G21" i="6"/>
  <c r="M911" i="5"/>
  <c r="P911" i="5" s="1"/>
  <c r="R911" i="5" s="1"/>
  <c r="M890" i="5"/>
  <c r="P890" i="5" s="1"/>
  <c r="R890" i="5" s="1"/>
  <c r="M889" i="5"/>
  <c r="P889" i="5" s="1"/>
  <c r="R889" i="5" s="1"/>
  <c r="M888" i="5"/>
  <c r="P888" i="5" s="1"/>
  <c r="R888" i="5" s="1"/>
  <c r="M887" i="5"/>
  <c r="P887" i="5" s="1"/>
  <c r="R887" i="5" s="1"/>
  <c r="M489" i="5"/>
  <c r="P489" i="5" s="1"/>
  <c r="R489" i="5" s="1"/>
  <c r="M488" i="5"/>
  <c r="P488" i="5" s="1"/>
  <c r="R488" i="5" s="1"/>
  <c r="M439" i="5"/>
  <c r="P439" i="5" s="1"/>
  <c r="R439" i="5" s="1"/>
  <c r="M438" i="5"/>
  <c r="P438" i="5" s="1"/>
  <c r="R438" i="5" s="1"/>
  <c r="M437" i="5"/>
  <c r="P437" i="5" s="1"/>
  <c r="R437" i="5" s="1"/>
  <c r="M365" i="5"/>
  <c r="P365" i="5" s="1"/>
  <c r="R365" i="5" s="1"/>
  <c r="M364" i="5"/>
  <c r="P364" i="5" s="1"/>
  <c r="R364" i="5" s="1"/>
  <c r="M363" i="5"/>
  <c r="P363" i="5" s="1"/>
  <c r="R363" i="5" s="1"/>
  <c r="M362" i="5"/>
  <c r="P362" i="5" s="1"/>
  <c r="R362" i="5" s="1"/>
  <c r="M361" i="5"/>
  <c r="P361" i="5" s="1"/>
  <c r="R361" i="5" s="1"/>
  <c r="M360" i="5"/>
  <c r="P360" i="5" s="1"/>
  <c r="R360" i="5" s="1"/>
  <c r="J22" i="4"/>
  <c r="L22" i="4" s="1"/>
  <c r="M22" i="4" s="1"/>
  <c r="H21" i="6"/>
  <c r="O911" i="5"/>
  <c r="Q911" i="5" s="1"/>
  <c r="O890" i="5"/>
  <c r="Q890" i="5" s="1"/>
  <c r="O889" i="5"/>
  <c r="Q889" i="5" s="1"/>
  <c r="O888" i="5"/>
  <c r="Q888" i="5" s="1"/>
  <c r="O887" i="5"/>
  <c r="Q887" i="5" s="1"/>
  <c r="O489" i="5"/>
  <c r="Q489" i="5" s="1"/>
  <c r="O488" i="5"/>
  <c r="Q488" i="5" s="1"/>
  <c r="O439" i="5"/>
  <c r="Q439" i="5" s="1"/>
  <c r="O438" i="5"/>
  <c r="Q438" i="5" s="1"/>
  <c r="O437" i="5"/>
  <c r="Q437" i="5" s="1"/>
  <c r="O365" i="5"/>
  <c r="Q365" i="5" s="1"/>
  <c r="O364" i="5"/>
  <c r="Q364" i="5" s="1"/>
  <c r="O363" i="5"/>
  <c r="Q363" i="5" s="1"/>
  <c r="O362" i="5"/>
  <c r="Q362" i="5" s="1"/>
  <c r="O361" i="5"/>
  <c r="Q361" i="5" s="1"/>
  <c r="O360" i="5"/>
  <c r="Q360" i="5" s="1"/>
  <c r="K22" i="4"/>
  <c r="G22" i="6"/>
  <c r="M1214" i="5"/>
  <c r="P1214" i="5" s="1"/>
  <c r="M1187" i="5"/>
  <c r="P1187" i="5" s="1"/>
  <c r="R1187" i="5" s="1"/>
  <c r="M1133" i="5"/>
  <c r="P1133" i="5" s="1"/>
  <c r="R1133" i="5" s="1"/>
  <c r="M1105" i="5"/>
  <c r="P1105" i="5" s="1"/>
  <c r="R1105" i="5" s="1"/>
  <c r="M1079" i="5"/>
  <c r="P1079" i="5" s="1"/>
  <c r="M1063" i="5"/>
  <c r="P1063" i="5" s="1"/>
  <c r="R1063" i="5" s="1"/>
  <c r="M1061" i="5"/>
  <c r="P1061" i="5" s="1"/>
  <c r="R1061" i="5" s="1"/>
  <c r="M1055" i="5"/>
  <c r="P1055" i="5" s="1"/>
  <c r="R1055" i="5" s="1"/>
  <c r="M1038" i="5"/>
  <c r="P1038" i="5" s="1"/>
  <c r="R1038" i="5" s="1"/>
  <c r="M1035" i="5"/>
  <c r="P1035" i="5" s="1"/>
  <c r="R1035" i="5" s="1"/>
  <c r="M1003" i="5"/>
  <c r="P1003" i="5" s="1"/>
  <c r="R1003" i="5" s="1"/>
  <c r="M959" i="5"/>
  <c r="P959" i="5" s="1"/>
  <c r="R959" i="5" s="1"/>
  <c r="M938" i="5"/>
  <c r="P938" i="5" s="1"/>
  <c r="R938" i="5" s="1"/>
  <c r="M862" i="5"/>
  <c r="P862" i="5" s="1"/>
  <c r="R862" i="5" s="1"/>
  <c r="M861" i="5"/>
  <c r="P861" i="5" s="1"/>
  <c r="R861" i="5" s="1"/>
  <c r="M860" i="5"/>
  <c r="P860" i="5" s="1"/>
  <c r="R860" i="5" s="1"/>
  <c r="M847" i="5"/>
  <c r="P847" i="5" s="1"/>
  <c r="R847" i="5" s="1"/>
  <c r="M816" i="5"/>
  <c r="P816" i="5" s="1"/>
  <c r="R816" i="5" s="1"/>
  <c r="M805" i="5"/>
  <c r="P805" i="5" s="1"/>
  <c r="R805" i="5" s="1"/>
  <c r="M804" i="5"/>
  <c r="P804" i="5" s="1"/>
  <c r="R804" i="5" s="1"/>
  <c r="M803" i="5"/>
  <c r="P803" i="5" s="1"/>
  <c r="R803" i="5" s="1"/>
  <c r="M802" i="5"/>
  <c r="P802" i="5" s="1"/>
  <c r="R802" i="5" s="1"/>
  <c r="M787" i="5"/>
  <c r="P787" i="5" s="1"/>
  <c r="R787" i="5" s="1"/>
  <c r="M778" i="5"/>
  <c r="P778" i="5" s="1"/>
  <c r="R778" i="5" s="1"/>
  <c r="M761" i="5"/>
  <c r="P761" i="5" s="1"/>
  <c r="R761" i="5" s="1"/>
  <c r="M730" i="5"/>
  <c r="P730" i="5" s="1"/>
  <c r="R730" i="5" s="1"/>
  <c r="M721" i="5"/>
  <c r="P721" i="5" s="1"/>
  <c r="R721" i="5" s="1"/>
  <c r="M689" i="5"/>
  <c r="P689" i="5" s="1"/>
  <c r="R689" i="5" s="1"/>
  <c r="M655" i="5"/>
  <c r="P655" i="5" s="1"/>
  <c r="R655" i="5" s="1"/>
  <c r="M636" i="5"/>
  <c r="P636" i="5" s="1"/>
  <c r="R636" i="5" s="1"/>
  <c r="M612" i="5"/>
  <c r="P612" i="5" s="1"/>
  <c r="R612" i="5" s="1"/>
  <c r="M611" i="5"/>
  <c r="P611" i="5" s="1"/>
  <c r="R611" i="5" s="1"/>
  <c r="M585" i="5"/>
  <c r="P585" i="5" s="1"/>
  <c r="R585" i="5" s="1"/>
  <c r="M558" i="5"/>
  <c r="P558" i="5" s="1"/>
  <c r="M314" i="5"/>
  <c r="P314" i="5" s="1"/>
  <c r="R314" i="5" s="1"/>
  <c r="M312" i="5"/>
  <c r="P312" i="5" s="1"/>
  <c r="R312" i="5" s="1"/>
  <c r="M285" i="5"/>
  <c r="P285" i="5" s="1"/>
  <c r="R285" i="5" s="1"/>
  <c r="M270" i="5"/>
  <c r="P270" i="5" s="1"/>
  <c r="R270" i="5" s="1"/>
  <c r="M257" i="5"/>
  <c r="P257" i="5" s="1"/>
  <c r="R257" i="5" s="1"/>
  <c r="M236" i="5"/>
  <c r="P236" i="5" s="1"/>
  <c r="R236" i="5" s="1"/>
  <c r="M234" i="5"/>
  <c r="P234" i="5" s="1"/>
  <c r="R234" i="5" s="1"/>
  <c r="M232" i="5"/>
  <c r="P232" i="5" s="1"/>
  <c r="R232" i="5" s="1"/>
  <c r="M186" i="5"/>
  <c r="P186" i="5" s="1"/>
  <c r="R186" i="5" s="1"/>
  <c r="M182" i="5"/>
  <c r="P182" i="5" s="1"/>
  <c r="M165" i="5"/>
  <c r="P165" i="5" s="1"/>
  <c r="R165" i="5" s="1"/>
  <c r="M138" i="5"/>
  <c r="P138" i="5" s="1"/>
  <c r="R138" i="5" s="1"/>
  <c r="M136" i="5"/>
  <c r="P136" i="5" s="1"/>
  <c r="R136" i="5" s="1"/>
  <c r="M108" i="5"/>
  <c r="P108" i="5" s="1"/>
  <c r="R108" i="5" s="1"/>
  <c r="M105" i="5"/>
  <c r="P105" i="5" s="1"/>
  <c r="R105" i="5" s="1"/>
  <c r="M97" i="5"/>
  <c r="P97" i="5" s="1"/>
  <c r="R97" i="5" s="1"/>
  <c r="M68" i="5"/>
  <c r="P68" i="5" s="1"/>
  <c r="R68" i="5" s="1"/>
  <c r="M40" i="5"/>
  <c r="P40" i="5" s="1"/>
  <c r="R40" i="5" s="1"/>
  <c r="M18" i="5"/>
  <c r="P18" i="5" s="1"/>
  <c r="R18" i="5" s="1"/>
  <c r="M17" i="5"/>
  <c r="P17" i="5" s="1"/>
  <c r="R17" i="5" s="1"/>
  <c r="J23" i="4"/>
  <c r="L23" i="4" s="1"/>
  <c r="M23" i="4" s="1"/>
  <c r="H22" i="6"/>
  <c r="O1214" i="5"/>
  <c r="Q1214" i="5" s="1"/>
  <c r="Q1231" i="5" s="1"/>
  <c r="O1187" i="5"/>
  <c r="Q1187" i="5" s="1"/>
  <c r="O1133" i="5"/>
  <c r="Q1133" i="5" s="1"/>
  <c r="O1105" i="5"/>
  <c r="Q1105" i="5" s="1"/>
  <c r="O1079" i="5"/>
  <c r="Q1079" i="5" s="1"/>
  <c r="Q1101" i="5" s="1"/>
  <c r="O1063" i="5"/>
  <c r="Q1063" i="5" s="1"/>
  <c r="O1061" i="5"/>
  <c r="Q1061" i="5" s="1"/>
  <c r="O1055" i="5"/>
  <c r="Q1055" i="5" s="1"/>
  <c r="O1038" i="5"/>
  <c r="Q1038" i="5" s="1"/>
  <c r="O1035" i="5"/>
  <c r="Q1035" i="5" s="1"/>
  <c r="O1003" i="5"/>
  <c r="Q1003" i="5" s="1"/>
  <c r="O959" i="5"/>
  <c r="Q959" i="5" s="1"/>
  <c r="O938" i="5"/>
  <c r="Q938" i="5" s="1"/>
  <c r="O862" i="5"/>
  <c r="Q862" i="5" s="1"/>
  <c r="O861" i="5"/>
  <c r="Q861" i="5" s="1"/>
  <c r="O860" i="5"/>
  <c r="Q860" i="5" s="1"/>
  <c r="O847" i="5"/>
  <c r="Q847" i="5" s="1"/>
  <c r="O816" i="5"/>
  <c r="Q816" i="5" s="1"/>
  <c r="O805" i="5"/>
  <c r="Q805" i="5" s="1"/>
  <c r="O804" i="5"/>
  <c r="Q804" i="5" s="1"/>
  <c r="O803" i="5"/>
  <c r="Q803" i="5" s="1"/>
  <c r="O802" i="5"/>
  <c r="Q802" i="5" s="1"/>
  <c r="O787" i="5"/>
  <c r="Q787" i="5" s="1"/>
  <c r="O778" i="5"/>
  <c r="Q778" i="5" s="1"/>
  <c r="O761" i="5"/>
  <c r="Q761" i="5" s="1"/>
  <c r="O730" i="5"/>
  <c r="Q730" i="5" s="1"/>
  <c r="O721" i="5"/>
  <c r="Q721" i="5" s="1"/>
  <c r="O689" i="5"/>
  <c r="Q689" i="5" s="1"/>
  <c r="O655" i="5"/>
  <c r="Q655" i="5" s="1"/>
  <c r="O636" i="5"/>
  <c r="Q636" i="5" s="1"/>
  <c r="O612" i="5"/>
  <c r="Q612" i="5" s="1"/>
  <c r="O611" i="5"/>
  <c r="Q611" i="5" s="1"/>
  <c r="O585" i="5"/>
  <c r="Q585" i="5" s="1"/>
  <c r="O558" i="5"/>
  <c r="Q558" i="5" s="1"/>
  <c r="Q572" i="5" s="1"/>
  <c r="O314" i="5"/>
  <c r="Q314" i="5" s="1"/>
  <c r="O312" i="5"/>
  <c r="Q312" i="5" s="1"/>
  <c r="O285" i="5"/>
  <c r="Q285" i="5" s="1"/>
  <c r="O270" i="5"/>
  <c r="Q270" i="5" s="1"/>
  <c r="O257" i="5"/>
  <c r="Q257" i="5" s="1"/>
  <c r="O236" i="5"/>
  <c r="Q236" i="5" s="1"/>
  <c r="O234" i="5"/>
  <c r="Q234" i="5" s="1"/>
  <c r="O232" i="5"/>
  <c r="Q232" i="5" s="1"/>
  <c r="O186" i="5"/>
  <c r="Q186" i="5" s="1"/>
  <c r="O182" i="5"/>
  <c r="Q182" i="5" s="1"/>
  <c r="Q212" i="5" s="1"/>
  <c r="O165" i="5"/>
  <c r="Q165" i="5" s="1"/>
  <c r="O138" i="5"/>
  <c r="Q138" i="5" s="1"/>
  <c r="O136" i="5"/>
  <c r="Q136" i="5" s="1"/>
  <c r="O108" i="5"/>
  <c r="Q108" i="5" s="1"/>
  <c r="O105" i="5"/>
  <c r="Q105" i="5" s="1"/>
  <c r="O97" i="5"/>
  <c r="Q97" i="5" s="1"/>
  <c r="O68" i="5"/>
  <c r="Q68" i="5" s="1"/>
  <c r="O40" i="5"/>
  <c r="Q40" i="5" s="1"/>
  <c r="O18" i="5"/>
  <c r="Q18" i="5" s="1"/>
  <c r="O17" i="5"/>
  <c r="Q17" i="5" s="1"/>
  <c r="K23" i="4"/>
  <c r="G23" i="6"/>
  <c r="M1211" i="5"/>
  <c r="P1211" i="5" s="1"/>
  <c r="R1211" i="5" s="1"/>
  <c r="M1142" i="5"/>
  <c r="P1142" i="5" s="1"/>
  <c r="R1142" i="5" s="1"/>
  <c r="M1141" i="5"/>
  <c r="P1141" i="5" s="1"/>
  <c r="M830" i="5"/>
  <c r="P830" i="5" s="1"/>
  <c r="R830" i="5" s="1"/>
  <c r="M401" i="5"/>
  <c r="P401" i="5" s="1"/>
  <c r="R401" i="5" s="1"/>
  <c r="M400" i="5"/>
  <c r="P400" i="5" s="1"/>
  <c r="R400" i="5" s="1"/>
  <c r="M399" i="5"/>
  <c r="P399" i="5" s="1"/>
  <c r="R399" i="5" s="1"/>
  <c r="M396" i="5"/>
  <c r="P396" i="5" s="1"/>
  <c r="R396" i="5" s="1"/>
  <c r="M373" i="5"/>
  <c r="P373" i="5" s="1"/>
  <c r="R373" i="5" s="1"/>
  <c r="M372" i="5"/>
  <c r="P372" i="5" s="1"/>
  <c r="R372" i="5" s="1"/>
  <c r="J24" i="4"/>
  <c r="L24" i="4" s="1"/>
  <c r="M24" i="4" s="1"/>
  <c r="H23" i="6"/>
  <c r="O1211" i="5"/>
  <c r="Q1211" i="5" s="1"/>
  <c r="O1142" i="5"/>
  <c r="Q1142" i="5" s="1"/>
  <c r="O1141" i="5"/>
  <c r="Q1141" i="5" s="1"/>
  <c r="Q1170" i="5" s="1"/>
  <c r="O830" i="5"/>
  <c r="Q830" i="5" s="1"/>
  <c r="O401" i="5"/>
  <c r="Q401" i="5" s="1"/>
  <c r="O400" i="5"/>
  <c r="Q400" i="5" s="1"/>
  <c r="O399" i="5"/>
  <c r="Q399" i="5" s="1"/>
  <c r="O396" i="5"/>
  <c r="Q396" i="5" s="1"/>
  <c r="O373" i="5"/>
  <c r="Q373" i="5" s="1"/>
  <c r="O372" i="5"/>
  <c r="Q372" i="5" s="1"/>
  <c r="K24" i="4"/>
  <c r="G24" i="6"/>
  <c r="M786" i="5"/>
  <c r="P786" i="5" s="1"/>
  <c r="R786" i="5" s="1"/>
  <c r="M333" i="5"/>
  <c r="P333" i="5" s="1"/>
  <c r="R333" i="5" s="1"/>
  <c r="M332" i="5"/>
  <c r="P332" i="5" s="1"/>
  <c r="R332" i="5" s="1"/>
  <c r="J25" i="4"/>
  <c r="L25" i="4" s="1"/>
  <c r="M25" i="4" s="1"/>
  <c r="H24" i="6"/>
  <c r="O786" i="5"/>
  <c r="Q786" i="5" s="1"/>
  <c r="O333" i="5"/>
  <c r="Q333" i="5" s="1"/>
  <c r="O332" i="5"/>
  <c r="Q332" i="5" s="1"/>
  <c r="K25" i="4"/>
  <c r="G25" i="6"/>
  <c r="M813" i="5"/>
  <c r="P813" i="5" s="1"/>
  <c r="R813" i="5" s="1"/>
  <c r="J26" i="4"/>
  <c r="L26" i="4" s="1"/>
  <c r="M26" i="4" s="1"/>
  <c r="H25" i="6"/>
  <c r="O813" i="5"/>
  <c r="Q813" i="5" s="1"/>
  <c r="K26" i="4"/>
  <c r="G26" i="6"/>
  <c r="M374" i="5"/>
  <c r="P374" i="5" s="1"/>
  <c r="R374" i="5" s="1"/>
  <c r="J27" i="4"/>
  <c r="L27" i="4" s="1"/>
  <c r="M27" i="4" s="1"/>
  <c r="H26" i="6"/>
  <c r="O374" i="5"/>
  <c r="Q374" i="5" s="1"/>
  <c r="K27" i="4"/>
  <c r="G27" i="6"/>
  <c r="M354" i="5"/>
  <c r="P354" i="5" s="1"/>
  <c r="R354" i="5" s="1"/>
  <c r="J28" i="4"/>
  <c r="L28" i="4" s="1"/>
  <c r="M28" i="4" s="1"/>
  <c r="H27" i="6"/>
  <c r="O354" i="5"/>
  <c r="Q354" i="5" s="1"/>
  <c r="K28" i="4"/>
  <c r="G28" i="6"/>
  <c r="M353" i="5"/>
  <c r="P353" i="5" s="1"/>
  <c r="R353" i="5" s="1"/>
  <c r="J29" i="4"/>
  <c r="L29" i="4" s="1"/>
  <c r="M29" i="4" s="1"/>
  <c r="H28" i="6"/>
  <c r="O353" i="5"/>
  <c r="Q353" i="5" s="1"/>
  <c r="K29" i="4"/>
  <c r="G29" i="6"/>
  <c r="M520" i="5"/>
  <c r="P520" i="5" s="1"/>
  <c r="R520" i="5" s="1"/>
  <c r="M352" i="5"/>
  <c r="P352" i="5" s="1"/>
  <c r="R352" i="5" s="1"/>
  <c r="J30" i="4"/>
  <c r="L30" i="4" s="1"/>
  <c r="M30" i="4" s="1"/>
  <c r="H29" i="6"/>
  <c r="O520" i="5"/>
  <c r="Q520" i="5" s="1"/>
  <c r="O352" i="5"/>
  <c r="Q352" i="5" s="1"/>
  <c r="K30" i="4"/>
  <c r="G30" i="6"/>
  <c r="M1230" i="5"/>
  <c r="P1230" i="5" s="1"/>
  <c r="R1230" i="5" s="1"/>
  <c r="M1186" i="5"/>
  <c r="P1186" i="5" s="1"/>
  <c r="R1186" i="5" s="1"/>
  <c r="M1109" i="5"/>
  <c r="P1109" i="5" s="1"/>
  <c r="R1109" i="5" s="1"/>
  <c r="M1043" i="5"/>
  <c r="P1043" i="5" s="1"/>
  <c r="R1043" i="5" s="1"/>
  <c r="M1023" i="5"/>
  <c r="P1023" i="5" s="1"/>
  <c r="R1023" i="5" s="1"/>
  <c r="M794" i="5"/>
  <c r="P794" i="5" s="1"/>
  <c r="R794" i="5" s="1"/>
  <c r="M756" i="5"/>
  <c r="P756" i="5" s="1"/>
  <c r="R756" i="5" s="1"/>
  <c r="M724" i="5"/>
  <c r="P724" i="5" s="1"/>
  <c r="M701" i="5"/>
  <c r="P701" i="5" s="1"/>
  <c r="R701" i="5" s="1"/>
  <c r="M667" i="5"/>
  <c r="P667" i="5" s="1"/>
  <c r="R667" i="5" s="1"/>
  <c r="M642" i="5"/>
  <c r="P642" i="5" s="1"/>
  <c r="R642" i="5" s="1"/>
  <c r="M579" i="5"/>
  <c r="P579" i="5" s="1"/>
  <c r="R579" i="5" s="1"/>
  <c r="M266" i="5"/>
  <c r="P266" i="5" s="1"/>
  <c r="R266" i="5" s="1"/>
  <c r="M260" i="5"/>
  <c r="P260" i="5" s="1"/>
  <c r="R260" i="5" s="1"/>
  <c r="M204" i="5"/>
  <c r="P204" i="5" s="1"/>
  <c r="R204" i="5" s="1"/>
  <c r="M81" i="5"/>
  <c r="P81" i="5" s="1"/>
  <c r="R81" i="5" s="1"/>
  <c r="M10" i="5"/>
  <c r="P10" i="5" s="1"/>
  <c r="R10" i="5" s="1"/>
  <c r="J31" i="4"/>
  <c r="L31" i="4" s="1"/>
  <c r="M31" i="4" s="1"/>
  <c r="H30" i="6"/>
  <c r="O1230" i="5"/>
  <c r="Q1230" i="5" s="1"/>
  <c r="O1186" i="5"/>
  <c r="Q1186" i="5" s="1"/>
  <c r="O1109" i="5"/>
  <c r="Q1109" i="5" s="1"/>
  <c r="O1043" i="5"/>
  <c r="Q1043" i="5" s="1"/>
  <c r="O1023" i="5"/>
  <c r="Q1023" i="5" s="1"/>
  <c r="O794" i="5"/>
  <c r="Q794" i="5" s="1"/>
  <c r="O756" i="5"/>
  <c r="Q756" i="5" s="1"/>
  <c r="O724" i="5"/>
  <c r="Q724" i="5" s="1"/>
  <c r="Q751" i="5" s="1"/>
  <c r="O701" i="5"/>
  <c r="Q701" i="5" s="1"/>
  <c r="O667" i="5"/>
  <c r="Q667" i="5" s="1"/>
  <c r="O642" i="5"/>
  <c r="Q642" i="5" s="1"/>
  <c r="O579" i="5"/>
  <c r="Q579" i="5" s="1"/>
  <c r="O266" i="5"/>
  <c r="Q266" i="5" s="1"/>
  <c r="O260" i="5"/>
  <c r="Q260" i="5" s="1"/>
  <c r="O204" i="5"/>
  <c r="Q204" i="5" s="1"/>
  <c r="O81" i="5"/>
  <c r="Q81" i="5" s="1"/>
  <c r="O10" i="5"/>
  <c r="Q10" i="5" s="1"/>
  <c r="K31" i="4"/>
  <c r="G31" i="6"/>
  <c r="M1007" i="5"/>
  <c r="P1007" i="5" s="1"/>
  <c r="R1007" i="5" s="1"/>
  <c r="M973" i="5"/>
  <c r="P973" i="5" s="1"/>
  <c r="R973" i="5" s="1"/>
  <c r="M969" i="5"/>
  <c r="P969" i="5" s="1"/>
  <c r="R969" i="5" s="1"/>
  <c r="M866" i="5"/>
  <c r="P866" i="5" s="1"/>
  <c r="R866" i="5" s="1"/>
  <c r="M865" i="5"/>
  <c r="P865" i="5" s="1"/>
  <c r="R865" i="5" s="1"/>
  <c r="M623" i="5"/>
  <c r="P623" i="5" s="1"/>
  <c r="R623" i="5" s="1"/>
  <c r="M146" i="5"/>
  <c r="P146" i="5" s="1"/>
  <c r="R146" i="5" s="1"/>
  <c r="J32" i="4"/>
  <c r="L32" i="4" s="1"/>
  <c r="M32" i="4" s="1"/>
  <c r="H31" i="6"/>
  <c r="O1007" i="5"/>
  <c r="Q1007" i="5" s="1"/>
  <c r="O973" i="5"/>
  <c r="Q973" i="5" s="1"/>
  <c r="O969" i="5"/>
  <c r="Q969" i="5" s="1"/>
  <c r="O866" i="5"/>
  <c r="Q866" i="5" s="1"/>
  <c r="O865" i="5"/>
  <c r="Q865" i="5" s="1"/>
  <c r="O623" i="5"/>
  <c r="Q623" i="5" s="1"/>
  <c r="O146" i="5"/>
  <c r="Q146" i="5" s="1"/>
  <c r="K32" i="4"/>
  <c r="G32" i="6"/>
  <c r="M355" i="5"/>
  <c r="P355" i="5" s="1"/>
  <c r="R355" i="5" s="1"/>
  <c r="J33" i="4"/>
  <c r="L33" i="4" s="1"/>
  <c r="M33" i="4" s="1"/>
  <c r="H32" i="6"/>
  <c r="O355" i="5"/>
  <c r="Q355" i="5" s="1"/>
  <c r="K33" i="4"/>
  <c r="G33" i="6"/>
  <c r="M1229" i="5"/>
  <c r="P1229" i="5" s="1"/>
  <c r="R1229" i="5" s="1"/>
  <c r="M1198" i="5"/>
  <c r="P1198" i="5" s="1"/>
  <c r="R1198" i="5" s="1"/>
  <c r="M597" i="5"/>
  <c r="P597" i="5" s="1"/>
  <c r="R597" i="5" s="1"/>
  <c r="M329" i="5"/>
  <c r="P329" i="5" s="1"/>
  <c r="R329" i="5" s="1"/>
  <c r="M296" i="5"/>
  <c r="P296" i="5" s="1"/>
  <c r="R296" i="5" s="1"/>
  <c r="M203" i="5"/>
  <c r="P203" i="5" s="1"/>
  <c r="R203" i="5" s="1"/>
  <c r="M20" i="5"/>
  <c r="P20" i="5" s="1"/>
  <c r="R20" i="5" s="1"/>
  <c r="J34" i="4"/>
  <c r="L34" i="4" s="1"/>
  <c r="M34" i="4" s="1"/>
  <c r="H33" i="6"/>
  <c r="O1229" i="5"/>
  <c r="Q1229" i="5" s="1"/>
  <c r="O1198" i="5"/>
  <c r="Q1198" i="5" s="1"/>
  <c r="O597" i="5"/>
  <c r="Q597" i="5" s="1"/>
  <c r="O329" i="5"/>
  <c r="Q329" i="5" s="1"/>
  <c r="O296" i="5"/>
  <c r="Q296" i="5" s="1"/>
  <c r="O203" i="5"/>
  <c r="Q203" i="5" s="1"/>
  <c r="O20" i="5"/>
  <c r="Q20" i="5" s="1"/>
  <c r="K34" i="4"/>
  <c r="G34" i="6"/>
  <c r="M499" i="5"/>
  <c r="P499" i="5" s="1"/>
  <c r="R499" i="5" s="1"/>
  <c r="J35" i="4"/>
  <c r="L35" i="4" s="1"/>
  <c r="M35" i="4" s="1"/>
  <c r="H34" i="6"/>
  <c r="O499" i="5"/>
  <c r="Q499" i="5" s="1"/>
  <c r="K35" i="4"/>
  <c r="G35" i="6"/>
  <c r="M431" i="5"/>
  <c r="P431" i="5" s="1"/>
  <c r="R431" i="5" s="1"/>
  <c r="M338" i="5"/>
  <c r="P338" i="5" s="1"/>
  <c r="R338" i="5" s="1"/>
  <c r="J36" i="4"/>
  <c r="L36" i="4" s="1"/>
  <c r="M36" i="4" s="1"/>
  <c r="H35" i="6"/>
  <c r="O431" i="5"/>
  <c r="Q431" i="5" s="1"/>
  <c r="O338" i="5"/>
  <c r="Q338" i="5" s="1"/>
  <c r="K36" i="4"/>
  <c r="G36" i="6"/>
  <c r="M1074" i="5"/>
  <c r="P1074" i="5" s="1"/>
  <c r="R1074" i="5" s="1"/>
  <c r="M1057" i="5"/>
  <c r="P1057" i="5" s="1"/>
  <c r="R1057" i="5" s="1"/>
  <c r="M1056" i="5"/>
  <c r="P1056" i="5" s="1"/>
  <c r="R1056" i="5" s="1"/>
  <c r="M910" i="5"/>
  <c r="P910" i="5" s="1"/>
  <c r="R910" i="5" s="1"/>
  <c r="M882" i="5"/>
  <c r="P882" i="5" s="1"/>
  <c r="R882" i="5" s="1"/>
  <c r="M881" i="5"/>
  <c r="P881" i="5" s="1"/>
  <c r="R881" i="5" s="1"/>
  <c r="M877" i="5"/>
  <c r="P877" i="5" s="1"/>
  <c r="R877" i="5" s="1"/>
  <c r="M864" i="5"/>
  <c r="P864" i="5" s="1"/>
  <c r="R864" i="5" s="1"/>
  <c r="M859" i="5"/>
  <c r="P859" i="5" s="1"/>
  <c r="R859" i="5" s="1"/>
  <c r="M850" i="5"/>
  <c r="P850" i="5" s="1"/>
  <c r="R850" i="5" s="1"/>
  <c r="M849" i="5"/>
  <c r="P849" i="5" s="1"/>
  <c r="R849" i="5" s="1"/>
  <c r="M841" i="5"/>
  <c r="P841" i="5" s="1"/>
  <c r="R841" i="5" s="1"/>
  <c r="M839" i="5"/>
  <c r="P839" i="5" s="1"/>
  <c r="R839" i="5" s="1"/>
  <c r="M744" i="5"/>
  <c r="P744" i="5" s="1"/>
  <c r="R744" i="5" s="1"/>
  <c r="M691" i="5"/>
  <c r="P691" i="5" s="1"/>
  <c r="R691" i="5" s="1"/>
  <c r="M449" i="5"/>
  <c r="P449" i="5" s="1"/>
  <c r="R449" i="5" s="1"/>
  <c r="M448" i="5"/>
  <c r="P448" i="5" s="1"/>
  <c r="R448" i="5" s="1"/>
  <c r="M447" i="5"/>
  <c r="P447" i="5" s="1"/>
  <c r="R447" i="5" s="1"/>
  <c r="M446" i="5"/>
  <c r="P446" i="5" s="1"/>
  <c r="R446" i="5" s="1"/>
  <c r="M383" i="5"/>
  <c r="P383" i="5" s="1"/>
  <c r="R383" i="5" s="1"/>
  <c r="M370" i="5"/>
  <c r="P370" i="5" s="1"/>
  <c r="R370" i="5" s="1"/>
  <c r="M231" i="5"/>
  <c r="P231" i="5" s="1"/>
  <c r="R231" i="5" s="1"/>
  <c r="J37" i="4"/>
  <c r="L37" i="4" s="1"/>
  <c r="M37" i="4" s="1"/>
  <c r="H36" i="6"/>
  <c r="O1074" i="5"/>
  <c r="Q1074" i="5" s="1"/>
  <c r="O1057" i="5"/>
  <c r="Q1057" i="5" s="1"/>
  <c r="O1056" i="5"/>
  <c r="Q1056" i="5" s="1"/>
  <c r="O910" i="5"/>
  <c r="Q910" i="5" s="1"/>
  <c r="O882" i="5"/>
  <c r="Q882" i="5" s="1"/>
  <c r="O881" i="5"/>
  <c r="Q881" i="5" s="1"/>
  <c r="O877" i="5"/>
  <c r="Q877" i="5" s="1"/>
  <c r="O864" i="5"/>
  <c r="Q864" i="5" s="1"/>
  <c r="O859" i="5"/>
  <c r="Q859" i="5" s="1"/>
  <c r="O850" i="5"/>
  <c r="Q850" i="5" s="1"/>
  <c r="O849" i="5"/>
  <c r="Q849" i="5" s="1"/>
  <c r="O841" i="5"/>
  <c r="Q841" i="5" s="1"/>
  <c r="O839" i="5"/>
  <c r="Q839" i="5" s="1"/>
  <c r="O744" i="5"/>
  <c r="Q744" i="5" s="1"/>
  <c r="O691" i="5"/>
  <c r="Q691" i="5" s="1"/>
  <c r="O449" i="5"/>
  <c r="Q449" i="5" s="1"/>
  <c r="O448" i="5"/>
  <c r="Q448" i="5" s="1"/>
  <c r="O447" i="5"/>
  <c r="Q447" i="5" s="1"/>
  <c r="O446" i="5"/>
  <c r="Q446" i="5" s="1"/>
  <c r="O383" i="5"/>
  <c r="Q383" i="5" s="1"/>
  <c r="O370" i="5"/>
  <c r="Q370" i="5" s="1"/>
  <c r="O231" i="5"/>
  <c r="Q231" i="5" s="1"/>
  <c r="K37" i="4"/>
  <c r="G37" i="6"/>
  <c r="M1158" i="5"/>
  <c r="P1158" i="5" s="1"/>
  <c r="R1158" i="5" s="1"/>
  <c r="M1149" i="5"/>
  <c r="P1149" i="5" s="1"/>
  <c r="R1149" i="5" s="1"/>
  <c r="M1148" i="5"/>
  <c r="P1148" i="5" s="1"/>
  <c r="R1148" i="5" s="1"/>
  <c r="M1062" i="5"/>
  <c r="P1062" i="5" s="1"/>
  <c r="R1062" i="5" s="1"/>
  <c r="M842" i="5"/>
  <c r="P842" i="5" s="1"/>
  <c r="R842" i="5" s="1"/>
  <c r="M840" i="5"/>
  <c r="P840" i="5" s="1"/>
  <c r="R840" i="5" s="1"/>
  <c r="M833" i="5"/>
  <c r="P833" i="5" s="1"/>
  <c r="R833" i="5" s="1"/>
  <c r="M793" i="5"/>
  <c r="P793" i="5" s="1"/>
  <c r="R793" i="5" s="1"/>
  <c r="M638" i="5"/>
  <c r="P638" i="5" s="1"/>
  <c r="R638" i="5" s="1"/>
  <c r="M619" i="5"/>
  <c r="P619" i="5" s="1"/>
  <c r="R619" i="5" s="1"/>
  <c r="M379" i="5"/>
  <c r="P379" i="5" s="1"/>
  <c r="R379" i="5" s="1"/>
  <c r="M375" i="5"/>
  <c r="P375" i="5" s="1"/>
  <c r="R375" i="5" s="1"/>
  <c r="M261" i="5"/>
  <c r="P261" i="5" s="1"/>
  <c r="R261" i="5" s="1"/>
  <c r="M197" i="5"/>
  <c r="P197" i="5" s="1"/>
  <c r="R197" i="5" s="1"/>
  <c r="M112" i="5"/>
  <c r="P112" i="5" s="1"/>
  <c r="R112" i="5" s="1"/>
  <c r="J38" i="4"/>
  <c r="L38" i="4" s="1"/>
  <c r="M38" i="4" s="1"/>
  <c r="H37" i="6"/>
  <c r="O1158" i="5"/>
  <c r="Q1158" i="5" s="1"/>
  <c r="O1149" i="5"/>
  <c r="Q1149" i="5" s="1"/>
  <c r="O1148" i="5"/>
  <c r="Q1148" i="5" s="1"/>
  <c r="O1062" i="5"/>
  <c r="Q1062" i="5" s="1"/>
  <c r="O842" i="5"/>
  <c r="Q842" i="5" s="1"/>
  <c r="O840" i="5"/>
  <c r="Q840" i="5" s="1"/>
  <c r="O833" i="5"/>
  <c r="Q833" i="5" s="1"/>
  <c r="O793" i="5"/>
  <c r="Q793" i="5" s="1"/>
  <c r="O638" i="5"/>
  <c r="Q638" i="5" s="1"/>
  <c r="O619" i="5"/>
  <c r="Q619" i="5" s="1"/>
  <c r="O379" i="5"/>
  <c r="Q379" i="5" s="1"/>
  <c r="O375" i="5"/>
  <c r="Q375" i="5" s="1"/>
  <c r="O261" i="5"/>
  <c r="Q261" i="5" s="1"/>
  <c r="O197" i="5"/>
  <c r="Q197" i="5" s="1"/>
  <c r="O112" i="5"/>
  <c r="Q112" i="5" s="1"/>
  <c r="K38" i="4"/>
  <c r="G38" i="6"/>
  <c r="M1185" i="5"/>
  <c r="P1185" i="5" s="1"/>
  <c r="R1185" i="5" s="1"/>
  <c r="M1107" i="5"/>
  <c r="P1107" i="5" s="1"/>
  <c r="R1107" i="5" s="1"/>
  <c r="M1096" i="5"/>
  <c r="P1096" i="5" s="1"/>
  <c r="R1096" i="5" s="1"/>
  <c r="M867" i="5"/>
  <c r="P867" i="5" s="1"/>
  <c r="R867" i="5" s="1"/>
  <c r="M797" i="5"/>
  <c r="P797" i="5" s="1"/>
  <c r="R797" i="5" s="1"/>
  <c r="M757" i="5"/>
  <c r="P757" i="5" s="1"/>
  <c r="R757" i="5" s="1"/>
  <c r="M743" i="5"/>
  <c r="P743" i="5" s="1"/>
  <c r="R743" i="5" s="1"/>
  <c r="M742" i="5"/>
  <c r="P742" i="5" s="1"/>
  <c r="R742" i="5" s="1"/>
  <c r="M711" i="5"/>
  <c r="P711" i="5" s="1"/>
  <c r="R711" i="5" s="1"/>
  <c r="M703" i="5"/>
  <c r="P703" i="5" s="1"/>
  <c r="R703" i="5" s="1"/>
  <c r="M668" i="5"/>
  <c r="P668" i="5" s="1"/>
  <c r="R668" i="5" s="1"/>
  <c r="M643" i="5"/>
  <c r="P643" i="5" s="1"/>
  <c r="R643" i="5" s="1"/>
  <c r="M303" i="5"/>
  <c r="P303" i="5" s="1"/>
  <c r="R303" i="5" s="1"/>
  <c r="M297" i="5"/>
  <c r="P297" i="5" s="1"/>
  <c r="R297" i="5" s="1"/>
  <c r="M268" i="5"/>
  <c r="P268" i="5" s="1"/>
  <c r="R268" i="5" s="1"/>
  <c r="M267" i="5"/>
  <c r="P267" i="5" s="1"/>
  <c r="R267" i="5" s="1"/>
  <c r="M169" i="5"/>
  <c r="P169" i="5" s="1"/>
  <c r="R169" i="5" s="1"/>
  <c r="M78" i="5"/>
  <c r="P78" i="5" s="1"/>
  <c r="R78" i="5" s="1"/>
  <c r="M77" i="5"/>
  <c r="P77" i="5" s="1"/>
  <c r="R77" i="5" s="1"/>
  <c r="M21" i="5"/>
  <c r="P21" i="5" s="1"/>
  <c r="R21" i="5" s="1"/>
  <c r="J39" i="4"/>
  <c r="L39" i="4" s="1"/>
  <c r="M39" i="4" s="1"/>
  <c r="H38" i="6"/>
  <c r="O1185" i="5"/>
  <c r="Q1185" i="5" s="1"/>
  <c r="O1107" i="5"/>
  <c r="Q1107" i="5" s="1"/>
  <c r="O1096" i="5"/>
  <c r="Q1096" i="5" s="1"/>
  <c r="O867" i="5"/>
  <c r="Q867" i="5" s="1"/>
  <c r="O797" i="5"/>
  <c r="Q797" i="5" s="1"/>
  <c r="O757" i="5"/>
  <c r="Q757" i="5" s="1"/>
  <c r="O743" i="5"/>
  <c r="Q743" i="5" s="1"/>
  <c r="O742" i="5"/>
  <c r="Q742" i="5" s="1"/>
  <c r="O711" i="5"/>
  <c r="Q711" i="5" s="1"/>
  <c r="O703" i="5"/>
  <c r="Q703" i="5" s="1"/>
  <c r="O668" i="5"/>
  <c r="Q668" i="5" s="1"/>
  <c r="O643" i="5"/>
  <c r="Q643" i="5" s="1"/>
  <c r="O303" i="5"/>
  <c r="Q303" i="5" s="1"/>
  <c r="O297" i="5"/>
  <c r="Q297" i="5" s="1"/>
  <c r="O268" i="5"/>
  <c r="Q268" i="5" s="1"/>
  <c r="O267" i="5"/>
  <c r="Q267" i="5" s="1"/>
  <c r="O169" i="5"/>
  <c r="Q169" i="5" s="1"/>
  <c r="O78" i="5"/>
  <c r="Q78" i="5" s="1"/>
  <c r="O77" i="5"/>
  <c r="Q77" i="5" s="1"/>
  <c r="O21" i="5"/>
  <c r="Q21" i="5" s="1"/>
  <c r="K39" i="4"/>
  <c r="G39" i="6"/>
  <c r="M1069" i="5"/>
  <c r="P1069" i="5" s="1"/>
  <c r="R1069" i="5" s="1"/>
  <c r="M1018" i="5"/>
  <c r="P1018" i="5" s="1"/>
  <c r="R1018" i="5" s="1"/>
  <c r="M968" i="5"/>
  <c r="P968" i="5" s="1"/>
  <c r="R968" i="5" s="1"/>
  <c r="M625" i="5"/>
  <c r="P625" i="5" s="1"/>
  <c r="R625" i="5" s="1"/>
  <c r="M241" i="5"/>
  <c r="P241" i="5" s="1"/>
  <c r="R241" i="5" s="1"/>
  <c r="J40" i="4"/>
  <c r="L40" i="4" s="1"/>
  <c r="M40" i="4" s="1"/>
  <c r="H39" i="6"/>
  <c r="O1069" i="5"/>
  <c r="Q1069" i="5" s="1"/>
  <c r="O1018" i="5"/>
  <c r="Q1018" i="5" s="1"/>
  <c r="O968" i="5"/>
  <c r="Q968" i="5" s="1"/>
  <c r="O625" i="5"/>
  <c r="Q625" i="5" s="1"/>
  <c r="O241" i="5"/>
  <c r="Q241" i="5" s="1"/>
  <c r="K40" i="4"/>
  <c r="G40" i="6"/>
  <c r="M880" i="5"/>
  <c r="P880" i="5" s="1"/>
  <c r="R880" i="5" s="1"/>
  <c r="J41" i="4"/>
  <c r="L41" i="4" s="1"/>
  <c r="M41" i="4" s="1"/>
  <c r="H40" i="6"/>
  <c r="O880" i="5"/>
  <c r="Q880" i="5" s="1"/>
  <c r="K41" i="4"/>
  <c r="G41" i="6"/>
  <c r="M1228" i="5"/>
  <c r="P1228" i="5" s="1"/>
  <c r="R1228" i="5" s="1"/>
  <c r="M1210" i="5"/>
  <c r="P1210" i="5" s="1"/>
  <c r="R1210" i="5" s="1"/>
  <c r="M983" i="5"/>
  <c r="P983" i="5" s="1"/>
  <c r="R983" i="5" s="1"/>
  <c r="M700" i="5"/>
  <c r="P700" i="5" s="1"/>
  <c r="R700" i="5" s="1"/>
  <c r="M682" i="5"/>
  <c r="P682" i="5" s="1"/>
  <c r="R682" i="5" s="1"/>
  <c r="M598" i="5"/>
  <c r="P598" i="5" s="1"/>
  <c r="R598" i="5" s="1"/>
  <c r="M577" i="5"/>
  <c r="P577" i="5" s="1"/>
  <c r="R577" i="5" s="1"/>
  <c r="M568" i="5"/>
  <c r="P568" i="5" s="1"/>
  <c r="R568" i="5" s="1"/>
  <c r="J42" i="4"/>
  <c r="L42" i="4" s="1"/>
  <c r="M42" i="4" s="1"/>
  <c r="H41" i="6"/>
  <c r="O1228" i="5"/>
  <c r="Q1228" i="5" s="1"/>
  <c r="O1210" i="5"/>
  <c r="Q1210" i="5" s="1"/>
  <c r="O983" i="5"/>
  <c r="Q983" i="5" s="1"/>
  <c r="O700" i="5"/>
  <c r="Q700" i="5" s="1"/>
  <c r="O682" i="5"/>
  <c r="Q682" i="5" s="1"/>
  <c r="O598" i="5"/>
  <c r="Q598" i="5" s="1"/>
  <c r="O577" i="5"/>
  <c r="Q577" i="5" s="1"/>
  <c r="O568" i="5"/>
  <c r="Q568" i="5" s="1"/>
  <c r="K42" i="4"/>
  <c r="G42" i="6"/>
  <c r="M990" i="5"/>
  <c r="P990" i="5" s="1"/>
  <c r="R990" i="5" s="1"/>
  <c r="M920" i="5"/>
  <c r="P920" i="5" s="1"/>
  <c r="R920" i="5" s="1"/>
  <c r="M501" i="5"/>
  <c r="P501" i="5" s="1"/>
  <c r="R501" i="5" s="1"/>
  <c r="M147" i="5"/>
  <c r="P147" i="5" s="1"/>
  <c r="R147" i="5" s="1"/>
  <c r="M137" i="5"/>
  <c r="P137" i="5" s="1"/>
  <c r="R137" i="5" s="1"/>
  <c r="J43" i="4"/>
  <c r="L43" i="4" s="1"/>
  <c r="M43" i="4" s="1"/>
  <c r="H42" i="6"/>
  <c r="O990" i="5"/>
  <c r="Q990" i="5" s="1"/>
  <c r="O920" i="5"/>
  <c r="Q920" i="5" s="1"/>
  <c r="O501" i="5"/>
  <c r="Q501" i="5" s="1"/>
  <c r="O147" i="5"/>
  <c r="Q147" i="5" s="1"/>
  <c r="O137" i="5"/>
  <c r="Q137" i="5" s="1"/>
  <c r="K43" i="4"/>
  <c r="G43" i="6"/>
  <c r="M854" i="5"/>
  <c r="P854" i="5" s="1"/>
  <c r="R854" i="5" s="1"/>
  <c r="M432" i="5"/>
  <c r="P432" i="5" s="1"/>
  <c r="R432" i="5" s="1"/>
  <c r="J44" i="4"/>
  <c r="L44" i="4" s="1"/>
  <c r="M44" i="4" s="1"/>
  <c r="H43" i="6"/>
  <c r="O854" i="5"/>
  <c r="Q854" i="5" s="1"/>
  <c r="O432" i="5"/>
  <c r="Q432" i="5" s="1"/>
  <c r="K44" i="4"/>
  <c r="G44" i="6"/>
  <c r="M1184" i="5"/>
  <c r="P1184" i="5" s="1"/>
  <c r="R1184" i="5" s="1"/>
  <c r="M1183" i="5"/>
  <c r="P1183" i="5" s="1"/>
  <c r="R1183" i="5" s="1"/>
  <c r="M1169" i="5"/>
  <c r="P1169" i="5" s="1"/>
  <c r="R1169" i="5" s="1"/>
  <c r="M1135" i="5"/>
  <c r="P1135" i="5" s="1"/>
  <c r="R1135" i="5" s="1"/>
  <c r="M1108" i="5"/>
  <c r="P1108" i="5" s="1"/>
  <c r="R1108" i="5" s="1"/>
  <c r="M1098" i="5"/>
  <c r="P1098" i="5" s="1"/>
  <c r="R1098" i="5" s="1"/>
  <c r="M1097" i="5"/>
  <c r="P1097" i="5" s="1"/>
  <c r="R1097" i="5" s="1"/>
  <c r="M921" i="5"/>
  <c r="P921" i="5" s="1"/>
  <c r="R921" i="5" s="1"/>
  <c r="M795" i="5"/>
  <c r="P795" i="5" s="1"/>
  <c r="R795" i="5" s="1"/>
  <c r="M755" i="5"/>
  <c r="P755" i="5" s="1"/>
  <c r="R755" i="5" s="1"/>
  <c r="M735" i="5"/>
  <c r="P735" i="5" s="1"/>
  <c r="R735" i="5" s="1"/>
  <c r="M712" i="5"/>
  <c r="P712" i="5" s="1"/>
  <c r="R712" i="5" s="1"/>
  <c r="M702" i="5"/>
  <c r="P702" i="5" s="1"/>
  <c r="R702" i="5" s="1"/>
  <c r="M683" i="5"/>
  <c r="P683" i="5" s="1"/>
  <c r="R683" i="5" s="1"/>
  <c r="M669" i="5"/>
  <c r="P669" i="5" s="1"/>
  <c r="R669" i="5" s="1"/>
  <c r="M578" i="5"/>
  <c r="P578" i="5" s="1"/>
  <c r="R578" i="5" s="1"/>
  <c r="M567" i="5"/>
  <c r="P567" i="5" s="1"/>
  <c r="R567" i="5" s="1"/>
  <c r="M419" i="5"/>
  <c r="P419" i="5" s="1"/>
  <c r="R419" i="5" s="1"/>
  <c r="M418" i="5"/>
  <c r="P418" i="5" s="1"/>
  <c r="R418" i="5" s="1"/>
  <c r="M171" i="5"/>
  <c r="P171" i="5" s="1"/>
  <c r="R171" i="5" s="1"/>
  <c r="M142" i="5"/>
  <c r="P142" i="5" s="1"/>
  <c r="R142" i="5" s="1"/>
  <c r="M114" i="5"/>
  <c r="P114" i="5" s="1"/>
  <c r="R114" i="5" s="1"/>
  <c r="M79" i="5"/>
  <c r="P79" i="5" s="1"/>
  <c r="R79" i="5" s="1"/>
  <c r="M48" i="5"/>
  <c r="P48" i="5" s="1"/>
  <c r="R48" i="5" s="1"/>
  <c r="J45" i="4"/>
  <c r="L45" i="4" s="1"/>
  <c r="M45" i="4" s="1"/>
  <c r="H44" i="6"/>
  <c r="O1184" i="5"/>
  <c r="Q1184" i="5" s="1"/>
  <c r="O1183" i="5"/>
  <c r="Q1183" i="5" s="1"/>
  <c r="O1169" i="5"/>
  <c r="Q1169" i="5" s="1"/>
  <c r="O1135" i="5"/>
  <c r="Q1135" i="5" s="1"/>
  <c r="O1108" i="5"/>
  <c r="Q1108" i="5" s="1"/>
  <c r="O1098" i="5"/>
  <c r="Q1098" i="5" s="1"/>
  <c r="O1097" i="5"/>
  <c r="Q1097" i="5" s="1"/>
  <c r="O921" i="5"/>
  <c r="Q921" i="5" s="1"/>
  <c r="O795" i="5"/>
  <c r="Q795" i="5" s="1"/>
  <c r="O755" i="5"/>
  <c r="Q755" i="5" s="1"/>
  <c r="O735" i="5"/>
  <c r="Q735" i="5" s="1"/>
  <c r="O712" i="5"/>
  <c r="Q712" i="5" s="1"/>
  <c r="O702" i="5"/>
  <c r="Q702" i="5" s="1"/>
  <c r="O683" i="5"/>
  <c r="Q683" i="5" s="1"/>
  <c r="O669" i="5"/>
  <c r="Q669" i="5" s="1"/>
  <c r="O578" i="5"/>
  <c r="Q578" i="5" s="1"/>
  <c r="O567" i="5"/>
  <c r="Q567" i="5" s="1"/>
  <c r="O419" i="5"/>
  <c r="Q419" i="5" s="1"/>
  <c r="O418" i="5"/>
  <c r="Q418" i="5" s="1"/>
  <c r="O171" i="5"/>
  <c r="Q171" i="5" s="1"/>
  <c r="O142" i="5"/>
  <c r="Q142" i="5" s="1"/>
  <c r="O114" i="5"/>
  <c r="Q114" i="5" s="1"/>
  <c r="O79" i="5"/>
  <c r="Q79" i="5" s="1"/>
  <c r="O48" i="5"/>
  <c r="Q48" i="5" s="1"/>
  <c r="K45" i="4"/>
  <c r="G45" i="6"/>
  <c r="M1071" i="5"/>
  <c r="P1071" i="5" s="1"/>
  <c r="R1071" i="5" s="1"/>
  <c r="M1070" i="5"/>
  <c r="P1070" i="5" s="1"/>
  <c r="R1070" i="5" s="1"/>
  <c r="M1009" i="5"/>
  <c r="P1009" i="5" s="1"/>
  <c r="R1009" i="5" s="1"/>
  <c r="M1008" i="5"/>
  <c r="P1008" i="5" s="1"/>
  <c r="R1008" i="5" s="1"/>
  <c r="M963" i="5"/>
  <c r="P963" i="5" s="1"/>
  <c r="R963" i="5" s="1"/>
  <c r="M240" i="5"/>
  <c r="P240" i="5" s="1"/>
  <c r="R240" i="5" s="1"/>
  <c r="M238" i="5"/>
  <c r="P238" i="5" s="1"/>
  <c r="R238" i="5" s="1"/>
  <c r="J46" i="4"/>
  <c r="L46" i="4" s="1"/>
  <c r="M46" i="4" s="1"/>
  <c r="H45" i="6"/>
  <c r="O1071" i="5"/>
  <c r="Q1071" i="5" s="1"/>
  <c r="O1070" i="5"/>
  <c r="Q1070" i="5" s="1"/>
  <c r="O1009" i="5"/>
  <c r="Q1009" i="5" s="1"/>
  <c r="O1008" i="5"/>
  <c r="Q1008" i="5" s="1"/>
  <c r="O963" i="5"/>
  <c r="Q963" i="5" s="1"/>
  <c r="O240" i="5"/>
  <c r="Q240" i="5" s="1"/>
  <c r="O238" i="5"/>
  <c r="Q238" i="5" s="1"/>
  <c r="K46" i="4"/>
  <c r="G46" i="6"/>
  <c r="M879" i="5"/>
  <c r="P879" i="5" s="1"/>
  <c r="R879" i="5" s="1"/>
  <c r="M336" i="5"/>
  <c r="P336" i="5" s="1"/>
  <c r="R336" i="5" s="1"/>
  <c r="J47" i="4"/>
  <c r="L47" i="4" s="1"/>
  <c r="M47" i="4" s="1"/>
  <c r="H46" i="6"/>
  <c r="O879" i="5"/>
  <c r="Q879" i="5" s="1"/>
  <c r="O336" i="5"/>
  <c r="Q336" i="5" s="1"/>
  <c r="K47" i="4"/>
  <c r="G47" i="6"/>
  <c r="M337" i="5"/>
  <c r="P337" i="5" s="1"/>
  <c r="R337" i="5" s="1"/>
  <c r="J48" i="4"/>
  <c r="L48" i="4" s="1"/>
  <c r="M48" i="4" s="1"/>
  <c r="H47" i="6"/>
  <c r="O337" i="5"/>
  <c r="Q337" i="5" s="1"/>
  <c r="K48" i="4"/>
  <c r="G48" i="6"/>
  <c r="M239" i="5"/>
  <c r="P239" i="5" s="1"/>
  <c r="R239" i="5" s="1"/>
  <c r="J49" i="4"/>
  <c r="L49" i="4" s="1"/>
  <c r="M49" i="4" s="1"/>
  <c r="H48" i="6"/>
  <c r="O239" i="5"/>
  <c r="Q239" i="5" s="1"/>
  <c r="K49" i="4"/>
  <c r="G49" i="6"/>
  <c r="M1224" i="5"/>
  <c r="P1224" i="5" s="1"/>
  <c r="R1224" i="5" s="1"/>
  <c r="M1223" i="5"/>
  <c r="P1223" i="5" s="1"/>
  <c r="R1223" i="5" s="1"/>
  <c r="M1208" i="5"/>
  <c r="P1208" i="5" s="1"/>
  <c r="R1208" i="5" s="1"/>
  <c r="M1206" i="5"/>
  <c r="P1206" i="5" s="1"/>
  <c r="R1206" i="5" s="1"/>
  <c r="M1165" i="5"/>
  <c r="P1165" i="5" s="1"/>
  <c r="R1165" i="5" s="1"/>
  <c r="M1162" i="5"/>
  <c r="P1162" i="5" s="1"/>
  <c r="R1162" i="5" s="1"/>
  <c r="M1147" i="5"/>
  <c r="P1147" i="5" s="1"/>
  <c r="R1147" i="5" s="1"/>
  <c r="M1130" i="5"/>
  <c r="P1130" i="5" s="1"/>
  <c r="R1130" i="5" s="1"/>
  <c r="M1129" i="5"/>
  <c r="P1129" i="5" s="1"/>
  <c r="R1129" i="5" s="1"/>
  <c r="M1116" i="5"/>
  <c r="P1116" i="5" s="1"/>
  <c r="R1116" i="5" s="1"/>
  <c r="M1114" i="5"/>
  <c r="P1114" i="5" s="1"/>
  <c r="R1114" i="5" s="1"/>
  <c r="M997" i="5"/>
  <c r="P997" i="5" s="1"/>
  <c r="R997" i="5" s="1"/>
  <c r="M994" i="5"/>
  <c r="P994" i="5" s="1"/>
  <c r="R994" i="5" s="1"/>
  <c r="M957" i="5"/>
  <c r="P957" i="5" s="1"/>
  <c r="R957" i="5" s="1"/>
  <c r="M948" i="5"/>
  <c r="P948" i="5" s="1"/>
  <c r="R948" i="5" s="1"/>
  <c r="M927" i="5"/>
  <c r="P927" i="5" s="1"/>
  <c r="R927" i="5" s="1"/>
  <c r="M924" i="5"/>
  <c r="P924" i="5" s="1"/>
  <c r="R924" i="5" s="1"/>
  <c r="M782" i="5"/>
  <c r="P782" i="5" s="1"/>
  <c r="R782" i="5" s="1"/>
  <c r="M779" i="5"/>
  <c r="P779" i="5" s="1"/>
  <c r="R779" i="5" s="1"/>
  <c r="M766" i="5"/>
  <c r="P766" i="5" s="1"/>
  <c r="R766" i="5" s="1"/>
  <c r="M765" i="5"/>
  <c r="P765" i="5" s="1"/>
  <c r="R765" i="5" s="1"/>
  <c r="M738" i="5"/>
  <c r="P738" i="5" s="1"/>
  <c r="R738" i="5" s="1"/>
  <c r="M733" i="5"/>
  <c r="P733" i="5" s="1"/>
  <c r="R733" i="5" s="1"/>
  <c r="M718" i="5"/>
  <c r="P718" i="5" s="1"/>
  <c r="R718" i="5" s="1"/>
  <c r="M714" i="5"/>
  <c r="P714" i="5" s="1"/>
  <c r="R714" i="5" s="1"/>
  <c r="M687" i="5"/>
  <c r="P687" i="5" s="1"/>
  <c r="R687" i="5" s="1"/>
  <c r="M686" i="5"/>
  <c r="P686" i="5" s="1"/>
  <c r="R686" i="5" s="1"/>
  <c r="M660" i="5"/>
  <c r="P660" i="5" s="1"/>
  <c r="R660" i="5" s="1"/>
  <c r="M658" i="5"/>
  <c r="P658" i="5" s="1"/>
  <c r="R658" i="5" s="1"/>
  <c r="M632" i="5"/>
  <c r="P632" i="5" s="1"/>
  <c r="R632" i="5" s="1"/>
  <c r="M630" i="5"/>
  <c r="P630" i="5" s="1"/>
  <c r="R630" i="5" s="1"/>
  <c r="M584" i="5"/>
  <c r="P584" i="5" s="1"/>
  <c r="R584" i="5" s="1"/>
  <c r="M582" i="5"/>
  <c r="P582" i="5" s="1"/>
  <c r="R582" i="5" s="1"/>
  <c r="M564" i="5"/>
  <c r="P564" i="5" s="1"/>
  <c r="R564" i="5" s="1"/>
  <c r="M561" i="5"/>
  <c r="P561" i="5" s="1"/>
  <c r="R561" i="5" s="1"/>
  <c r="M517" i="5"/>
  <c r="P517" i="5" s="1"/>
  <c r="R517" i="5" s="1"/>
  <c r="M516" i="5"/>
  <c r="P516" i="5" s="1"/>
  <c r="R516" i="5" s="1"/>
  <c r="M277" i="5"/>
  <c r="P277" i="5" s="1"/>
  <c r="R277" i="5" s="1"/>
  <c r="M254" i="5"/>
  <c r="P254" i="5" s="1"/>
  <c r="R254" i="5" s="1"/>
  <c r="M253" i="5"/>
  <c r="P253" i="5" s="1"/>
  <c r="R253" i="5" s="1"/>
  <c r="M196" i="5"/>
  <c r="P196" i="5" s="1"/>
  <c r="R196" i="5" s="1"/>
  <c r="M193" i="5"/>
  <c r="P193" i="5" s="1"/>
  <c r="R193" i="5" s="1"/>
  <c r="M154" i="5"/>
  <c r="P154" i="5" s="1"/>
  <c r="R154" i="5" s="1"/>
  <c r="M100" i="5"/>
  <c r="P100" i="5" s="1"/>
  <c r="R100" i="5" s="1"/>
  <c r="M65" i="5"/>
  <c r="P65" i="5" s="1"/>
  <c r="R65" i="5" s="1"/>
  <c r="M60" i="5"/>
  <c r="P60" i="5" s="1"/>
  <c r="R60" i="5" s="1"/>
  <c r="M16" i="5"/>
  <c r="P16" i="5" s="1"/>
  <c r="R16" i="5" s="1"/>
  <c r="M11" i="5"/>
  <c r="P11" i="5" s="1"/>
  <c r="R11" i="5" s="1"/>
  <c r="J50" i="4"/>
  <c r="L50" i="4" s="1"/>
  <c r="M50" i="4" s="1"/>
  <c r="H49" i="6"/>
  <c r="O1224" i="5"/>
  <c r="Q1224" i="5" s="1"/>
  <c r="O1223" i="5"/>
  <c r="Q1223" i="5" s="1"/>
  <c r="O1208" i="5"/>
  <c r="Q1208" i="5" s="1"/>
  <c r="O1206" i="5"/>
  <c r="Q1206" i="5" s="1"/>
  <c r="O1165" i="5"/>
  <c r="Q1165" i="5" s="1"/>
  <c r="O1162" i="5"/>
  <c r="Q1162" i="5" s="1"/>
  <c r="O1147" i="5"/>
  <c r="Q1147" i="5" s="1"/>
  <c r="O1130" i="5"/>
  <c r="Q1130" i="5" s="1"/>
  <c r="O1129" i="5"/>
  <c r="Q1129" i="5" s="1"/>
  <c r="O1116" i="5"/>
  <c r="Q1116" i="5" s="1"/>
  <c r="O1114" i="5"/>
  <c r="Q1114" i="5" s="1"/>
  <c r="O997" i="5"/>
  <c r="Q997" i="5" s="1"/>
  <c r="O994" i="5"/>
  <c r="Q994" i="5" s="1"/>
  <c r="O957" i="5"/>
  <c r="Q957" i="5" s="1"/>
  <c r="O948" i="5"/>
  <c r="Q948" i="5" s="1"/>
  <c r="O927" i="5"/>
  <c r="Q927" i="5" s="1"/>
  <c r="O924" i="5"/>
  <c r="Q924" i="5" s="1"/>
  <c r="O782" i="5"/>
  <c r="Q782" i="5" s="1"/>
  <c r="O779" i="5"/>
  <c r="Q779" i="5" s="1"/>
  <c r="O766" i="5"/>
  <c r="Q766" i="5" s="1"/>
  <c r="O765" i="5"/>
  <c r="Q765" i="5" s="1"/>
  <c r="O738" i="5"/>
  <c r="Q738" i="5" s="1"/>
  <c r="O733" i="5"/>
  <c r="Q733" i="5" s="1"/>
  <c r="O718" i="5"/>
  <c r="Q718" i="5" s="1"/>
  <c r="O714" i="5"/>
  <c r="Q714" i="5" s="1"/>
  <c r="O687" i="5"/>
  <c r="Q687" i="5" s="1"/>
  <c r="O686" i="5"/>
  <c r="Q686" i="5" s="1"/>
  <c r="O660" i="5"/>
  <c r="Q660" i="5" s="1"/>
  <c r="O658" i="5"/>
  <c r="Q658" i="5" s="1"/>
  <c r="O632" i="5"/>
  <c r="Q632" i="5" s="1"/>
  <c r="O630" i="5"/>
  <c r="Q630" i="5" s="1"/>
  <c r="O584" i="5"/>
  <c r="Q584" i="5" s="1"/>
  <c r="O582" i="5"/>
  <c r="Q582" i="5" s="1"/>
  <c r="O564" i="5"/>
  <c r="Q564" i="5" s="1"/>
  <c r="O561" i="5"/>
  <c r="Q561" i="5" s="1"/>
  <c r="O517" i="5"/>
  <c r="Q517" i="5" s="1"/>
  <c r="O516" i="5"/>
  <c r="Q516" i="5" s="1"/>
  <c r="O277" i="5"/>
  <c r="Q277" i="5" s="1"/>
  <c r="O254" i="5"/>
  <c r="Q254" i="5" s="1"/>
  <c r="O253" i="5"/>
  <c r="Q253" i="5" s="1"/>
  <c r="O196" i="5"/>
  <c r="Q196" i="5" s="1"/>
  <c r="O193" i="5"/>
  <c r="Q193" i="5" s="1"/>
  <c r="O154" i="5"/>
  <c r="Q154" i="5" s="1"/>
  <c r="O100" i="5"/>
  <c r="Q100" i="5" s="1"/>
  <c r="O65" i="5"/>
  <c r="Q65" i="5" s="1"/>
  <c r="O60" i="5"/>
  <c r="Q60" i="5" s="1"/>
  <c r="O16" i="5"/>
  <c r="Q16" i="5" s="1"/>
  <c r="O11" i="5"/>
  <c r="Q11" i="5" s="1"/>
  <c r="K50" i="4"/>
  <c r="G50" i="6"/>
  <c r="M618" i="5"/>
  <c r="P618" i="5" s="1"/>
  <c r="R618" i="5" s="1"/>
  <c r="M226" i="5"/>
  <c r="P226" i="5" s="1"/>
  <c r="R226" i="5" s="1"/>
  <c r="M220" i="5"/>
  <c r="P220" i="5" s="1"/>
  <c r="R220" i="5" s="1"/>
  <c r="M219" i="5"/>
  <c r="P219" i="5" s="1"/>
  <c r="R219" i="5" s="1"/>
  <c r="J51" i="4"/>
  <c r="L51" i="4" s="1"/>
  <c r="M51" i="4" s="1"/>
  <c r="H50" i="6"/>
  <c r="O618" i="5"/>
  <c r="Q618" i="5" s="1"/>
  <c r="O226" i="5"/>
  <c r="Q226" i="5" s="1"/>
  <c r="O220" i="5"/>
  <c r="Q220" i="5" s="1"/>
  <c r="O219" i="5"/>
  <c r="Q219" i="5" s="1"/>
  <c r="K51" i="4"/>
  <c r="G51" i="6"/>
  <c r="M464" i="5"/>
  <c r="P464" i="5" s="1"/>
  <c r="R464" i="5" s="1"/>
  <c r="M351" i="5"/>
  <c r="P351" i="5" s="1"/>
  <c r="R351" i="5" s="1"/>
  <c r="M349" i="5"/>
  <c r="P349" i="5" s="1"/>
  <c r="R349" i="5" s="1"/>
  <c r="J52" i="4"/>
  <c r="L52" i="4" s="1"/>
  <c r="M52" i="4" s="1"/>
  <c r="H51" i="6"/>
  <c r="O464" i="5"/>
  <c r="Q464" i="5" s="1"/>
  <c r="O351" i="5"/>
  <c r="Q351" i="5" s="1"/>
  <c r="O349" i="5"/>
  <c r="Q349" i="5" s="1"/>
  <c r="K52" i="4"/>
  <c r="G52" i="6"/>
  <c r="M1225" i="5"/>
  <c r="P1225" i="5" s="1"/>
  <c r="R1225" i="5" s="1"/>
  <c r="M1193" i="5"/>
  <c r="P1193" i="5" s="1"/>
  <c r="R1193" i="5" s="1"/>
  <c r="M1192" i="5"/>
  <c r="P1192" i="5" s="1"/>
  <c r="R1192" i="5" s="1"/>
  <c r="M1191" i="5"/>
  <c r="P1191" i="5" s="1"/>
  <c r="R1191" i="5" s="1"/>
  <c r="M1163" i="5"/>
  <c r="P1163" i="5" s="1"/>
  <c r="R1163" i="5" s="1"/>
  <c r="M1160" i="5"/>
  <c r="P1160" i="5" s="1"/>
  <c r="R1160" i="5" s="1"/>
  <c r="M1159" i="5"/>
  <c r="P1159" i="5" s="1"/>
  <c r="R1159" i="5" s="1"/>
  <c r="M1150" i="5"/>
  <c r="P1150" i="5" s="1"/>
  <c r="R1150" i="5" s="1"/>
  <c r="M1131" i="5"/>
  <c r="P1131" i="5" s="1"/>
  <c r="R1131" i="5" s="1"/>
  <c r="M1127" i="5"/>
  <c r="P1127" i="5" s="1"/>
  <c r="R1127" i="5" s="1"/>
  <c r="M1118" i="5"/>
  <c r="P1118" i="5" s="1"/>
  <c r="R1118" i="5" s="1"/>
  <c r="M1115" i="5"/>
  <c r="P1115" i="5" s="1"/>
  <c r="R1115" i="5" s="1"/>
  <c r="M1092" i="5"/>
  <c r="P1092" i="5" s="1"/>
  <c r="R1092" i="5" s="1"/>
  <c r="M1082" i="5"/>
  <c r="P1082" i="5" s="1"/>
  <c r="R1082" i="5" s="1"/>
  <c r="M1081" i="5"/>
  <c r="P1081" i="5" s="1"/>
  <c r="R1081" i="5" s="1"/>
  <c r="M1053" i="5"/>
  <c r="P1053" i="5" s="1"/>
  <c r="R1053" i="5" s="1"/>
  <c r="M1052" i="5"/>
  <c r="P1052" i="5" s="1"/>
  <c r="R1052" i="5" s="1"/>
  <c r="M1031" i="5"/>
  <c r="P1031" i="5" s="1"/>
  <c r="R1031" i="5" s="1"/>
  <c r="M1030" i="5"/>
  <c r="P1030" i="5" s="1"/>
  <c r="R1030" i="5" s="1"/>
  <c r="M996" i="5"/>
  <c r="P996" i="5" s="1"/>
  <c r="R996" i="5" s="1"/>
  <c r="M993" i="5"/>
  <c r="P993" i="5" s="1"/>
  <c r="R993" i="5" s="1"/>
  <c r="M991" i="5"/>
  <c r="P991" i="5" s="1"/>
  <c r="R991" i="5" s="1"/>
  <c r="M958" i="5"/>
  <c r="P958" i="5" s="1"/>
  <c r="R958" i="5" s="1"/>
  <c r="M955" i="5"/>
  <c r="P955" i="5" s="1"/>
  <c r="R955" i="5" s="1"/>
  <c r="M950" i="5"/>
  <c r="P950" i="5" s="1"/>
  <c r="R950" i="5" s="1"/>
  <c r="M932" i="5"/>
  <c r="P932" i="5" s="1"/>
  <c r="R932" i="5" s="1"/>
  <c r="M809" i="5"/>
  <c r="P809" i="5" s="1"/>
  <c r="R809" i="5" s="1"/>
  <c r="M781" i="5"/>
  <c r="P781" i="5" s="1"/>
  <c r="R781" i="5" s="1"/>
  <c r="M780" i="5"/>
  <c r="P780" i="5" s="1"/>
  <c r="R780" i="5" s="1"/>
  <c r="M764" i="5"/>
  <c r="P764" i="5" s="1"/>
  <c r="R764" i="5" s="1"/>
  <c r="M737" i="5"/>
  <c r="P737" i="5" s="1"/>
  <c r="R737" i="5" s="1"/>
  <c r="M734" i="5"/>
  <c r="P734" i="5" s="1"/>
  <c r="R734" i="5" s="1"/>
  <c r="M732" i="5"/>
  <c r="P732" i="5" s="1"/>
  <c r="R732" i="5" s="1"/>
  <c r="M715" i="5"/>
  <c r="P715" i="5" s="1"/>
  <c r="R715" i="5" s="1"/>
  <c r="M685" i="5"/>
  <c r="P685" i="5" s="1"/>
  <c r="R685" i="5" s="1"/>
  <c r="M684" i="5"/>
  <c r="P684" i="5" s="1"/>
  <c r="R684" i="5" s="1"/>
  <c r="M656" i="5"/>
  <c r="P656" i="5" s="1"/>
  <c r="R656" i="5" s="1"/>
  <c r="M633" i="5"/>
  <c r="P633" i="5" s="1"/>
  <c r="R633" i="5" s="1"/>
  <c r="M607" i="5"/>
  <c r="P607" i="5" s="1"/>
  <c r="R607" i="5" s="1"/>
  <c r="M605" i="5"/>
  <c r="P605" i="5" s="1"/>
  <c r="R605" i="5" s="1"/>
  <c r="M583" i="5"/>
  <c r="P583" i="5" s="1"/>
  <c r="R583" i="5" s="1"/>
  <c r="M581" i="5"/>
  <c r="P581" i="5" s="1"/>
  <c r="R581" i="5" s="1"/>
  <c r="M570" i="5"/>
  <c r="P570" i="5" s="1"/>
  <c r="R570" i="5" s="1"/>
  <c r="M563" i="5"/>
  <c r="P563" i="5" s="1"/>
  <c r="R563" i="5" s="1"/>
  <c r="M560" i="5"/>
  <c r="P560" i="5" s="1"/>
  <c r="R560" i="5" s="1"/>
  <c r="M519" i="5"/>
  <c r="P519" i="5" s="1"/>
  <c r="R519" i="5" s="1"/>
  <c r="M514" i="5"/>
  <c r="P514" i="5" s="1"/>
  <c r="R514" i="5" s="1"/>
  <c r="M311" i="5"/>
  <c r="P311" i="5" s="1"/>
  <c r="R311" i="5" s="1"/>
  <c r="M310" i="5"/>
  <c r="P310" i="5" s="1"/>
  <c r="R310" i="5" s="1"/>
  <c r="M308" i="5"/>
  <c r="P308" i="5" s="1"/>
  <c r="R308" i="5" s="1"/>
  <c r="M289" i="5"/>
  <c r="P289" i="5" s="1"/>
  <c r="R289" i="5" s="1"/>
  <c r="M287" i="5"/>
  <c r="P287" i="5" s="1"/>
  <c r="R287" i="5" s="1"/>
  <c r="M286" i="5"/>
  <c r="P286" i="5" s="1"/>
  <c r="R286" i="5" s="1"/>
  <c r="M276" i="5"/>
  <c r="P276" i="5" s="1"/>
  <c r="R276" i="5" s="1"/>
  <c r="M275" i="5"/>
  <c r="P275" i="5" s="1"/>
  <c r="R275" i="5" s="1"/>
  <c r="M274" i="5"/>
  <c r="P274" i="5" s="1"/>
  <c r="R274" i="5" s="1"/>
  <c r="M235" i="5"/>
  <c r="P235" i="5" s="1"/>
  <c r="R235" i="5" s="1"/>
  <c r="M195" i="5"/>
  <c r="P195" i="5" s="1"/>
  <c r="R195" i="5" s="1"/>
  <c r="M191" i="5"/>
  <c r="P191" i="5" s="1"/>
  <c r="R191" i="5" s="1"/>
  <c r="M187" i="5"/>
  <c r="P187" i="5" s="1"/>
  <c r="R187" i="5" s="1"/>
  <c r="M155" i="5"/>
  <c r="P155" i="5" s="1"/>
  <c r="R155" i="5" s="1"/>
  <c r="M101" i="5"/>
  <c r="P101" i="5" s="1"/>
  <c r="R101" i="5" s="1"/>
  <c r="M99" i="5"/>
  <c r="P99" i="5" s="1"/>
  <c r="R99" i="5" s="1"/>
  <c r="M67" i="5"/>
  <c r="P67" i="5" s="1"/>
  <c r="R67" i="5" s="1"/>
  <c r="M64" i="5"/>
  <c r="P64" i="5" s="1"/>
  <c r="R64" i="5" s="1"/>
  <c r="M61" i="5"/>
  <c r="P61" i="5" s="1"/>
  <c r="R61" i="5" s="1"/>
  <c r="M42" i="5"/>
  <c r="P42" i="5" s="1"/>
  <c r="R42" i="5" s="1"/>
  <c r="M31" i="5"/>
  <c r="P31" i="5" s="1"/>
  <c r="R31" i="5" s="1"/>
  <c r="M30" i="5"/>
  <c r="P30" i="5" s="1"/>
  <c r="R30" i="5" s="1"/>
  <c r="M15" i="5"/>
  <c r="P15" i="5" s="1"/>
  <c r="R15" i="5" s="1"/>
  <c r="J53" i="4"/>
  <c r="L53" i="4" s="1"/>
  <c r="M53" i="4" s="1"/>
  <c r="H52" i="6"/>
  <c r="O1225" i="5"/>
  <c r="Q1225" i="5" s="1"/>
  <c r="O1193" i="5"/>
  <c r="Q1193" i="5" s="1"/>
  <c r="O1192" i="5"/>
  <c r="Q1192" i="5" s="1"/>
  <c r="O1191" i="5"/>
  <c r="Q1191" i="5" s="1"/>
  <c r="O1163" i="5"/>
  <c r="Q1163" i="5" s="1"/>
  <c r="O1160" i="5"/>
  <c r="Q1160" i="5" s="1"/>
  <c r="O1159" i="5"/>
  <c r="Q1159" i="5" s="1"/>
  <c r="O1150" i="5"/>
  <c r="Q1150" i="5" s="1"/>
  <c r="O1131" i="5"/>
  <c r="Q1131" i="5" s="1"/>
  <c r="O1127" i="5"/>
  <c r="Q1127" i="5" s="1"/>
  <c r="O1118" i="5"/>
  <c r="Q1118" i="5" s="1"/>
  <c r="O1115" i="5"/>
  <c r="Q1115" i="5" s="1"/>
  <c r="O1092" i="5"/>
  <c r="Q1092" i="5" s="1"/>
  <c r="O1082" i="5"/>
  <c r="Q1082" i="5" s="1"/>
  <c r="O1081" i="5"/>
  <c r="Q1081" i="5" s="1"/>
  <c r="O1053" i="5"/>
  <c r="Q1053" i="5" s="1"/>
  <c r="O1052" i="5"/>
  <c r="Q1052" i="5" s="1"/>
  <c r="O1031" i="5"/>
  <c r="Q1031" i="5" s="1"/>
  <c r="O1030" i="5"/>
  <c r="Q1030" i="5" s="1"/>
  <c r="O996" i="5"/>
  <c r="Q996" i="5" s="1"/>
  <c r="O993" i="5"/>
  <c r="Q993" i="5" s="1"/>
  <c r="O991" i="5"/>
  <c r="Q991" i="5" s="1"/>
  <c r="O958" i="5"/>
  <c r="Q958" i="5" s="1"/>
  <c r="O955" i="5"/>
  <c r="Q955" i="5" s="1"/>
  <c r="O950" i="5"/>
  <c r="Q950" i="5" s="1"/>
  <c r="O932" i="5"/>
  <c r="Q932" i="5" s="1"/>
  <c r="O809" i="5"/>
  <c r="Q809" i="5" s="1"/>
  <c r="O781" i="5"/>
  <c r="Q781" i="5" s="1"/>
  <c r="O780" i="5"/>
  <c r="Q780" i="5" s="1"/>
  <c r="O764" i="5"/>
  <c r="Q764" i="5" s="1"/>
  <c r="O737" i="5"/>
  <c r="Q737" i="5" s="1"/>
  <c r="O734" i="5"/>
  <c r="Q734" i="5" s="1"/>
  <c r="O732" i="5"/>
  <c r="Q732" i="5" s="1"/>
  <c r="O715" i="5"/>
  <c r="Q715" i="5" s="1"/>
  <c r="O685" i="5"/>
  <c r="Q685" i="5" s="1"/>
  <c r="O684" i="5"/>
  <c r="Q684" i="5" s="1"/>
  <c r="O656" i="5"/>
  <c r="Q656" i="5" s="1"/>
  <c r="O633" i="5"/>
  <c r="Q633" i="5" s="1"/>
  <c r="O607" i="5"/>
  <c r="Q607" i="5" s="1"/>
  <c r="O605" i="5"/>
  <c r="Q605" i="5" s="1"/>
  <c r="O583" i="5"/>
  <c r="Q583" i="5" s="1"/>
  <c r="O581" i="5"/>
  <c r="Q581" i="5" s="1"/>
  <c r="O570" i="5"/>
  <c r="Q570" i="5" s="1"/>
  <c r="O563" i="5"/>
  <c r="Q563" i="5" s="1"/>
  <c r="O560" i="5"/>
  <c r="Q560" i="5" s="1"/>
  <c r="O519" i="5"/>
  <c r="Q519" i="5" s="1"/>
  <c r="O514" i="5"/>
  <c r="Q514" i="5" s="1"/>
  <c r="O311" i="5"/>
  <c r="Q311" i="5" s="1"/>
  <c r="O310" i="5"/>
  <c r="Q310" i="5" s="1"/>
  <c r="O308" i="5"/>
  <c r="Q308" i="5" s="1"/>
  <c r="O289" i="5"/>
  <c r="Q289" i="5" s="1"/>
  <c r="O287" i="5"/>
  <c r="Q287" i="5" s="1"/>
  <c r="O286" i="5"/>
  <c r="Q286" i="5" s="1"/>
  <c r="O276" i="5"/>
  <c r="Q276" i="5" s="1"/>
  <c r="O275" i="5"/>
  <c r="Q275" i="5" s="1"/>
  <c r="O274" i="5"/>
  <c r="Q274" i="5" s="1"/>
  <c r="O235" i="5"/>
  <c r="Q235" i="5" s="1"/>
  <c r="O195" i="5"/>
  <c r="Q195" i="5" s="1"/>
  <c r="O191" i="5"/>
  <c r="Q191" i="5" s="1"/>
  <c r="O187" i="5"/>
  <c r="Q187" i="5" s="1"/>
  <c r="O155" i="5"/>
  <c r="Q155" i="5" s="1"/>
  <c r="O101" i="5"/>
  <c r="Q101" i="5" s="1"/>
  <c r="O99" i="5"/>
  <c r="Q99" i="5" s="1"/>
  <c r="O67" i="5"/>
  <c r="Q67" i="5" s="1"/>
  <c r="O64" i="5"/>
  <c r="Q64" i="5" s="1"/>
  <c r="O61" i="5"/>
  <c r="Q61" i="5" s="1"/>
  <c r="O42" i="5"/>
  <c r="Q42" i="5" s="1"/>
  <c r="O31" i="5"/>
  <c r="Q31" i="5" s="1"/>
  <c r="O30" i="5"/>
  <c r="Q30" i="5" s="1"/>
  <c r="O15" i="5"/>
  <c r="Q15" i="5" s="1"/>
  <c r="K53" i="4"/>
  <c r="G53" i="6"/>
  <c r="M1051" i="5"/>
  <c r="P1051" i="5" s="1"/>
  <c r="R1051" i="5" s="1"/>
  <c r="M815" i="5"/>
  <c r="P815" i="5" s="1"/>
  <c r="R815" i="5" s="1"/>
  <c r="M814" i="5"/>
  <c r="P814" i="5" s="1"/>
  <c r="R814" i="5" s="1"/>
  <c r="M604" i="5"/>
  <c r="P604" i="5" s="1"/>
  <c r="R604" i="5" s="1"/>
  <c r="M601" i="5"/>
  <c r="P601" i="5" s="1"/>
  <c r="R601" i="5" s="1"/>
  <c r="M229" i="5"/>
  <c r="P229" i="5" s="1"/>
  <c r="R229" i="5" s="1"/>
  <c r="M224" i="5"/>
  <c r="P224" i="5" s="1"/>
  <c r="R224" i="5" s="1"/>
  <c r="M221" i="5"/>
  <c r="P221" i="5" s="1"/>
  <c r="R221" i="5" s="1"/>
  <c r="J54" i="4"/>
  <c r="L54" i="4" s="1"/>
  <c r="M54" i="4" s="1"/>
  <c r="H53" i="6"/>
  <c r="O1051" i="5"/>
  <c r="Q1051" i="5" s="1"/>
  <c r="O815" i="5"/>
  <c r="Q815" i="5" s="1"/>
  <c r="O814" i="5"/>
  <c r="Q814" i="5" s="1"/>
  <c r="O604" i="5"/>
  <c r="Q604" i="5" s="1"/>
  <c r="O601" i="5"/>
  <c r="Q601" i="5" s="1"/>
  <c r="O229" i="5"/>
  <c r="Q229" i="5" s="1"/>
  <c r="O224" i="5"/>
  <c r="Q224" i="5" s="1"/>
  <c r="O221" i="5"/>
  <c r="Q221" i="5" s="1"/>
  <c r="K54" i="4"/>
  <c r="G54" i="6"/>
  <c r="M856" i="5"/>
  <c r="P856" i="5" s="1"/>
  <c r="R856" i="5" s="1"/>
  <c r="M855" i="5"/>
  <c r="P855" i="5" s="1"/>
  <c r="R855" i="5" s="1"/>
  <c r="M331" i="5"/>
  <c r="P331" i="5" s="1"/>
  <c r="R331" i="5" s="1"/>
  <c r="J55" i="4"/>
  <c r="L55" i="4" s="1"/>
  <c r="M55" i="4" s="1"/>
  <c r="H54" i="6"/>
  <c r="O856" i="5"/>
  <c r="Q856" i="5" s="1"/>
  <c r="O855" i="5"/>
  <c r="Q855" i="5" s="1"/>
  <c r="O331" i="5"/>
  <c r="Q331" i="5" s="1"/>
  <c r="K55" i="4"/>
  <c r="G55" i="6"/>
  <c r="M1222" i="5"/>
  <c r="P1222" i="5" s="1"/>
  <c r="R1222" i="5" s="1"/>
  <c r="M1221" i="5"/>
  <c r="P1221" i="5" s="1"/>
  <c r="R1221" i="5" s="1"/>
  <c r="M1205" i="5"/>
  <c r="P1205" i="5" s="1"/>
  <c r="R1205" i="5" s="1"/>
  <c r="M1204" i="5"/>
  <c r="P1204" i="5" s="1"/>
  <c r="R1204" i="5" s="1"/>
  <c r="M1196" i="5"/>
  <c r="P1196" i="5" s="1"/>
  <c r="R1196" i="5" s="1"/>
  <c r="M1182" i="5"/>
  <c r="P1182" i="5" s="1"/>
  <c r="R1182" i="5" s="1"/>
  <c r="M1181" i="5"/>
  <c r="P1181" i="5" s="1"/>
  <c r="R1181" i="5" s="1"/>
  <c r="M1164" i="5"/>
  <c r="P1164" i="5" s="1"/>
  <c r="R1164" i="5" s="1"/>
  <c r="M1161" i="5"/>
  <c r="P1161" i="5" s="1"/>
  <c r="R1161" i="5" s="1"/>
  <c r="M1128" i="5"/>
  <c r="P1128" i="5" s="1"/>
  <c r="R1128" i="5" s="1"/>
  <c r="M1126" i="5"/>
  <c r="P1126" i="5" s="1"/>
  <c r="R1126" i="5" s="1"/>
  <c r="M1117" i="5"/>
  <c r="P1117" i="5" s="1"/>
  <c r="R1117" i="5" s="1"/>
  <c r="M1112" i="5"/>
  <c r="P1112" i="5" s="1"/>
  <c r="R1112" i="5" s="1"/>
  <c r="M1111" i="5"/>
  <c r="P1111" i="5" s="1"/>
  <c r="R1111" i="5" s="1"/>
  <c r="M1025" i="5"/>
  <c r="P1025" i="5" s="1"/>
  <c r="R1025" i="5" s="1"/>
  <c r="M1024" i="5"/>
  <c r="P1024" i="5" s="1"/>
  <c r="R1024" i="5" s="1"/>
  <c r="M954" i="5"/>
  <c r="P954" i="5" s="1"/>
  <c r="R954" i="5" s="1"/>
  <c r="M933" i="5"/>
  <c r="P933" i="5" s="1"/>
  <c r="R933" i="5" s="1"/>
  <c r="M923" i="5"/>
  <c r="P923" i="5" s="1"/>
  <c r="R923" i="5" s="1"/>
  <c r="M810" i="5"/>
  <c r="P810" i="5" s="1"/>
  <c r="R810" i="5" s="1"/>
  <c r="M792" i="5"/>
  <c r="P792" i="5" s="1"/>
  <c r="R792" i="5" s="1"/>
  <c r="M791" i="5"/>
  <c r="P791" i="5" s="1"/>
  <c r="R791" i="5" s="1"/>
  <c r="M790" i="5"/>
  <c r="P790" i="5" s="1"/>
  <c r="R790" i="5" s="1"/>
  <c r="M784" i="5"/>
  <c r="P784" i="5" s="1"/>
  <c r="R784" i="5" s="1"/>
  <c r="M783" i="5"/>
  <c r="P783" i="5" s="1"/>
  <c r="R783" i="5" s="1"/>
  <c r="M775" i="5"/>
  <c r="P775" i="5" s="1"/>
  <c r="R775" i="5" s="1"/>
  <c r="M774" i="5"/>
  <c r="P774" i="5" s="1"/>
  <c r="R774" i="5" s="1"/>
  <c r="M767" i="5"/>
  <c r="P767" i="5" s="1"/>
  <c r="R767" i="5" s="1"/>
  <c r="M759" i="5"/>
  <c r="P759" i="5" s="1"/>
  <c r="R759" i="5" s="1"/>
  <c r="M758" i="5"/>
  <c r="P758" i="5" s="1"/>
  <c r="R758" i="5" s="1"/>
  <c r="M747" i="5"/>
  <c r="P747" i="5" s="1"/>
  <c r="R747" i="5" s="1"/>
  <c r="M746" i="5"/>
  <c r="P746" i="5" s="1"/>
  <c r="R746" i="5" s="1"/>
  <c r="M740" i="5"/>
  <c r="P740" i="5" s="1"/>
  <c r="R740" i="5" s="1"/>
  <c r="M736" i="5"/>
  <c r="P736" i="5" s="1"/>
  <c r="R736" i="5" s="1"/>
  <c r="M719" i="5"/>
  <c r="P719" i="5" s="1"/>
  <c r="R719" i="5" s="1"/>
  <c r="M717" i="5"/>
  <c r="P717" i="5" s="1"/>
  <c r="R717" i="5" s="1"/>
  <c r="M716" i="5"/>
  <c r="P716" i="5" s="1"/>
  <c r="R716" i="5" s="1"/>
  <c r="M697" i="5"/>
  <c r="P697" i="5" s="1"/>
  <c r="R697" i="5" s="1"/>
  <c r="M696" i="5"/>
  <c r="P696" i="5" s="1"/>
  <c r="R696" i="5" s="1"/>
  <c r="M693" i="5"/>
  <c r="P693" i="5" s="1"/>
  <c r="R693" i="5" s="1"/>
  <c r="M688" i="5"/>
  <c r="P688" i="5" s="1"/>
  <c r="R688" i="5" s="1"/>
  <c r="M681" i="5"/>
  <c r="P681" i="5" s="1"/>
  <c r="R681" i="5" s="1"/>
  <c r="M674" i="5"/>
  <c r="P674" i="5" s="1"/>
  <c r="R674" i="5" s="1"/>
  <c r="M665" i="5"/>
  <c r="P665" i="5" s="1"/>
  <c r="R665" i="5" s="1"/>
  <c r="M664" i="5"/>
  <c r="P664" i="5" s="1"/>
  <c r="R664" i="5" s="1"/>
  <c r="M659" i="5"/>
  <c r="P659" i="5" s="1"/>
  <c r="R659" i="5" s="1"/>
  <c r="M657" i="5"/>
  <c r="P657" i="5" s="1"/>
  <c r="R657" i="5" s="1"/>
  <c r="M653" i="5"/>
  <c r="P653" i="5" s="1"/>
  <c r="R653" i="5" s="1"/>
  <c r="M641" i="5"/>
  <c r="P641" i="5" s="1"/>
  <c r="R641" i="5" s="1"/>
  <c r="M631" i="5"/>
  <c r="P631" i="5" s="1"/>
  <c r="R631" i="5" s="1"/>
  <c r="M629" i="5"/>
  <c r="P629" i="5" s="1"/>
  <c r="R629" i="5" s="1"/>
  <c r="M575" i="5"/>
  <c r="P575" i="5" s="1"/>
  <c r="R575" i="5" s="1"/>
  <c r="M571" i="5"/>
  <c r="P571" i="5" s="1"/>
  <c r="R571" i="5" s="1"/>
  <c r="M565" i="5"/>
  <c r="P565" i="5" s="1"/>
  <c r="R565" i="5" s="1"/>
  <c r="M562" i="5"/>
  <c r="P562" i="5" s="1"/>
  <c r="R562" i="5" s="1"/>
  <c r="M518" i="5"/>
  <c r="P518" i="5" s="1"/>
  <c r="R518" i="5" s="1"/>
  <c r="M515" i="5"/>
  <c r="P515" i="5" s="1"/>
  <c r="R515" i="5" s="1"/>
  <c r="M512" i="5"/>
  <c r="P512" i="5" s="1"/>
  <c r="R512" i="5" s="1"/>
  <c r="M309" i="5"/>
  <c r="P309" i="5" s="1"/>
  <c r="R309" i="5" s="1"/>
  <c r="M304" i="5"/>
  <c r="P304" i="5" s="1"/>
  <c r="R304" i="5" s="1"/>
  <c r="M295" i="5"/>
  <c r="P295" i="5" s="1"/>
  <c r="R295" i="5" s="1"/>
  <c r="M294" i="5"/>
  <c r="P294" i="5" s="1"/>
  <c r="R294" i="5" s="1"/>
  <c r="M290" i="5"/>
  <c r="P290" i="5" s="1"/>
  <c r="R290" i="5" s="1"/>
  <c r="M272" i="5"/>
  <c r="P272" i="5" s="1"/>
  <c r="R272" i="5" s="1"/>
  <c r="M271" i="5"/>
  <c r="P271" i="5" s="1"/>
  <c r="R271" i="5" s="1"/>
  <c r="M252" i="5"/>
  <c r="P252" i="5" s="1"/>
  <c r="R252" i="5" s="1"/>
  <c r="M251" i="5"/>
  <c r="P251" i="5" s="1"/>
  <c r="R251" i="5" s="1"/>
  <c r="M206" i="5"/>
  <c r="P206" i="5" s="1"/>
  <c r="R206" i="5" s="1"/>
  <c r="M205" i="5"/>
  <c r="P205" i="5" s="1"/>
  <c r="R205" i="5" s="1"/>
  <c r="M200" i="5"/>
  <c r="P200" i="5" s="1"/>
  <c r="R200" i="5" s="1"/>
  <c r="M194" i="5"/>
  <c r="P194" i="5" s="1"/>
  <c r="R194" i="5" s="1"/>
  <c r="M190" i="5"/>
  <c r="P190" i="5" s="1"/>
  <c r="R190" i="5" s="1"/>
  <c r="M174" i="5"/>
  <c r="P174" i="5" s="1"/>
  <c r="R174" i="5" s="1"/>
  <c r="M173" i="5"/>
  <c r="P173" i="5" s="1"/>
  <c r="R173" i="5" s="1"/>
  <c r="M158" i="5"/>
  <c r="P158" i="5" s="1"/>
  <c r="R158" i="5" s="1"/>
  <c r="M157" i="5"/>
  <c r="P157" i="5" s="1"/>
  <c r="R157" i="5" s="1"/>
  <c r="M156" i="5"/>
  <c r="P156" i="5" s="1"/>
  <c r="R156" i="5" s="1"/>
  <c r="M118" i="5"/>
  <c r="P118" i="5" s="1"/>
  <c r="R118" i="5" s="1"/>
  <c r="M117" i="5"/>
  <c r="P117" i="5" s="1"/>
  <c r="R117" i="5" s="1"/>
  <c r="M103" i="5"/>
  <c r="P103" i="5" s="1"/>
  <c r="R103" i="5" s="1"/>
  <c r="M83" i="5"/>
  <c r="P83" i="5" s="1"/>
  <c r="R83" i="5" s="1"/>
  <c r="M82" i="5"/>
  <c r="P82" i="5" s="1"/>
  <c r="R82" i="5" s="1"/>
  <c r="M66" i="5"/>
  <c r="P66" i="5" s="1"/>
  <c r="R66" i="5" s="1"/>
  <c r="M59" i="5"/>
  <c r="P59" i="5" s="1"/>
  <c r="R59" i="5" s="1"/>
  <c r="M58" i="5"/>
  <c r="P58" i="5" s="1"/>
  <c r="R58" i="5" s="1"/>
  <c r="M47" i="5"/>
  <c r="P47" i="5" s="1"/>
  <c r="R47" i="5" s="1"/>
  <c r="M46" i="5"/>
  <c r="P46" i="5" s="1"/>
  <c r="R46" i="5" s="1"/>
  <c r="M33" i="5"/>
  <c r="P33" i="5" s="1"/>
  <c r="R33" i="5" s="1"/>
  <c r="M24" i="5"/>
  <c r="P24" i="5" s="1"/>
  <c r="R24" i="5" s="1"/>
  <c r="M13" i="5"/>
  <c r="P13" i="5" s="1"/>
  <c r="R13" i="5" s="1"/>
  <c r="M12" i="5"/>
  <c r="P12" i="5" s="1"/>
  <c r="R12" i="5" s="1"/>
  <c r="J56" i="4"/>
  <c r="L56" i="4" s="1"/>
  <c r="M56" i="4" s="1"/>
  <c r="H55" i="6"/>
  <c r="O1222" i="5"/>
  <c r="Q1222" i="5" s="1"/>
  <c r="O1221" i="5"/>
  <c r="Q1221" i="5" s="1"/>
  <c r="O1205" i="5"/>
  <c r="Q1205" i="5" s="1"/>
  <c r="O1204" i="5"/>
  <c r="Q1204" i="5" s="1"/>
  <c r="O1196" i="5"/>
  <c r="Q1196" i="5" s="1"/>
  <c r="O1182" i="5"/>
  <c r="Q1182" i="5" s="1"/>
  <c r="O1181" i="5"/>
  <c r="Q1181" i="5" s="1"/>
  <c r="O1164" i="5"/>
  <c r="Q1164" i="5" s="1"/>
  <c r="O1161" i="5"/>
  <c r="Q1161" i="5" s="1"/>
  <c r="O1128" i="5"/>
  <c r="Q1128" i="5" s="1"/>
  <c r="O1126" i="5"/>
  <c r="Q1126" i="5" s="1"/>
  <c r="O1117" i="5"/>
  <c r="Q1117" i="5" s="1"/>
  <c r="O1112" i="5"/>
  <c r="Q1112" i="5" s="1"/>
  <c r="O1111" i="5"/>
  <c r="Q1111" i="5" s="1"/>
  <c r="O1025" i="5"/>
  <c r="Q1025" i="5" s="1"/>
  <c r="O1024" i="5"/>
  <c r="Q1024" i="5" s="1"/>
  <c r="O954" i="5"/>
  <c r="Q954" i="5" s="1"/>
  <c r="O933" i="5"/>
  <c r="Q933" i="5" s="1"/>
  <c r="O923" i="5"/>
  <c r="Q923" i="5" s="1"/>
  <c r="O810" i="5"/>
  <c r="Q810" i="5" s="1"/>
  <c r="O792" i="5"/>
  <c r="Q792" i="5" s="1"/>
  <c r="O791" i="5"/>
  <c r="Q791" i="5" s="1"/>
  <c r="O790" i="5"/>
  <c r="Q790" i="5" s="1"/>
  <c r="O784" i="5"/>
  <c r="Q784" i="5" s="1"/>
  <c r="O783" i="5"/>
  <c r="Q783" i="5" s="1"/>
  <c r="O775" i="5"/>
  <c r="Q775" i="5" s="1"/>
  <c r="O774" i="5"/>
  <c r="Q774" i="5" s="1"/>
  <c r="O767" i="5"/>
  <c r="Q767" i="5" s="1"/>
  <c r="O759" i="5"/>
  <c r="Q759" i="5" s="1"/>
  <c r="O758" i="5"/>
  <c r="Q758" i="5" s="1"/>
  <c r="O747" i="5"/>
  <c r="Q747" i="5" s="1"/>
  <c r="O746" i="5"/>
  <c r="Q746" i="5" s="1"/>
  <c r="O740" i="5"/>
  <c r="Q740" i="5" s="1"/>
  <c r="O736" i="5"/>
  <c r="Q736" i="5" s="1"/>
  <c r="O719" i="5"/>
  <c r="Q719" i="5" s="1"/>
  <c r="O717" i="5"/>
  <c r="Q717" i="5" s="1"/>
  <c r="O716" i="5"/>
  <c r="Q716" i="5" s="1"/>
  <c r="O697" i="5"/>
  <c r="Q697" i="5" s="1"/>
  <c r="O696" i="5"/>
  <c r="Q696" i="5" s="1"/>
  <c r="O693" i="5"/>
  <c r="Q693" i="5" s="1"/>
  <c r="O688" i="5"/>
  <c r="Q688" i="5" s="1"/>
  <c r="O681" i="5"/>
  <c r="Q681" i="5" s="1"/>
  <c r="O674" i="5"/>
  <c r="Q674" i="5" s="1"/>
  <c r="O665" i="5"/>
  <c r="Q665" i="5" s="1"/>
  <c r="O664" i="5"/>
  <c r="Q664" i="5" s="1"/>
  <c r="O659" i="5"/>
  <c r="Q659" i="5" s="1"/>
  <c r="O657" i="5"/>
  <c r="Q657" i="5" s="1"/>
  <c r="O653" i="5"/>
  <c r="Q653" i="5" s="1"/>
  <c r="O641" i="5"/>
  <c r="Q641" i="5" s="1"/>
  <c r="O631" i="5"/>
  <c r="Q631" i="5" s="1"/>
  <c r="O629" i="5"/>
  <c r="Q629" i="5" s="1"/>
  <c r="O575" i="5"/>
  <c r="Q575" i="5" s="1"/>
  <c r="O571" i="5"/>
  <c r="Q571" i="5" s="1"/>
  <c r="O565" i="5"/>
  <c r="Q565" i="5" s="1"/>
  <c r="O562" i="5"/>
  <c r="Q562" i="5" s="1"/>
  <c r="O518" i="5"/>
  <c r="Q518" i="5" s="1"/>
  <c r="O515" i="5"/>
  <c r="Q515" i="5" s="1"/>
  <c r="O512" i="5"/>
  <c r="Q512" i="5" s="1"/>
  <c r="O309" i="5"/>
  <c r="Q309" i="5" s="1"/>
  <c r="O304" i="5"/>
  <c r="Q304" i="5" s="1"/>
  <c r="O295" i="5"/>
  <c r="Q295" i="5" s="1"/>
  <c r="O294" i="5"/>
  <c r="Q294" i="5" s="1"/>
  <c r="O290" i="5"/>
  <c r="Q290" i="5" s="1"/>
  <c r="O272" i="5"/>
  <c r="Q272" i="5" s="1"/>
  <c r="O271" i="5"/>
  <c r="Q271" i="5" s="1"/>
  <c r="O252" i="5"/>
  <c r="Q252" i="5" s="1"/>
  <c r="O251" i="5"/>
  <c r="Q251" i="5" s="1"/>
  <c r="O206" i="5"/>
  <c r="Q206" i="5" s="1"/>
  <c r="O205" i="5"/>
  <c r="Q205" i="5" s="1"/>
  <c r="O200" i="5"/>
  <c r="Q200" i="5" s="1"/>
  <c r="O194" i="5"/>
  <c r="Q194" i="5" s="1"/>
  <c r="O190" i="5"/>
  <c r="Q190" i="5" s="1"/>
  <c r="O174" i="5"/>
  <c r="Q174" i="5" s="1"/>
  <c r="O173" i="5"/>
  <c r="Q173" i="5" s="1"/>
  <c r="O158" i="5"/>
  <c r="Q158" i="5" s="1"/>
  <c r="O157" i="5"/>
  <c r="Q157" i="5" s="1"/>
  <c r="O156" i="5"/>
  <c r="Q156" i="5" s="1"/>
  <c r="O118" i="5"/>
  <c r="Q118" i="5" s="1"/>
  <c r="O117" i="5"/>
  <c r="Q117" i="5" s="1"/>
  <c r="O103" i="5"/>
  <c r="Q103" i="5" s="1"/>
  <c r="O83" i="5"/>
  <c r="Q83" i="5" s="1"/>
  <c r="O82" i="5"/>
  <c r="Q82" i="5" s="1"/>
  <c r="O66" i="5"/>
  <c r="Q66" i="5" s="1"/>
  <c r="O59" i="5"/>
  <c r="Q59" i="5" s="1"/>
  <c r="O58" i="5"/>
  <c r="Q58" i="5" s="1"/>
  <c r="O47" i="5"/>
  <c r="Q47" i="5" s="1"/>
  <c r="O46" i="5"/>
  <c r="Q46" i="5" s="1"/>
  <c r="O33" i="5"/>
  <c r="Q33" i="5" s="1"/>
  <c r="O24" i="5"/>
  <c r="Q24" i="5" s="1"/>
  <c r="O13" i="5"/>
  <c r="Q13" i="5" s="1"/>
  <c r="O12" i="5"/>
  <c r="Q12" i="5" s="1"/>
  <c r="K56" i="4"/>
  <c r="G56" i="6"/>
  <c r="M1076" i="5"/>
  <c r="P1076" i="5" s="1"/>
  <c r="R1076" i="5" s="1"/>
  <c r="M1068" i="5"/>
  <c r="P1068" i="5" s="1"/>
  <c r="R1068" i="5" s="1"/>
  <c r="M1065" i="5"/>
  <c r="P1065" i="5" s="1"/>
  <c r="R1065" i="5" s="1"/>
  <c r="M1059" i="5"/>
  <c r="P1059" i="5" s="1"/>
  <c r="R1059" i="5" s="1"/>
  <c r="M1014" i="5"/>
  <c r="P1014" i="5" s="1"/>
  <c r="R1014" i="5" s="1"/>
  <c r="M1013" i="5"/>
  <c r="P1013" i="5" s="1"/>
  <c r="R1013" i="5" s="1"/>
  <c r="M1012" i="5"/>
  <c r="P1012" i="5" s="1"/>
  <c r="R1012" i="5" s="1"/>
  <c r="M998" i="5"/>
  <c r="P998" i="5" s="1"/>
  <c r="R998" i="5" s="1"/>
  <c r="M995" i="5"/>
  <c r="P995" i="5" s="1"/>
  <c r="R995" i="5" s="1"/>
  <c r="M985" i="5"/>
  <c r="P985" i="5" s="1"/>
  <c r="R985" i="5" s="1"/>
  <c r="M971" i="5"/>
  <c r="P971" i="5" s="1"/>
  <c r="R971" i="5" s="1"/>
  <c r="M970" i="5"/>
  <c r="P970" i="5" s="1"/>
  <c r="R970" i="5" s="1"/>
  <c r="M956" i="5"/>
  <c r="P956" i="5" s="1"/>
  <c r="R956" i="5" s="1"/>
  <c r="M949" i="5"/>
  <c r="P949" i="5" s="1"/>
  <c r="R949" i="5" s="1"/>
  <c r="M928" i="5"/>
  <c r="P928" i="5" s="1"/>
  <c r="R928" i="5" s="1"/>
  <c r="M926" i="5"/>
  <c r="P926" i="5" s="1"/>
  <c r="R926" i="5" s="1"/>
  <c r="M925" i="5"/>
  <c r="P925" i="5" s="1"/>
  <c r="R925" i="5" s="1"/>
  <c r="M614" i="5"/>
  <c r="P614" i="5" s="1"/>
  <c r="R614" i="5" s="1"/>
  <c r="M603" i="5"/>
  <c r="P603" i="5" s="1"/>
  <c r="R603" i="5" s="1"/>
  <c r="M602" i="5"/>
  <c r="P602" i="5" s="1"/>
  <c r="R602" i="5" s="1"/>
  <c r="M243" i="5"/>
  <c r="P243" i="5" s="1"/>
  <c r="R243" i="5" s="1"/>
  <c r="M242" i="5"/>
  <c r="P242" i="5" s="1"/>
  <c r="R242" i="5" s="1"/>
  <c r="M225" i="5"/>
  <c r="P225" i="5" s="1"/>
  <c r="R225" i="5" s="1"/>
  <c r="M223" i="5"/>
  <c r="P223" i="5" s="1"/>
  <c r="R223" i="5" s="1"/>
  <c r="M222" i="5"/>
  <c r="P222" i="5" s="1"/>
  <c r="R222" i="5" s="1"/>
  <c r="M145" i="5"/>
  <c r="P145" i="5" s="1"/>
  <c r="R145" i="5" s="1"/>
  <c r="M130" i="5"/>
  <c r="P130" i="5" s="1"/>
  <c r="R130" i="5" s="1"/>
  <c r="J57" i="4"/>
  <c r="L57" i="4" s="1"/>
  <c r="M57" i="4" s="1"/>
  <c r="H56" i="6"/>
  <c r="O1076" i="5"/>
  <c r="Q1076" i="5" s="1"/>
  <c r="O1068" i="5"/>
  <c r="Q1068" i="5" s="1"/>
  <c r="O1065" i="5"/>
  <c r="Q1065" i="5" s="1"/>
  <c r="O1059" i="5"/>
  <c r="Q1059" i="5" s="1"/>
  <c r="O1014" i="5"/>
  <c r="Q1014" i="5" s="1"/>
  <c r="O1013" i="5"/>
  <c r="Q1013" i="5" s="1"/>
  <c r="O1012" i="5"/>
  <c r="Q1012" i="5" s="1"/>
  <c r="O998" i="5"/>
  <c r="Q998" i="5" s="1"/>
  <c r="O995" i="5"/>
  <c r="Q995" i="5" s="1"/>
  <c r="O985" i="5"/>
  <c r="Q985" i="5" s="1"/>
  <c r="O971" i="5"/>
  <c r="Q971" i="5" s="1"/>
  <c r="O970" i="5"/>
  <c r="Q970" i="5" s="1"/>
  <c r="O956" i="5"/>
  <c r="Q956" i="5" s="1"/>
  <c r="O949" i="5"/>
  <c r="Q949" i="5" s="1"/>
  <c r="O928" i="5"/>
  <c r="Q928" i="5" s="1"/>
  <c r="O926" i="5"/>
  <c r="Q926" i="5" s="1"/>
  <c r="O925" i="5"/>
  <c r="Q925" i="5" s="1"/>
  <c r="O614" i="5"/>
  <c r="Q614" i="5" s="1"/>
  <c r="O603" i="5"/>
  <c r="Q603" i="5" s="1"/>
  <c r="O602" i="5"/>
  <c r="Q602" i="5" s="1"/>
  <c r="O243" i="5"/>
  <c r="Q243" i="5" s="1"/>
  <c r="O242" i="5"/>
  <c r="Q242" i="5" s="1"/>
  <c r="O225" i="5"/>
  <c r="Q225" i="5" s="1"/>
  <c r="O223" i="5"/>
  <c r="Q223" i="5" s="1"/>
  <c r="O222" i="5"/>
  <c r="Q222" i="5" s="1"/>
  <c r="O145" i="5"/>
  <c r="Q145" i="5" s="1"/>
  <c r="O130" i="5"/>
  <c r="Q130" i="5" s="1"/>
  <c r="K57" i="4"/>
  <c r="G57" i="6"/>
  <c r="M885" i="5"/>
  <c r="P885" i="5" s="1"/>
  <c r="R885" i="5" s="1"/>
  <c r="M884" i="5"/>
  <c r="P884" i="5" s="1"/>
  <c r="R884" i="5" s="1"/>
  <c r="M876" i="5"/>
  <c r="P876" i="5" s="1"/>
  <c r="R876" i="5" s="1"/>
  <c r="M870" i="5"/>
  <c r="P870" i="5" s="1"/>
  <c r="R870" i="5" s="1"/>
  <c r="M869" i="5"/>
  <c r="P869" i="5" s="1"/>
  <c r="R869" i="5" s="1"/>
  <c r="M853" i="5"/>
  <c r="P853" i="5" s="1"/>
  <c r="R853" i="5" s="1"/>
  <c r="M852" i="5"/>
  <c r="P852" i="5" s="1"/>
  <c r="R852" i="5" s="1"/>
  <c r="M828" i="5"/>
  <c r="P828" i="5" s="1"/>
  <c r="R828" i="5" s="1"/>
  <c r="M551" i="5"/>
  <c r="P551" i="5" s="1"/>
  <c r="R551" i="5" s="1"/>
  <c r="M535" i="5"/>
  <c r="P535" i="5" s="1"/>
  <c r="R535" i="5" s="1"/>
  <c r="M502" i="5"/>
  <c r="P502" i="5" s="1"/>
  <c r="R502" i="5" s="1"/>
  <c r="M483" i="5"/>
  <c r="P483" i="5" s="1"/>
  <c r="R483" i="5" s="1"/>
  <c r="M453" i="5"/>
  <c r="P453" i="5" s="1"/>
  <c r="R453" i="5" s="1"/>
  <c r="M440" i="5"/>
  <c r="P440" i="5" s="1"/>
  <c r="R440" i="5" s="1"/>
  <c r="M420" i="5"/>
  <c r="P420" i="5" s="1"/>
  <c r="R420" i="5" s="1"/>
  <c r="M406" i="5"/>
  <c r="P406" i="5" s="1"/>
  <c r="R406" i="5" s="1"/>
  <c r="M388" i="5"/>
  <c r="P388" i="5" s="1"/>
  <c r="R388" i="5" s="1"/>
  <c r="M350" i="5"/>
  <c r="P350" i="5" s="1"/>
  <c r="R350" i="5" s="1"/>
  <c r="M348" i="5"/>
  <c r="P348" i="5" s="1"/>
  <c r="R348" i="5" s="1"/>
  <c r="M344" i="5"/>
  <c r="P344" i="5" s="1"/>
  <c r="R344" i="5" s="1"/>
  <c r="M343" i="5"/>
  <c r="P343" i="5" s="1"/>
  <c r="R343" i="5" s="1"/>
  <c r="M341" i="5"/>
  <c r="P341" i="5" s="1"/>
  <c r="R341" i="5" s="1"/>
  <c r="M324" i="5"/>
  <c r="P324" i="5" s="1"/>
  <c r="R324" i="5" s="1"/>
  <c r="M323" i="5"/>
  <c r="P323" i="5" s="1"/>
  <c r="R323" i="5" s="1"/>
  <c r="J58" i="4"/>
  <c r="L58" i="4" s="1"/>
  <c r="M58" i="4" s="1"/>
  <c r="H57" i="6"/>
  <c r="O885" i="5"/>
  <c r="Q885" i="5" s="1"/>
  <c r="O884" i="5"/>
  <c r="Q884" i="5" s="1"/>
  <c r="O876" i="5"/>
  <c r="Q876" i="5" s="1"/>
  <c r="O870" i="5"/>
  <c r="Q870" i="5" s="1"/>
  <c r="O869" i="5"/>
  <c r="Q869" i="5" s="1"/>
  <c r="O853" i="5"/>
  <c r="Q853" i="5" s="1"/>
  <c r="O852" i="5"/>
  <c r="Q852" i="5" s="1"/>
  <c r="O828" i="5"/>
  <c r="Q828" i="5" s="1"/>
  <c r="O551" i="5"/>
  <c r="Q551" i="5" s="1"/>
  <c r="O535" i="5"/>
  <c r="Q535" i="5" s="1"/>
  <c r="O502" i="5"/>
  <c r="Q502" i="5" s="1"/>
  <c r="O483" i="5"/>
  <c r="Q483" i="5" s="1"/>
  <c r="O453" i="5"/>
  <c r="Q453" i="5" s="1"/>
  <c r="O440" i="5"/>
  <c r="Q440" i="5" s="1"/>
  <c r="O420" i="5"/>
  <c r="Q420" i="5" s="1"/>
  <c r="O406" i="5"/>
  <c r="Q406" i="5" s="1"/>
  <c r="O388" i="5"/>
  <c r="Q388" i="5" s="1"/>
  <c r="O350" i="5"/>
  <c r="Q350" i="5" s="1"/>
  <c r="O348" i="5"/>
  <c r="Q348" i="5" s="1"/>
  <c r="O344" i="5"/>
  <c r="Q344" i="5" s="1"/>
  <c r="O343" i="5"/>
  <c r="Q343" i="5" s="1"/>
  <c r="O341" i="5"/>
  <c r="Q341" i="5" s="1"/>
  <c r="O324" i="5"/>
  <c r="Q324" i="5" s="1"/>
  <c r="O323" i="5"/>
  <c r="Q323" i="5" s="1"/>
  <c r="K58" i="4"/>
  <c r="G58" i="6"/>
  <c r="M1106" i="5"/>
  <c r="P1106" i="5" s="1"/>
  <c r="R1106" i="5" s="1"/>
  <c r="M1002" i="5"/>
  <c r="P1002" i="5" s="1"/>
  <c r="R1002" i="5" s="1"/>
  <c r="M930" i="5"/>
  <c r="P930" i="5" s="1"/>
  <c r="R930" i="5" s="1"/>
  <c r="M661" i="5"/>
  <c r="P661" i="5" s="1"/>
  <c r="R661" i="5" s="1"/>
  <c r="M153" i="5"/>
  <c r="P153" i="5" s="1"/>
  <c r="R153" i="5" s="1"/>
  <c r="J59" i="4"/>
  <c r="L59" i="4" s="1"/>
  <c r="M59" i="4" s="1"/>
  <c r="H58" i="6"/>
  <c r="O1106" i="5"/>
  <c r="Q1106" i="5" s="1"/>
  <c r="O1002" i="5"/>
  <c r="Q1002" i="5" s="1"/>
  <c r="O930" i="5"/>
  <c r="Q930" i="5" s="1"/>
  <c r="O661" i="5"/>
  <c r="Q661" i="5" s="1"/>
  <c r="O153" i="5"/>
  <c r="Q153" i="5" s="1"/>
  <c r="K59" i="4"/>
  <c r="G59" i="6"/>
  <c r="M1143" i="5"/>
  <c r="P1143" i="5" s="1"/>
  <c r="R1143" i="5" s="1"/>
  <c r="M192" i="5"/>
  <c r="P192" i="5" s="1"/>
  <c r="R192" i="5" s="1"/>
  <c r="J60" i="4"/>
  <c r="L60" i="4" s="1"/>
  <c r="M60" i="4" s="1"/>
  <c r="H59" i="6"/>
  <c r="O1143" i="5"/>
  <c r="Q1143" i="5" s="1"/>
  <c r="O192" i="5"/>
  <c r="Q192" i="5" s="1"/>
  <c r="K60" i="4"/>
  <c r="G60" i="6"/>
  <c r="M133" i="5"/>
  <c r="P133" i="5" s="1"/>
  <c r="R133" i="5" s="1"/>
  <c r="M131" i="5"/>
  <c r="P131" i="5" s="1"/>
  <c r="R131" i="5" s="1"/>
  <c r="J61" i="4"/>
  <c r="L61" i="4" s="1"/>
  <c r="M61" i="4" s="1"/>
  <c r="H60" i="6"/>
  <c r="O133" i="5"/>
  <c r="Q133" i="5" s="1"/>
  <c r="O131" i="5"/>
  <c r="Q131" i="5" s="1"/>
  <c r="K61" i="4"/>
  <c r="G61" i="6"/>
  <c r="M1227" i="5"/>
  <c r="P1227" i="5" s="1"/>
  <c r="R1227" i="5" s="1"/>
  <c r="M1226" i="5"/>
  <c r="P1226" i="5" s="1"/>
  <c r="R1226" i="5" s="1"/>
  <c r="M1216" i="5"/>
  <c r="P1216" i="5" s="1"/>
  <c r="R1216" i="5" s="1"/>
  <c r="M1203" i="5"/>
  <c r="P1203" i="5" s="1"/>
  <c r="R1203" i="5" s="1"/>
  <c r="M1180" i="5"/>
  <c r="P1180" i="5" s="1"/>
  <c r="R1180" i="5" s="1"/>
  <c r="M1176" i="5"/>
  <c r="P1176" i="5" s="1"/>
  <c r="R1176" i="5" s="1"/>
  <c r="M1174" i="5"/>
  <c r="P1174" i="5" s="1"/>
  <c r="R1174" i="5" s="1"/>
  <c r="M1151" i="5"/>
  <c r="P1151" i="5" s="1"/>
  <c r="R1151" i="5" s="1"/>
  <c r="M1146" i="5"/>
  <c r="P1146" i="5" s="1"/>
  <c r="R1146" i="5" s="1"/>
  <c r="M1134" i="5"/>
  <c r="P1134" i="5" s="1"/>
  <c r="R1134" i="5" s="1"/>
  <c r="M1122" i="5"/>
  <c r="P1122" i="5" s="1"/>
  <c r="M1110" i="5"/>
  <c r="P1110" i="5" s="1"/>
  <c r="R1110" i="5" s="1"/>
  <c r="M1095" i="5"/>
  <c r="P1095" i="5" s="1"/>
  <c r="R1095" i="5" s="1"/>
  <c r="M1083" i="5"/>
  <c r="P1083" i="5" s="1"/>
  <c r="R1083" i="5" s="1"/>
  <c r="M1042" i="5"/>
  <c r="P1042" i="5" s="1"/>
  <c r="R1042" i="5" s="1"/>
  <c r="M1040" i="5"/>
  <c r="P1040" i="5" s="1"/>
  <c r="R1040" i="5" s="1"/>
  <c r="M1028" i="5"/>
  <c r="P1028" i="5" s="1"/>
  <c r="R1028" i="5" s="1"/>
  <c r="M952" i="5"/>
  <c r="P952" i="5" s="1"/>
  <c r="R952" i="5" s="1"/>
  <c r="M875" i="5"/>
  <c r="P875" i="5" s="1"/>
  <c r="R875" i="5" s="1"/>
  <c r="M874" i="5"/>
  <c r="P874" i="5" s="1"/>
  <c r="R874" i="5" s="1"/>
  <c r="M846" i="5"/>
  <c r="P846" i="5" s="1"/>
  <c r="R846" i="5" s="1"/>
  <c r="M821" i="5"/>
  <c r="P821" i="5" s="1"/>
  <c r="R821" i="5" s="1"/>
  <c r="M806" i="5"/>
  <c r="P806" i="5" s="1"/>
  <c r="R806" i="5" s="1"/>
  <c r="M788" i="5"/>
  <c r="P788" i="5" s="1"/>
  <c r="R788" i="5" s="1"/>
  <c r="M771" i="5"/>
  <c r="P771" i="5" s="1"/>
  <c r="R771" i="5" s="1"/>
  <c r="M754" i="5"/>
  <c r="P754" i="5" s="1"/>
  <c r="R754" i="5" s="1"/>
  <c r="M726" i="5"/>
  <c r="P726" i="5" s="1"/>
  <c r="R726" i="5" s="1"/>
  <c r="M713" i="5"/>
  <c r="P713" i="5" s="1"/>
  <c r="R713" i="5" s="1"/>
  <c r="M695" i="5"/>
  <c r="P695" i="5" s="1"/>
  <c r="R695" i="5" s="1"/>
  <c r="M652" i="5"/>
  <c r="P652" i="5" s="1"/>
  <c r="R652" i="5" s="1"/>
  <c r="M634" i="5"/>
  <c r="P634" i="5" s="1"/>
  <c r="R634" i="5" s="1"/>
  <c r="M587" i="5"/>
  <c r="P587" i="5" s="1"/>
  <c r="R587" i="5" s="1"/>
  <c r="M574" i="5"/>
  <c r="P574" i="5" s="1"/>
  <c r="M566" i="5"/>
  <c r="P566" i="5" s="1"/>
  <c r="R566" i="5" s="1"/>
  <c r="M511" i="5"/>
  <c r="P511" i="5" s="1"/>
  <c r="R511" i="5" s="1"/>
  <c r="M417" i="5"/>
  <c r="P417" i="5" s="1"/>
  <c r="R417" i="5" s="1"/>
  <c r="M307" i="5"/>
  <c r="P307" i="5" s="1"/>
  <c r="R307" i="5" s="1"/>
  <c r="M292" i="5"/>
  <c r="P292" i="5" s="1"/>
  <c r="R292" i="5" s="1"/>
  <c r="M284" i="5"/>
  <c r="P284" i="5" s="1"/>
  <c r="R284" i="5" s="1"/>
  <c r="M258" i="5"/>
  <c r="P258" i="5" s="1"/>
  <c r="R258" i="5" s="1"/>
  <c r="M201" i="5"/>
  <c r="P201" i="5" s="1"/>
  <c r="R201" i="5" s="1"/>
  <c r="M179" i="5"/>
  <c r="P179" i="5" s="1"/>
  <c r="R179" i="5" s="1"/>
  <c r="M178" i="5"/>
  <c r="P178" i="5" s="1"/>
  <c r="R178" i="5" s="1"/>
  <c r="M167" i="5"/>
  <c r="P167" i="5" s="1"/>
  <c r="R167" i="5" s="1"/>
  <c r="M160" i="5"/>
  <c r="P160" i="5" s="1"/>
  <c r="R160" i="5" s="1"/>
  <c r="M144" i="5"/>
  <c r="P144" i="5" s="1"/>
  <c r="R144" i="5" s="1"/>
  <c r="M115" i="5"/>
  <c r="P115" i="5" s="1"/>
  <c r="R115" i="5" s="1"/>
  <c r="M98" i="5"/>
  <c r="P98" i="5" s="1"/>
  <c r="R98" i="5" s="1"/>
  <c r="M93" i="5"/>
  <c r="P93" i="5" s="1"/>
  <c r="R93" i="5" s="1"/>
  <c r="M84" i="5"/>
  <c r="P84" i="5" s="1"/>
  <c r="R84" i="5" s="1"/>
  <c r="M80" i="5"/>
  <c r="P80" i="5" s="1"/>
  <c r="R80" i="5" s="1"/>
  <c r="M62" i="5"/>
  <c r="P62" i="5" s="1"/>
  <c r="R62" i="5" s="1"/>
  <c r="M56" i="5"/>
  <c r="P56" i="5" s="1"/>
  <c r="R56" i="5" s="1"/>
  <c r="M55" i="5"/>
  <c r="P55" i="5" s="1"/>
  <c r="R55" i="5" s="1"/>
  <c r="M45" i="5"/>
  <c r="P45" i="5" s="1"/>
  <c r="R45" i="5" s="1"/>
  <c r="M35" i="5"/>
  <c r="P35" i="5" s="1"/>
  <c r="R35" i="5" s="1"/>
  <c r="M19" i="5"/>
  <c r="P19" i="5" s="1"/>
  <c r="R19" i="5" s="1"/>
  <c r="M9" i="5"/>
  <c r="P9" i="5" s="1"/>
  <c r="R9" i="5" s="1"/>
  <c r="M7" i="5"/>
  <c r="P7" i="5" s="1"/>
  <c r="R7" i="5" s="1"/>
  <c r="J62" i="4"/>
  <c r="L62" i="4" s="1"/>
  <c r="M62" i="4" s="1"/>
  <c r="H61" i="6"/>
  <c r="O1227" i="5"/>
  <c r="Q1227" i="5" s="1"/>
  <c r="O1226" i="5"/>
  <c r="Q1226" i="5" s="1"/>
  <c r="O1216" i="5"/>
  <c r="Q1216" i="5" s="1"/>
  <c r="O1203" i="5"/>
  <c r="Q1203" i="5" s="1"/>
  <c r="O1180" i="5"/>
  <c r="Q1180" i="5" s="1"/>
  <c r="O1176" i="5"/>
  <c r="Q1176" i="5" s="1"/>
  <c r="O1174" i="5"/>
  <c r="Q1174" i="5" s="1"/>
  <c r="O1151" i="5"/>
  <c r="Q1151" i="5" s="1"/>
  <c r="O1146" i="5"/>
  <c r="Q1146" i="5" s="1"/>
  <c r="O1134" i="5"/>
  <c r="Q1134" i="5" s="1"/>
  <c r="O1122" i="5"/>
  <c r="Q1122" i="5" s="1"/>
  <c r="Q1139" i="5" s="1"/>
  <c r="O1110" i="5"/>
  <c r="Q1110" i="5" s="1"/>
  <c r="O1095" i="5"/>
  <c r="Q1095" i="5" s="1"/>
  <c r="O1083" i="5"/>
  <c r="Q1083" i="5" s="1"/>
  <c r="O1042" i="5"/>
  <c r="Q1042" i="5" s="1"/>
  <c r="O1040" i="5"/>
  <c r="Q1040" i="5" s="1"/>
  <c r="O1028" i="5"/>
  <c r="Q1028" i="5" s="1"/>
  <c r="O952" i="5"/>
  <c r="Q952" i="5" s="1"/>
  <c r="O875" i="5"/>
  <c r="Q875" i="5" s="1"/>
  <c r="O874" i="5"/>
  <c r="Q874" i="5" s="1"/>
  <c r="O846" i="5"/>
  <c r="Q846" i="5" s="1"/>
  <c r="O821" i="5"/>
  <c r="Q821" i="5" s="1"/>
  <c r="O806" i="5"/>
  <c r="Q806" i="5" s="1"/>
  <c r="O788" i="5"/>
  <c r="Q788" i="5" s="1"/>
  <c r="O771" i="5"/>
  <c r="Q771" i="5" s="1"/>
  <c r="O754" i="5"/>
  <c r="Q754" i="5" s="1"/>
  <c r="O726" i="5"/>
  <c r="Q726" i="5" s="1"/>
  <c r="O713" i="5"/>
  <c r="Q713" i="5" s="1"/>
  <c r="O695" i="5"/>
  <c r="Q695" i="5" s="1"/>
  <c r="O652" i="5"/>
  <c r="Q652" i="5" s="1"/>
  <c r="O634" i="5"/>
  <c r="Q634" i="5" s="1"/>
  <c r="O587" i="5"/>
  <c r="Q587" i="5" s="1"/>
  <c r="O574" i="5"/>
  <c r="Q574" i="5" s="1"/>
  <c r="Q588" i="5" s="1"/>
  <c r="O566" i="5"/>
  <c r="Q566" i="5" s="1"/>
  <c r="O511" i="5"/>
  <c r="Q511" i="5" s="1"/>
  <c r="O417" i="5"/>
  <c r="Q417" i="5" s="1"/>
  <c r="O307" i="5"/>
  <c r="Q307" i="5" s="1"/>
  <c r="O292" i="5"/>
  <c r="Q292" i="5" s="1"/>
  <c r="O284" i="5"/>
  <c r="Q284" i="5" s="1"/>
  <c r="O258" i="5"/>
  <c r="Q258" i="5" s="1"/>
  <c r="O201" i="5"/>
  <c r="Q201" i="5" s="1"/>
  <c r="O179" i="5"/>
  <c r="Q179" i="5" s="1"/>
  <c r="O178" i="5"/>
  <c r="Q178" i="5" s="1"/>
  <c r="O167" i="5"/>
  <c r="Q167" i="5" s="1"/>
  <c r="O160" i="5"/>
  <c r="Q160" i="5" s="1"/>
  <c r="O144" i="5"/>
  <c r="Q144" i="5" s="1"/>
  <c r="O115" i="5"/>
  <c r="Q115" i="5" s="1"/>
  <c r="O98" i="5"/>
  <c r="Q98" i="5" s="1"/>
  <c r="O93" i="5"/>
  <c r="Q93" i="5" s="1"/>
  <c r="O84" i="5"/>
  <c r="Q84" i="5" s="1"/>
  <c r="O80" i="5"/>
  <c r="Q80" i="5" s="1"/>
  <c r="O62" i="5"/>
  <c r="Q62" i="5" s="1"/>
  <c r="O56" i="5"/>
  <c r="Q56" i="5" s="1"/>
  <c r="O55" i="5"/>
  <c r="Q55" i="5" s="1"/>
  <c r="O45" i="5"/>
  <c r="Q45" i="5" s="1"/>
  <c r="O35" i="5"/>
  <c r="Q35" i="5" s="1"/>
  <c r="O19" i="5"/>
  <c r="Q19" i="5" s="1"/>
  <c r="O9" i="5"/>
  <c r="Q9" i="5" s="1"/>
  <c r="O7" i="5"/>
  <c r="Q7" i="5" s="1"/>
  <c r="K62" i="4"/>
  <c r="G62" i="6"/>
  <c r="M1066" i="5"/>
  <c r="P1066" i="5" s="1"/>
  <c r="R1066" i="5" s="1"/>
  <c r="M1047" i="5"/>
  <c r="P1047" i="5" s="1"/>
  <c r="M1019" i="5"/>
  <c r="P1019" i="5" s="1"/>
  <c r="R1019" i="5" s="1"/>
  <c r="M1010" i="5"/>
  <c r="P1010" i="5" s="1"/>
  <c r="R1010" i="5" s="1"/>
  <c r="M989" i="5"/>
  <c r="P989" i="5" s="1"/>
  <c r="R989" i="5" s="1"/>
  <c r="M965" i="5"/>
  <c r="P965" i="5" s="1"/>
  <c r="R965" i="5" s="1"/>
  <c r="M964" i="5"/>
  <c r="P964" i="5" s="1"/>
  <c r="R964" i="5" s="1"/>
  <c r="M942" i="5"/>
  <c r="P942" i="5" s="1"/>
  <c r="R942" i="5" s="1"/>
  <c r="M941" i="5"/>
  <c r="P941" i="5" s="1"/>
  <c r="M918" i="5"/>
  <c r="P918" i="5" s="1"/>
  <c r="R918" i="5" s="1"/>
  <c r="M917" i="5"/>
  <c r="P917" i="5" s="1"/>
  <c r="R917" i="5" s="1"/>
  <c r="M615" i="5"/>
  <c r="P615" i="5" s="1"/>
  <c r="R615" i="5" s="1"/>
  <c r="M613" i="5"/>
  <c r="P613" i="5" s="1"/>
  <c r="R613" i="5" s="1"/>
  <c r="M592" i="5"/>
  <c r="P592" i="5" s="1"/>
  <c r="R592" i="5" s="1"/>
  <c r="M245" i="5"/>
  <c r="P245" i="5" s="1"/>
  <c r="R245" i="5" s="1"/>
  <c r="M244" i="5"/>
  <c r="P244" i="5" s="1"/>
  <c r="R244" i="5" s="1"/>
  <c r="M227" i="5"/>
  <c r="P227" i="5" s="1"/>
  <c r="R227" i="5" s="1"/>
  <c r="M218" i="5"/>
  <c r="P218" i="5" s="1"/>
  <c r="R218" i="5" s="1"/>
  <c r="M135" i="5"/>
  <c r="P135" i="5" s="1"/>
  <c r="R135" i="5" s="1"/>
  <c r="J63" i="4"/>
  <c r="L63" i="4" s="1"/>
  <c r="M63" i="4" s="1"/>
  <c r="H62" i="6"/>
  <c r="O1066" i="5"/>
  <c r="Q1066" i="5" s="1"/>
  <c r="O1047" i="5"/>
  <c r="Q1047" i="5" s="1"/>
  <c r="Q1077" i="5" s="1"/>
  <c r="O1019" i="5"/>
  <c r="Q1019" i="5" s="1"/>
  <c r="O1010" i="5"/>
  <c r="Q1010" i="5" s="1"/>
  <c r="O989" i="5"/>
  <c r="Q989" i="5" s="1"/>
  <c r="O965" i="5"/>
  <c r="Q965" i="5" s="1"/>
  <c r="O964" i="5"/>
  <c r="Q964" i="5" s="1"/>
  <c r="O942" i="5"/>
  <c r="Q942" i="5" s="1"/>
  <c r="O941" i="5"/>
  <c r="Q941" i="5" s="1"/>
  <c r="Q975" i="5" s="1"/>
  <c r="O918" i="5"/>
  <c r="Q918" i="5" s="1"/>
  <c r="O917" i="5"/>
  <c r="Q917" i="5" s="1"/>
  <c r="O615" i="5"/>
  <c r="Q615" i="5" s="1"/>
  <c r="O613" i="5"/>
  <c r="Q613" i="5" s="1"/>
  <c r="O592" i="5"/>
  <c r="Q592" i="5" s="1"/>
  <c r="O245" i="5"/>
  <c r="Q245" i="5" s="1"/>
  <c r="O244" i="5"/>
  <c r="Q244" i="5" s="1"/>
  <c r="O227" i="5"/>
  <c r="Q227" i="5" s="1"/>
  <c r="O218" i="5"/>
  <c r="Q218" i="5" s="1"/>
  <c r="O135" i="5"/>
  <c r="Q135" i="5" s="1"/>
  <c r="K63" i="4"/>
  <c r="G63" i="6"/>
  <c r="M878" i="5"/>
  <c r="P878" i="5" s="1"/>
  <c r="R878" i="5" s="1"/>
  <c r="M873" i="5"/>
  <c r="P873" i="5" s="1"/>
  <c r="R873" i="5" s="1"/>
  <c r="M844" i="5"/>
  <c r="P844" i="5" s="1"/>
  <c r="R844" i="5" s="1"/>
  <c r="M825" i="5"/>
  <c r="P825" i="5" s="1"/>
  <c r="R825" i="5" s="1"/>
  <c r="M824" i="5"/>
  <c r="P824" i="5" s="1"/>
  <c r="R824" i="5" s="1"/>
  <c r="M823" i="5"/>
  <c r="P823" i="5" s="1"/>
  <c r="R823" i="5" s="1"/>
  <c r="M819" i="5"/>
  <c r="P819" i="5" s="1"/>
  <c r="R819" i="5" s="1"/>
  <c r="M544" i="5"/>
  <c r="P544" i="5" s="1"/>
  <c r="R544" i="5" s="1"/>
  <c r="M527" i="5"/>
  <c r="P527" i="5" s="1"/>
  <c r="R527" i="5" s="1"/>
  <c r="M505" i="5"/>
  <c r="P505" i="5" s="1"/>
  <c r="R505" i="5" s="1"/>
  <c r="M486" i="5"/>
  <c r="P486" i="5" s="1"/>
  <c r="R486" i="5" s="1"/>
  <c r="M485" i="5"/>
  <c r="P485" i="5" s="1"/>
  <c r="R485" i="5" s="1"/>
  <c r="M481" i="5"/>
  <c r="P481" i="5" s="1"/>
  <c r="R481" i="5" s="1"/>
  <c r="M473" i="5"/>
  <c r="P473" i="5" s="1"/>
  <c r="R473" i="5" s="1"/>
  <c r="M472" i="5"/>
  <c r="P472" i="5" s="1"/>
  <c r="R472" i="5" s="1"/>
  <c r="M469" i="5"/>
  <c r="P469" i="5" s="1"/>
  <c r="R469" i="5" s="1"/>
  <c r="M468" i="5"/>
  <c r="P468" i="5" s="1"/>
  <c r="R468" i="5" s="1"/>
  <c r="M452" i="5"/>
  <c r="P452" i="5" s="1"/>
  <c r="R452" i="5" s="1"/>
  <c r="M444" i="5"/>
  <c r="P444" i="5" s="1"/>
  <c r="R444" i="5" s="1"/>
  <c r="M422" i="5"/>
  <c r="P422" i="5" s="1"/>
  <c r="R422" i="5" s="1"/>
  <c r="M421" i="5"/>
  <c r="P421" i="5" s="1"/>
  <c r="R421" i="5" s="1"/>
  <c r="M405" i="5"/>
  <c r="P405" i="5" s="1"/>
  <c r="R405" i="5" s="1"/>
  <c r="M387" i="5"/>
  <c r="P387" i="5" s="1"/>
  <c r="R387" i="5" s="1"/>
  <c r="M385" i="5"/>
  <c r="P385" i="5" s="1"/>
  <c r="R385" i="5" s="1"/>
  <c r="M367" i="5"/>
  <c r="P367" i="5" s="1"/>
  <c r="R367" i="5" s="1"/>
  <c r="M366" i="5"/>
  <c r="P366" i="5" s="1"/>
  <c r="R366" i="5" s="1"/>
  <c r="M359" i="5"/>
  <c r="P359" i="5" s="1"/>
  <c r="R359" i="5" s="1"/>
  <c r="M345" i="5"/>
  <c r="P345" i="5" s="1"/>
  <c r="R345" i="5" s="1"/>
  <c r="M342" i="5"/>
  <c r="P342" i="5" s="1"/>
  <c r="R342" i="5" s="1"/>
  <c r="M321" i="5"/>
  <c r="P321" i="5" s="1"/>
  <c r="R321" i="5" s="1"/>
  <c r="J64" i="4"/>
  <c r="L64" i="4" s="1"/>
  <c r="M64" i="4" s="1"/>
  <c r="H63" i="6"/>
  <c r="O878" i="5"/>
  <c r="Q878" i="5" s="1"/>
  <c r="O873" i="5"/>
  <c r="Q873" i="5" s="1"/>
  <c r="O844" i="5"/>
  <c r="Q844" i="5" s="1"/>
  <c r="O825" i="5"/>
  <c r="Q825" i="5" s="1"/>
  <c r="O824" i="5"/>
  <c r="Q824" i="5" s="1"/>
  <c r="O823" i="5"/>
  <c r="Q823" i="5" s="1"/>
  <c r="O819" i="5"/>
  <c r="Q819" i="5" s="1"/>
  <c r="O544" i="5"/>
  <c r="Q544" i="5" s="1"/>
  <c r="O527" i="5"/>
  <c r="Q527" i="5" s="1"/>
  <c r="O505" i="5"/>
  <c r="Q505" i="5" s="1"/>
  <c r="O486" i="5"/>
  <c r="Q486" i="5" s="1"/>
  <c r="O485" i="5"/>
  <c r="Q485" i="5" s="1"/>
  <c r="O481" i="5"/>
  <c r="Q481" i="5" s="1"/>
  <c r="O473" i="5"/>
  <c r="Q473" i="5" s="1"/>
  <c r="O472" i="5"/>
  <c r="Q472" i="5" s="1"/>
  <c r="O469" i="5"/>
  <c r="Q469" i="5" s="1"/>
  <c r="O468" i="5"/>
  <c r="Q468" i="5" s="1"/>
  <c r="O452" i="5"/>
  <c r="Q452" i="5" s="1"/>
  <c r="O444" i="5"/>
  <c r="Q444" i="5" s="1"/>
  <c r="O422" i="5"/>
  <c r="Q422" i="5" s="1"/>
  <c r="O421" i="5"/>
  <c r="Q421" i="5" s="1"/>
  <c r="O405" i="5"/>
  <c r="Q405" i="5" s="1"/>
  <c r="O387" i="5"/>
  <c r="Q387" i="5" s="1"/>
  <c r="O385" i="5"/>
  <c r="Q385" i="5" s="1"/>
  <c r="O367" i="5"/>
  <c r="Q367" i="5" s="1"/>
  <c r="O366" i="5"/>
  <c r="Q366" i="5" s="1"/>
  <c r="O359" i="5"/>
  <c r="Q359" i="5" s="1"/>
  <c r="O345" i="5"/>
  <c r="Q345" i="5" s="1"/>
  <c r="O342" i="5"/>
  <c r="Q342" i="5" s="1"/>
  <c r="O321" i="5"/>
  <c r="Q321" i="5" s="1"/>
  <c r="K64" i="4"/>
  <c r="G64" i="6"/>
  <c r="M1202" i="5"/>
  <c r="P1202" i="5" s="1"/>
  <c r="R1202" i="5" s="1"/>
  <c r="M1194" i="5"/>
  <c r="P1194" i="5" s="1"/>
  <c r="R1194" i="5" s="1"/>
  <c r="M770" i="5"/>
  <c r="P770" i="5" s="1"/>
  <c r="M672" i="5"/>
  <c r="P672" i="5" s="1"/>
  <c r="R672" i="5" s="1"/>
  <c r="M670" i="5"/>
  <c r="P670" i="5" s="1"/>
  <c r="R670" i="5" s="1"/>
  <c r="J65" i="4"/>
  <c r="L65" i="4" s="1"/>
  <c r="M65" i="4" s="1"/>
  <c r="H64" i="6"/>
  <c r="O1202" i="5"/>
  <c r="Q1202" i="5" s="1"/>
  <c r="O1194" i="5"/>
  <c r="Q1194" i="5" s="1"/>
  <c r="O770" i="5"/>
  <c r="Q770" i="5" s="1"/>
  <c r="Q799" i="5" s="1"/>
  <c r="O672" i="5"/>
  <c r="Q672" i="5" s="1"/>
  <c r="O670" i="5"/>
  <c r="Q670" i="5" s="1"/>
  <c r="K65" i="4"/>
  <c r="G65" i="6"/>
  <c r="M978" i="5"/>
  <c r="P978" i="5" s="1"/>
  <c r="R978" i="5" s="1"/>
  <c r="M228" i="5"/>
  <c r="P228" i="5" s="1"/>
  <c r="R228" i="5" s="1"/>
  <c r="M126" i="5"/>
  <c r="P126" i="5" s="1"/>
  <c r="R126" i="5" s="1"/>
  <c r="J66" i="4"/>
  <c r="L66" i="4" s="1"/>
  <c r="M66" i="4" s="1"/>
  <c r="H65" i="6"/>
  <c r="O978" i="5"/>
  <c r="Q978" i="5" s="1"/>
  <c r="O228" i="5"/>
  <c r="Q228" i="5" s="1"/>
  <c r="O126" i="5"/>
  <c r="Q126" i="5" s="1"/>
  <c r="K66" i="4"/>
  <c r="G66" i="6"/>
  <c r="M894" i="5"/>
  <c r="P894" i="5" s="1"/>
  <c r="R894" i="5" s="1"/>
  <c r="J67" i="4"/>
  <c r="L67" i="4" s="1"/>
  <c r="M67" i="4" s="1"/>
  <c r="H66" i="6"/>
  <c r="O894" i="5"/>
  <c r="Q894" i="5" s="1"/>
  <c r="K67" i="4"/>
  <c r="G67" i="6"/>
  <c r="M1173" i="5"/>
  <c r="P1173" i="5" s="1"/>
  <c r="R1173" i="5" s="1"/>
  <c r="M1022" i="5"/>
  <c r="P1022" i="5" s="1"/>
  <c r="M708" i="5"/>
  <c r="P708" i="5" s="1"/>
  <c r="M677" i="5"/>
  <c r="P677" i="5" s="1"/>
  <c r="M663" i="5"/>
  <c r="P663" i="5" s="1"/>
  <c r="R663" i="5" s="1"/>
  <c r="M647" i="5"/>
  <c r="P647" i="5" s="1"/>
  <c r="M280" i="5"/>
  <c r="P280" i="5" s="1"/>
  <c r="M249" i="5"/>
  <c r="P249" i="5" s="1"/>
  <c r="R249" i="5" s="1"/>
  <c r="M27" i="5"/>
  <c r="P27" i="5" s="1"/>
  <c r="M14" i="5"/>
  <c r="P14" i="5" s="1"/>
  <c r="R14" i="5" s="1"/>
  <c r="M5" i="5"/>
  <c r="P5" i="5" s="1"/>
  <c r="J68" i="4"/>
  <c r="L68" i="4" s="1"/>
  <c r="M68" i="4" s="1"/>
  <c r="H67" i="6"/>
  <c r="O1173" i="5"/>
  <c r="Q1173" i="5" s="1"/>
  <c r="O1022" i="5"/>
  <c r="Q1022" i="5" s="1"/>
  <c r="Q1045" i="5" s="1"/>
  <c r="O708" i="5"/>
  <c r="Q708" i="5" s="1"/>
  <c r="Q722" i="5" s="1"/>
  <c r="O677" i="5"/>
  <c r="Q677" i="5" s="1"/>
  <c r="Q706" i="5" s="1"/>
  <c r="O663" i="5"/>
  <c r="Q663" i="5" s="1"/>
  <c r="O647" i="5"/>
  <c r="Q647" i="5" s="1"/>
  <c r="Q675" i="5" s="1"/>
  <c r="O280" i="5"/>
  <c r="Q280" i="5" s="1"/>
  <c r="Q299" i="5" s="1"/>
  <c r="O249" i="5"/>
  <c r="Q249" i="5" s="1"/>
  <c r="O27" i="5"/>
  <c r="Q27" i="5" s="1"/>
  <c r="Q50" i="5" s="1"/>
  <c r="O14" i="5"/>
  <c r="Q14" i="5" s="1"/>
  <c r="O5" i="5"/>
  <c r="Q5" i="5" s="1"/>
  <c r="Q25" i="5" s="1"/>
  <c r="K68" i="4"/>
  <c r="G68" i="6"/>
  <c r="M1215" i="5"/>
  <c r="P1215" i="5" s="1"/>
  <c r="R1215" i="5" s="1"/>
  <c r="M1201" i="5"/>
  <c r="P1201" i="5" s="1"/>
  <c r="M1172" i="5"/>
  <c r="P1172" i="5" s="1"/>
  <c r="M1103" i="5"/>
  <c r="P1103" i="5" s="1"/>
  <c r="M1093" i="5"/>
  <c r="P1093" i="5" s="1"/>
  <c r="R1093" i="5" s="1"/>
  <c r="M1089" i="5"/>
  <c r="P1089" i="5" s="1"/>
  <c r="R1089" i="5" s="1"/>
  <c r="M826" i="5"/>
  <c r="P826" i="5" s="1"/>
  <c r="R826" i="5" s="1"/>
  <c r="M753" i="5"/>
  <c r="P753" i="5" s="1"/>
  <c r="M739" i="5"/>
  <c r="P739" i="5" s="1"/>
  <c r="R739" i="5" s="1"/>
  <c r="M709" i="5"/>
  <c r="P709" i="5" s="1"/>
  <c r="R709" i="5" s="1"/>
  <c r="M678" i="5"/>
  <c r="P678" i="5" s="1"/>
  <c r="R678" i="5" s="1"/>
  <c r="M648" i="5"/>
  <c r="P648" i="5" s="1"/>
  <c r="R648" i="5" s="1"/>
  <c r="M628" i="5"/>
  <c r="P628" i="5" s="1"/>
  <c r="M301" i="5"/>
  <c r="P301" i="5" s="1"/>
  <c r="M288" i="5"/>
  <c r="P288" i="5" s="1"/>
  <c r="R288" i="5" s="1"/>
  <c r="M265" i="5"/>
  <c r="P265" i="5" s="1"/>
  <c r="M250" i="5"/>
  <c r="P250" i="5" s="1"/>
  <c r="R250" i="5" s="1"/>
  <c r="M207" i="5"/>
  <c r="P207" i="5" s="1"/>
  <c r="R207" i="5" s="1"/>
  <c r="M159" i="5"/>
  <c r="P159" i="5" s="1"/>
  <c r="R159" i="5" s="1"/>
  <c r="M151" i="5"/>
  <c r="P151" i="5" s="1"/>
  <c r="M102" i="5"/>
  <c r="P102" i="5" s="1"/>
  <c r="R102" i="5" s="1"/>
  <c r="M91" i="5"/>
  <c r="P91" i="5" s="1"/>
  <c r="J69" i="4"/>
  <c r="L69" i="4" s="1"/>
  <c r="M69" i="4" s="1"/>
  <c r="H68" i="6"/>
  <c r="O1215" i="5"/>
  <c r="Q1215" i="5" s="1"/>
  <c r="O1201" i="5"/>
  <c r="Q1201" i="5" s="1"/>
  <c r="Q1212" i="5" s="1"/>
  <c r="O1172" i="5"/>
  <c r="Q1172" i="5" s="1"/>
  <c r="Q1199" i="5" s="1"/>
  <c r="O1103" i="5"/>
  <c r="Q1103" i="5" s="1"/>
  <c r="Q1120" i="5" s="1"/>
  <c r="O1093" i="5"/>
  <c r="Q1093" i="5" s="1"/>
  <c r="O1089" i="5"/>
  <c r="Q1089" i="5" s="1"/>
  <c r="O826" i="5"/>
  <c r="Q826" i="5" s="1"/>
  <c r="O753" i="5"/>
  <c r="Q753" i="5" s="1"/>
  <c r="Q768" i="5" s="1"/>
  <c r="O739" i="5"/>
  <c r="Q739" i="5" s="1"/>
  <c r="O709" i="5"/>
  <c r="Q709" i="5" s="1"/>
  <c r="O678" i="5"/>
  <c r="Q678" i="5" s="1"/>
  <c r="O648" i="5"/>
  <c r="Q648" i="5" s="1"/>
  <c r="O628" i="5"/>
  <c r="Q628" i="5" s="1"/>
  <c r="Q645" i="5" s="1"/>
  <c r="O301" i="5"/>
  <c r="Q301" i="5" s="1"/>
  <c r="Q316" i="5" s="1"/>
  <c r="O288" i="5"/>
  <c r="Q288" i="5" s="1"/>
  <c r="O265" i="5"/>
  <c r="Q265" i="5" s="1"/>
  <c r="Q278" i="5" s="1"/>
  <c r="O250" i="5"/>
  <c r="Q250" i="5" s="1"/>
  <c r="O207" i="5"/>
  <c r="Q207" i="5" s="1"/>
  <c r="O159" i="5"/>
  <c r="Q159" i="5" s="1"/>
  <c r="O151" i="5"/>
  <c r="Q151" i="5" s="1"/>
  <c r="Q180" i="5" s="1"/>
  <c r="O102" i="5"/>
  <c r="Q102" i="5" s="1"/>
  <c r="O91" i="5"/>
  <c r="Q91" i="5" s="1"/>
  <c r="Q121" i="5" s="1"/>
  <c r="K69" i="4"/>
  <c r="G69" i="6"/>
  <c r="M987" i="5"/>
  <c r="P987" i="5" s="1"/>
  <c r="R987" i="5" s="1"/>
  <c r="M977" i="5"/>
  <c r="P977" i="5" s="1"/>
  <c r="M606" i="5"/>
  <c r="P606" i="5" s="1"/>
  <c r="R606" i="5" s="1"/>
  <c r="M590" i="5"/>
  <c r="P590" i="5" s="1"/>
  <c r="M214" i="5"/>
  <c r="P214" i="5" s="1"/>
  <c r="M125" i="5"/>
  <c r="P125" i="5" s="1"/>
  <c r="R125" i="5" s="1"/>
  <c r="J70" i="4"/>
  <c r="L70" i="4" s="1"/>
  <c r="M70" i="4" s="1"/>
  <c r="H69" i="6"/>
  <c r="O987" i="5"/>
  <c r="Q987" i="5" s="1"/>
  <c r="O977" i="5"/>
  <c r="Q977" i="5" s="1"/>
  <c r="Q1020" i="5" s="1"/>
  <c r="O606" i="5"/>
  <c r="Q606" i="5" s="1"/>
  <c r="O590" i="5"/>
  <c r="Q590" i="5" s="1"/>
  <c r="Q626" i="5" s="1"/>
  <c r="O214" i="5"/>
  <c r="Q214" i="5" s="1"/>
  <c r="Q246" i="5" s="1"/>
  <c r="O125" i="5"/>
  <c r="Q125" i="5" s="1"/>
  <c r="K70" i="4"/>
  <c r="G70" i="6"/>
  <c r="M829" i="5"/>
  <c r="P829" i="5" s="1"/>
  <c r="R829" i="5" s="1"/>
  <c r="M801" i="5"/>
  <c r="P801" i="5" s="1"/>
  <c r="M318" i="5"/>
  <c r="P318" i="5" s="1"/>
  <c r="J71" i="4"/>
  <c r="L71" i="4" s="1"/>
  <c r="M71" i="4" s="1"/>
  <c r="H70" i="6"/>
  <c r="O829" i="5"/>
  <c r="Q829" i="5" s="1"/>
  <c r="O801" i="5"/>
  <c r="Q801" i="5" s="1"/>
  <c r="Q913" i="5" s="1"/>
  <c r="O318" i="5"/>
  <c r="Q318" i="5" s="1"/>
  <c r="Q556" i="5" s="1"/>
  <c r="K71" i="4"/>
  <c r="G71" i="6"/>
  <c r="M1048" i="5"/>
  <c r="P1048" i="5" s="1"/>
  <c r="R1048" i="5" s="1"/>
  <c r="M1004" i="5"/>
  <c r="P1004" i="5" s="1"/>
  <c r="R1004" i="5" s="1"/>
  <c r="M967" i="5"/>
  <c r="P967" i="5" s="1"/>
  <c r="R967" i="5" s="1"/>
  <c r="M777" i="5"/>
  <c r="P777" i="5" s="1"/>
  <c r="R777" i="5" s="1"/>
  <c r="M216" i="5"/>
  <c r="P216" i="5" s="1"/>
  <c r="R216" i="5" s="1"/>
  <c r="M106" i="5"/>
  <c r="P106" i="5" s="1"/>
  <c r="R106" i="5" s="1"/>
  <c r="M52" i="5"/>
  <c r="P52" i="5" s="1"/>
  <c r="J72" i="4"/>
  <c r="L72" i="4" s="1"/>
  <c r="M72" i="4" s="1"/>
  <c r="H71" i="6"/>
  <c r="O1048" i="5"/>
  <c r="Q1048" i="5" s="1"/>
  <c r="O1004" i="5"/>
  <c r="Q1004" i="5" s="1"/>
  <c r="O967" i="5"/>
  <c r="Q967" i="5" s="1"/>
  <c r="O777" i="5"/>
  <c r="Q777" i="5" s="1"/>
  <c r="O216" i="5"/>
  <c r="Q216" i="5" s="1"/>
  <c r="O106" i="5"/>
  <c r="Q106" i="5" s="1"/>
  <c r="O52" i="5"/>
  <c r="Q52" i="5" s="1"/>
  <c r="Q89" i="5" s="1"/>
  <c r="K72" i="4"/>
  <c r="G72" i="6"/>
  <c r="M843" i="5"/>
  <c r="P843" i="5" s="1"/>
  <c r="R843" i="5" s="1"/>
  <c r="M386" i="5"/>
  <c r="P386" i="5" s="1"/>
  <c r="R386" i="5" s="1"/>
  <c r="M358" i="5"/>
  <c r="P358" i="5" s="1"/>
  <c r="R358" i="5" s="1"/>
  <c r="J73" i="4"/>
  <c r="L73" i="4" s="1"/>
  <c r="M73" i="4" s="1"/>
  <c r="H72" i="6"/>
  <c r="O843" i="5"/>
  <c r="Q843" i="5" s="1"/>
  <c r="O386" i="5"/>
  <c r="Q386" i="5" s="1"/>
  <c r="O358" i="5"/>
  <c r="Q358" i="5" s="1"/>
  <c r="K73" i="4"/>
  <c r="G73" i="6"/>
  <c r="M1037" i="5"/>
  <c r="P1037" i="5" s="1"/>
  <c r="R1037" i="5" s="1"/>
  <c r="M1000" i="5"/>
  <c r="P1000" i="5" s="1"/>
  <c r="R1000" i="5" s="1"/>
  <c r="M999" i="5"/>
  <c r="P999" i="5" s="1"/>
  <c r="R999" i="5" s="1"/>
  <c r="M961" i="5"/>
  <c r="P961" i="5" s="1"/>
  <c r="R961" i="5" s="1"/>
  <c r="M905" i="5"/>
  <c r="P905" i="5" s="1"/>
  <c r="R905" i="5" s="1"/>
  <c r="M863" i="5"/>
  <c r="P863" i="5" s="1"/>
  <c r="R863" i="5" s="1"/>
  <c r="M858" i="5"/>
  <c r="P858" i="5" s="1"/>
  <c r="R858" i="5" s="1"/>
  <c r="M857" i="5"/>
  <c r="P857" i="5" s="1"/>
  <c r="R857" i="5" s="1"/>
  <c r="M848" i="5"/>
  <c r="P848" i="5" s="1"/>
  <c r="R848" i="5" s="1"/>
  <c r="M785" i="5"/>
  <c r="P785" i="5" s="1"/>
  <c r="R785" i="5" s="1"/>
  <c r="M654" i="5"/>
  <c r="P654" i="5" s="1"/>
  <c r="R654" i="5" s="1"/>
  <c r="M608" i="5"/>
  <c r="P608" i="5" s="1"/>
  <c r="R608" i="5" s="1"/>
  <c r="M559" i="5"/>
  <c r="P559" i="5" s="1"/>
  <c r="R559" i="5" s="1"/>
  <c r="M230" i="5"/>
  <c r="P230" i="5" s="1"/>
  <c r="R230" i="5" s="1"/>
  <c r="M162" i="5"/>
  <c r="P162" i="5" s="1"/>
  <c r="R162" i="5" s="1"/>
  <c r="M141" i="5"/>
  <c r="P141" i="5" s="1"/>
  <c r="R141" i="5" s="1"/>
  <c r="M104" i="5"/>
  <c r="P104" i="5" s="1"/>
  <c r="R104" i="5" s="1"/>
  <c r="M74" i="5"/>
  <c r="P74" i="5" s="1"/>
  <c r="R74" i="5" s="1"/>
  <c r="M38" i="5"/>
  <c r="P38" i="5" s="1"/>
  <c r="R38" i="5" s="1"/>
  <c r="J74" i="4"/>
  <c r="L74" i="4" s="1"/>
  <c r="M74" i="4" s="1"/>
  <c r="H73" i="6"/>
  <c r="O1037" i="5"/>
  <c r="Q1037" i="5" s="1"/>
  <c r="O1000" i="5"/>
  <c r="Q1000" i="5" s="1"/>
  <c r="O999" i="5"/>
  <c r="Q999" i="5" s="1"/>
  <c r="O961" i="5"/>
  <c r="Q961" i="5" s="1"/>
  <c r="O905" i="5"/>
  <c r="Q905" i="5" s="1"/>
  <c r="O863" i="5"/>
  <c r="Q863" i="5" s="1"/>
  <c r="O858" i="5"/>
  <c r="Q858" i="5" s="1"/>
  <c r="O857" i="5"/>
  <c r="Q857" i="5" s="1"/>
  <c r="O848" i="5"/>
  <c r="Q848" i="5" s="1"/>
  <c r="O785" i="5"/>
  <c r="Q785" i="5" s="1"/>
  <c r="O654" i="5"/>
  <c r="Q654" i="5" s="1"/>
  <c r="O608" i="5"/>
  <c r="Q608" i="5" s="1"/>
  <c r="O559" i="5"/>
  <c r="Q559" i="5" s="1"/>
  <c r="O230" i="5"/>
  <c r="Q230" i="5" s="1"/>
  <c r="O162" i="5"/>
  <c r="Q162" i="5" s="1"/>
  <c r="O141" i="5"/>
  <c r="Q141" i="5" s="1"/>
  <c r="O104" i="5"/>
  <c r="Q104" i="5" s="1"/>
  <c r="O74" i="5"/>
  <c r="Q74" i="5" s="1"/>
  <c r="O38" i="5"/>
  <c r="Q38" i="5" s="1"/>
  <c r="K74" i="4"/>
  <c r="G74" i="6"/>
  <c r="M1156" i="5"/>
  <c r="P1156" i="5" s="1"/>
  <c r="R1156" i="5" s="1"/>
  <c r="M1155" i="5"/>
  <c r="P1155" i="5" s="1"/>
  <c r="R1155" i="5" s="1"/>
  <c r="M1153" i="5"/>
  <c r="P1153" i="5" s="1"/>
  <c r="R1153" i="5" s="1"/>
  <c r="M1152" i="5"/>
  <c r="P1152" i="5" s="1"/>
  <c r="R1152" i="5" s="1"/>
  <c r="M1145" i="5"/>
  <c r="P1145" i="5" s="1"/>
  <c r="R1145" i="5" s="1"/>
  <c r="M1144" i="5"/>
  <c r="P1144" i="5" s="1"/>
  <c r="R1144" i="5" s="1"/>
  <c r="M1085" i="5"/>
  <c r="P1085" i="5" s="1"/>
  <c r="R1085" i="5" s="1"/>
  <c r="M1067" i="5"/>
  <c r="P1067" i="5" s="1"/>
  <c r="R1067" i="5" s="1"/>
  <c r="M1054" i="5"/>
  <c r="P1054" i="5" s="1"/>
  <c r="R1054" i="5" s="1"/>
  <c r="M1011" i="5"/>
  <c r="P1011" i="5" s="1"/>
  <c r="R1011" i="5" s="1"/>
  <c r="M953" i="5"/>
  <c r="P953" i="5" s="1"/>
  <c r="R953" i="5" s="1"/>
  <c r="M902" i="5"/>
  <c r="P902" i="5" s="1"/>
  <c r="R902" i="5" s="1"/>
  <c r="M886" i="5"/>
  <c r="P886" i="5" s="1"/>
  <c r="R886" i="5" s="1"/>
  <c r="M872" i="5"/>
  <c r="P872" i="5" s="1"/>
  <c r="R872" i="5" s="1"/>
  <c r="M845" i="5"/>
  <c r="P845" i="5" s="1"/>
  <c r="R845" i="5" s="1"/>
  <c r="M837" i="5"/>
  <c r="P837" i="5" s="1"/>
  <c r="R837" i="5" s="1"/>
  <c r="M836" i="5"/>
  <c r="P836" i="5" s="1"/>
  <c r="R836" i="5" s="1"/>
  <c r="M835" i="5"/>
  <c r="P835" i="5" s="1"/>
  <c r="R835" i="5" s="1"/>
  <c r="M834" i="5"/>
  <c r="P834" i="5" s="1"/>
  <c r="R834" i="5" s="1"/>
  <c r="M832" i="5"/>
  <c r="P832" i="5" s="1"/>
  <c r="R832" i="5" s="1"/>
  <c r="M831" i="5"/>
  <c r="P831" i="5" s="1"/>
  <c r="R831" i="5" s="1"/>
  <c r="M812" i="5"/>
  <c r="P812" i="5" s="1"/>
  <c r="R812" i="5" s="1"/>
  <c r="M811" i="5"/>
  <c r="P811" i="5" s="1"/>
  <c r="R811" i="5" s="1"/>
  <c r="M745" i="5"/>
  <c r="P745" i="5" s="1"/>
  <c r="R745" i="5" s="1"/>
  <c r="M552" i="5"/>
  <c r="P552" i="5" s="1"/>
  <c r="R552" i="5" s="1"/>
  <c r="M536" i="5"/>
  <c r="P536" i="5" s="1"/>
  <c r="R536" i="5" s="1"/>
  <c r="M503" i="5"/>
  <c r="P503" i="5" s="1"/>
  <c r="R503" i="5" s="1"/>
  <c r="M443" i="5"/>
  <c r="P443" i="5" s="1"/>
  <c r="R443" i="5" s="1"/>
  <c r="M382" i="5"/>
  <c r="P382" i="5" s="1"/>
  <c r="R382" i="5" s="1"/>
  <c r="M381" i="5"/>
  <c r="P381" i="5" s="1"/>
  <c r="R381" i="5" s="1"/>
  <c r="M378" i="5"/>
  <c r="P378" i="5" s="1"/>
  <c r="R378" i="5" s="1"/>
  <c r="M377" i="5"/>
  <c r="P377" i="5" s="1"/>
  <c r="R377" i="5" s="1"/>
  <c r="M376" i="5"/>
  <c r="P376" i="5" s="1"/>
  <c r="R376" i="5" s="1"/>
  <c r="M347" i="5"/>
  <c r="P347" i="5" s="1"/>
  <c r="R347" i="5" s="1"/>
  <c r="M326" i="5"/>
  <c r="P326" i="5" s="1"/>
  <c r="R326" i="5" s="1"/>
  <c r="M255" i="5"/>
  <c r="P255" i="5" s="1"/>
  <c r="R255" i="5" s="1"/>
  <c r="M188" i="5"/>
  <c r="P188" i="5" s="1"/>
  <c r="R188" i="5" s="1"/>
  <c r="M28" i="5"/>
  <c r="P28" i="5" s="1"/>
  <c r="R28" i="5" s="1"/>
  <c r="J75" i="4"/>
  <c r="L75" i="4" s="1"/>
  <c r="M75" i="4" s="1"/>
  <c r="H74" i="6"/>
  <c r="O1156" i="5"/>
  <c r="Q1156" i="5" s="1"/>
  <c r="O1155" i="5"/>
  <c r="Q1155" i="5" s="1"/>
  <c r="O1153" i="5"/>
  <c r="Q1153" i="5" s="1"/>
  <c r="O1152" i="5"/>
  <c r="Q1152" i="5" s="1"/>
  <c r="O1145" i="5"/>
  <c r="Q1145" i="5" s="1"/>
  <c r="O1144" i="5"/>
  <c r="Q1144" i="5" s="1"/>
  <c r="O1085" i="5"/>
  <c r="Q1085" i="5" s="1"/>
  <c r="O1067" i="5"/>
  <c r="Q1067" i="5" s="1"/>
  <c r="O1054" i="5"/>
  <c r="Q1054" i="5" s="1"/>
  <c r="O1011" i="5"/>
  <c r="Q1011" i="5" s="1"/>
  <c r="O953" i="5"/>
  <c r="Q953" i="5" s="1"/>
  <c r="O902" i="5"/>
  <c r="Q902" i="5" s="1"/>
  <c r="O886" i="5"/>
  <c r="Q886" i="5" s="1"/>
  <c r="O872" i="5"/>
  <c r="Q872" i="5" s="1"/>
  <c r="O845" i="5"/>
  <c r="Q845" i="5" s="1"/>
  <c r="O837" i="5"/>
  <c r="Q837" i="5" s="1"/>
  <c r="O836" i="5"/>
  <c r="Q836" i="5" s="1"/>
  <c r="O835" i="5"/>
  <c r="Q835" i="5" s="1"/>
  <c r="O834" i="5"/>
  <c r="Q834" i="5" s="1"/>
  <c r="O832" i="5"/>
  <c r="Q832" i="5" s="1"/>
  <c r="O831" i="5"/>
  <c r="Q831" i="5" s="1"/>
  <c r="O812" i="5"/>
  <c r="Q812" i="5" s="1"/>
  <c r="O811" i="5"/>
  <c r="Q811" i="5" s="1"/>
  <c r="O745" i="5"/>
  <c r="Q745" i="5" s="1"/>
  <c r="O552" i="5"/>
  <c r="Q552" i="5" s="1"/>
  <c r="O536" i="5"/>
  <c r="Q536" i="5" s="1"/>
  <c r="O503" i="5"/>
  <c r="Q503" i="5" s="1"/>
  <c r="O443" i="5"/>
  <c r="Q443" i="5" s="1"/>
  <c r="O382" i="5"/>
  <c r="Q382" i="5" s="1"/>
  <c r="O381" i="5"/>
  <c r="Q381" i="5" s="1"/>
  <c r="O378" i="5"/>
  <c r="Q378" i="5" s="1"/>
  <c r="O377" i="5"/>
  <c r="Q377" i="5" s="1"/>
  <c r="O376" i="5"/>
  <c r="Q376" i="5" s="1"/>
  <c r="O347" i="5"/>
  <c r="Q347" i="5" s="1"/>
  <c r="O326" i="5"/>
  <c r="Q326" i="5" s="1"/>
  <c r="O255" i="5"/>
  <c r="Q255" i="5" s="1"/>
  <c r="O188" i="5"/>
  <c r="Q188" i="5" s="1"/>
  <c r="O28" i="5"/>
  <c r="Q28" i="5" s="1"/>
  <c r="K75" i="4"/>
  <c r="G75" i="6"/>
  <c r="M500" i="5"/>
  <c r="P500" i="5" s="1"/>
  <c r="R500" i="5" s="1"/>
  <c r="M480" i="5"/>
  <c r="P480" i="5" s="1"/>
  <c r="R480" i="5" s="1"/>
  <c r="J76" i="4"/>
  <c r="L76" i="4" s="1"/>
  <c r="M76" i="4" s="1"/>
  <c r="H75" i="6"/>
  <c r="O500" i="5"/>
  <c r="Q500" i="5" s="1"/>
  <c r="O480" i="5"/>
  <c r="Q480" i="5" s="1"/>
  <c r="K76" i="4"/>
  <c r="G76" i="6"/>
  <c r="M1218" i="5"/>
  <c r="P1218" i="5" s="1"/>
  <c r="R1218" i="5" s="1"/>
  <c r="J77" i="4"/>
  <c r="L77" i="4" s="1"/>
  <c r="M77" i="4" s="1"/>
  <c r="H76" i="6"/>
  <c r="O1218" i="5"/>
  <c r="Q1218" i="5" s="1"/>
  <c r="K77" i="4"/>
  <c r="G77" i="6"/>
  <c r="M463" i="5"/>
  <c r="P463" i="5" s="1"/>
  <c r="R463" i="5" s="1"/>
  <c r="M462" i="5"/>
  <c r="P462" i="5" s="1"/>
  <c r="R462" i="5" s="1"/>
  <c r="M461" i="5"/>
  <c r="P461" i="5" s="1"/>
  <c r="R461" i="5" s="1"/>
  <c r="M460" i="5"/>
  <c r="P460" i="5" s="1"/>
  <c r="R460" i="5" s="1"/>
  <c r="M459" i="5"/>
  <c r="P459" i="5" s="1"/>
  <c r="R459" i="5" s="1"/>
  <c r="M458" i="5"/>
  <c r="P458" i="5" s="1"/>
  <c r="R458" i="5" s="1"/>
  <c r="M457" i="5"/>
  <c r="P457" i="5" s="1"/>
  <c r="R457" i="5" s="1"/>
  <c r="M456" i="5"/>
  <c r="P456" i="5" s="1"/>
  <c r="R456" i="5" s="1"/>
  <c r="M416" i="5"/>
  <c r="P416" i="5" s="1"/>
  <c r="R416" i="5" s="1"/>
  <c r="M415" i="5"/>
  <c r="P415" i="5" s="1"/>
  <c r="R415" i="5" s="1"/>
  <c r="M414" i="5"/>
  <c r="P414" i="5" s="1"/>
  <c r="R414" i="5" s="1"/>
  <c r="M413" i="5"/>
  <c r="P413" i="5" s="1"/>
  <c r="R413" i="5" s="1"/>
  <c r="M412" i="5"/>
  <c r="P412" i="5" s="1"/>
  <c r="R412" i="5" s="1"/>
  <c r="M411" i="5"/>
  <c r="P411" i="5" s="1"/>
  <c r="R411" i="5" s="1"/>
  <c r="M410" i="5"/>
  <c r="P410" i="5" s="1"/>
  <c r="R410" i="5" s="1"/>
  <c r="M409" i="5"/>
  <c r="P409" i="5" s="1"/>
  <c r="R409" i="5" s="1"/>
  <c r="J78" i="4"/>
  <c r="L78" i="4" s="1"/>
  <c r="M78" i="4" s="1"/>
  <c r="H77" i="6"/>
  <c r="O463" i="5"/>
  <c r="Q463" i="5" s="1"/>
  <c r="O462" i="5"/>
  <c r="Q462" i="5" s="1"/>
  <c r="O461" i="5"/>
  <c r="Q461" i="5" s="1"/>
  <c r="O460" i="5"/>
  <c r="Q460" i="5" s="1"/>
  <c r="O459" i="5"/>
  <c r="Q459" i="5" s="1"/>
  <c r="O458" i="5"/>
  <c r="Q458" i="5" s="1"/>
  <c r="O457" i="5"/>
  <c r="Q457" i="5" s="1"/>
  <c r="O456" i="5"/>
  <c r="Q456" i="5" s="1"/>
  <c r="O416" i="5"/>
  <c r="Q416" i="5" s="1"/>
  <c r="O415" i="5"/>
  <c r="Q415" i="5" s="1"/>
  <c r="O414" i="5"/>
  <c r="Q414" i="5" s="1"/>
  <c r="O413" i="5"/>
  <c r="Q413" i="5" s="1"/>
  <c r="O412" i="5"/>
  <c r="Q412" i="5" s="1"/>
  <c r="O411" i="5"/>
  <c r="Q411" i="5" s="1"/>
  <c r="O410" i="5"/>
  <c r="Q410" i="5" s="1"/>
  <c r="O409" i="5"/>
  <c r="Q409" i="5" s="1"/>
  <c r="K78" i="4"/>
  <c r="G78" i="6"/>
  <c r="M555" i="5"/>
  <c r="P555" i="5" s="1"/>
  <c r="R555" i="5" s="1"/>
  <c r="M554" i="5"/>
  <c r="P554" i="5" s="1"/>
  <c r="R554" i="5" s="1"/>
  <c r="J79" i="4"/>
  <c r="L79" i="4" s="1"/>
  <c r="M79" i="4" s="1"/>
  <c r="H78" i="6"/>
  <c r="O555" i="5"/>
  <c r="Q555" i="5" s="1"/>
  <c r="O554" i="5"/>
  <c r="Q554" i="5" s="1"/>
  <c r="K79" i="4"/>
  <c r="G79" i="6"/>
  <c r="M1217" i="5"/>
  <c r="P1217" i="5" s="1"/>
  <c r="R1217" i="5" s="1"/>
  <c r="M1175" i="5"/>
  <c r="P1175" i="5" s="1"/>
  <c r="R1175" i="5" s="1"/>
  <c r="M1137" i="5"/>
  <c r="P1137" i="5" s="1"/>
  <c r="R1137" i="5" s="1"/>
  <c r="M1124" i="5"/>
  <c r="P1124" i="5" s="1"/>
  <c r="R1124" i="5" s="1"/>
  <c r="M1044" i="5"/>
  <c r="P1044" i="5" s="1"/>
  <c r="R1044" i="5" s="1"/>
  <c r="M1039" i="5"/>
  <c r="P1039" i="5" s="1"/>
  <c r="R1039" i="5" s="1"/>
  <c r="M1005" i="5"/>
  <c r="P1005" i="5" s="1"/>
  <c r="R1005" i="5" s="1"/>
  <c r="M972" i="5"/>
  <c r="P972" i="5" s="1"/>
  <c r="R972" i="5" s="1"/>
  <c r="M772" i="5"/>
  <c r="P772" i="5" s="1"/>
  <c r="R772" i="5" s="1"/>
  <c r="M762" i="5"/>
  <c r="P762" i="5" s="1"/>
  <c r="R762" i="5" s="1"/>
  <c r="M731" i="5"/>
  <c r="P731" i="5" s="1"/>
  <c r="R731" i="5" s="1"/>
  <c r="M679" i="5"/>
  <c r="P679" i="5" s="1"/>
  <c r="R679" i="5" s="1"/>
  <c r="M662" i="5"/>
  <c r="P662" i="5" s="1"/>
  <c r="R662" i="5" s="1"/>
  <c r="M649" i="5"/>
  <c r="P649" i="5" s="1"/>
  <c r="R649" i="5" s="1"/>
  <c r="M640" i="5"/>
  <c r="P640" i="5" s="1"/>
  <c r="R640" i="5" s="1"/>
  <c r="M639" i="5"/>
  <c r="P639" i="5" s="1"/>
  <c r="R639" i="5" s="1"/>
  <c r="M586" i="5"/>
  <c r="P586" i="5" s="1"/>
  <c r="R586" i="5" s="1"/>
  <c r="M521" i="5"/>
  <c r="P521" i="5" s="1"/>
  <c r="R521" i="5" s="1"/>
  <c r="M450" i="5"/>
  <c r="P450" i="5" s="1"/>
  <c r="R450" i="5" s="1"/>
  <c r="M398" i="5"/>
  <c r="P398" i="5" s="1"/>
  <c r="R398" i="5" s="1"/>
  <c r="M397" i="5"/>
  <c r="P397" i="5" s="1"/>
  <c r="R397" i="5" s="1"/>
  <c r="M281" i="5"/>
  <c r="P281" i="5" s="1"/>
  <c r="R281" i="5" s="1"/>
  <c r="M248" i="5"/>
  <c r="P248" i="5" s="1"/>
  <c r="M209" i="5"/>
  <c r="P209" i="5" s="1"/>
  <c r="R209" i="5" s="1"/>
  <c r="M208" i="5"/>
  <c r="P208" i="5" s="1"/>
  <c r="R208" i="5" s="1"/>
  <c r="M183" i="5"/>
  <c r="P183" i="5" s="1"/>
  <c r="R183" i="5" s="1"/>
  <c r="M177" i="5"/>
  <c r="P177" i="5" s="1"/>
  <c r="R177" i="5" s="1"/>
  <c r="M166" i="5"/>
  <c r="P166" i="5" s="1"/>
  <c r="R166" i="5" s="1"/>
  <c r="M152" i="5"/>
  <c r="P152" i="5" s="1"/>
  <c r="R152" i="5" s="1"/>
  <c r="M116" i="5"/>
  <c r="P116" i="5" s="1"/>
  <c r="R116" i="5" s="1"/>
  <c r="M109" i="5"/>
  <c r="P109" i="5" s="1"/>
  <c r="R109" i="5" s="1"/>
  <c r="M92" i="5"/>
  <c r="P92" i="5" s="1"/>
  <c r="R92" i="5" s="1"/>
  <c r="M72" i="5"/>
  <c r="P72" i="5" s="1"/>
  <c r="R72" i="5" s="1"/>
  <c r="M63" i="5"/>
  <c r="P63" i="5" s="1"/>
  <c r="R63" i="5" s="1"/>
  <c r="M53" i="5"/>
  <c r="P53" i="5" s="1"/>
  <c r="R53" i="5" s="1"/>
  <c r="M29" i="5"/>
  <c r="P29" i="5" s="1"/>
  <c r="R29" i="5" s="1"/>
  <c r="M6" i="5"/>
  <c r="P6" i="5" s="1"/>
  <c r="R6" i="5" s="1"/>
  <c r="J80" i="4"/>
  <c r="L80" i="4" s="1"/>
  <c r="M80" i="4" s="1"/>
  <c r="H79" i="6"/>
  <c r="O1217" i="5"/>
  <c r="Q1217" i="5" s="1"/>
  <c r="O1175" i="5"/>
  <c r="Q1175" i="5" s="1"/>
  <c r="O1137" i="5"/>
  <c r="Q1137" i="5" s="1"/>
  <c r="O1124" i="5"/>
  <c r="Q1124" i="5" s="1"/>
  <c r="O1044" i="5"/>
  <c r="Q1044" i="5" s="1"/>
  <c r="O1039" i="5"/>
  <c r="Q1039" i="5" s="1"/>
  <c r="O1005" i="5"/>
  <c r="Q1005" i="5" s="1"/>
  <c r="O972" i="5"/>
  <c r="Q972" i="5" s="1"/>
  <c r="O772" i="5"/>
  <c r="Q772" i="5" s="1"/>
  <c r="O762" i="5"/>
  <c r="Q762" i="5" s="1"/>
  <c r="O731" i="5"/>
  <c r="Q731" i="5" s="1"/>
  <c r="O679" i="5"/>
  <c r="Q679" i="5" s="1"/>
  <c r="O662" i="5"/>
  <c r="Q662" i="5" s="1"/>
  <c r="O649" i="5"/>
  <c r="Q649" i="5" s="1"/>
  <c r="O640" i="5"/>
  <c r="Q640" i="5" s="1"/>
  <c r="O639" i="5"/>
  <c r="Q639" i="5" s="1"/>
  <c r="O586" i="5"/>
  <c r="Q586" i="5" s="1"/>
  <c r="O521" i="5"/>
  <c r="Q521" i="5" s="1"/>
  <c r="O450" i="5"/>
  <c r="Q450" i="5" s="1"/>
  <c r="O398" i="5"/>
  <c r="Q398" i="5" s="1"/>
  <c r="O397" i="5"/>
  <c r="Q397" i="5" s="1"/>
  <c r="O281" i="5"/>
  <c r="Q281" i="5" s="1"/>
  <c r="O248" i="5"/>
  <c r="Q248" i="5" s="1"/>
  <c r="Q263" i="5" s="1"/>
  <c r="O209" i="5"/>
  <c r="Q209" i="5" s="1"/>
  <c r="O208" i="5"/>
  <c r="Q208" i="5" s="1"/>
  <c r="O183" i="5"/>
  <c r="Q183" i="5" s="1"/>
  <c r="O177" i="5"/>
  <c r="Q177" i="5" s="1"/>
  <c r="O166" i="5"/>
  <c r="Q166" i="5" s="1"/>
  <c r="O152" i="5"/>
  <c r="Q152" i="5" s="1"/>
  <c r="O116" i="5"/>
  <c r="Q116" i="5" s="1"/>
  <c r="O109" i="5"/>
  <c r="Q109" i="5" s="1"/>
  <c r="O92" i="5"/>
  <c r="Q92" i="5" s="1"/>
  <c r="O72" i="5"/>
  <c r="Q72" i="5" s="1"/>
  <c r="O63" i="5"/>
  <c r="Q63" i="5" s="1"/>
  <c r="O53" i="5"/>
  <c r="Q53" i="5" s="1"/>
  <c r="O29" i="5"/>
  <c r="Q29" i="5" s="1"/>
  <c r="O6" i="5"/>
  <c r="Q6" i="5" s="1"/>
  <c r="K80" i="4"/>
  <c r="G80" i="6"/>
  <c r="M1049" i="5"/>
  <c r="P1049" i="5" s="1"/>
  <c r="R1049" i="5" s="1"/>
  <c r="M962" i="5"/>
  <c r="P962" i="5" s="1"/>
  <c r="R962" i="5" s="1"/>
  <c r="M593" i="5"/>
  <c r="P593" i="5" s="1"/>
  <c r="R593" i="5" s="1"/>
  <c r="M591" i="5"/>
  <c r="P591" i="5" s="1"/>
  <c r="R591" i="5" s="1"/>
  <c r="M215" i="5"/>
  <c r="P215" i="5" s="1"/>
  <c r="R215" i="5" s="1"/>
  <c r="M127" i="5"/>
  <c r="P127" i="5" s="1"/>
  <c r="R127" i="5" s="1"/>
  <c r="J81" i="4"/>
  <c r="L81" i="4" s="1"/>
  <c r="M81" i="4" s="1"/>
  <c r="H80" i="6"/>
  <c r="O1049" i="5"/>
  <c r="Q1049" i="5" s="1"/>
  <c r="O962" i="5"/>
  <c r="Q962" i="5" s="1"/>
  <c r="O593" i="5"/>
  <c r="Q593" i="5" s="1"/>
  <c r="O591" i="5"/>
  <c r="Q591" i="5" s="1"/>
  <c r="O215" i="5"/>
  <c r="Q215" i="5" s="1"/>
  <c r="O127" i="5"/>
  <c r="Q127" i="5" s="1"/>
  <c r="K81" i="4"/>
  <c r="G81" i="6"/>
  <c r="M906" i="5"/>
  <c r="P906" i="5" s="1"/>
  <c r="R906" i="5" s="1"/>
  <c r="M827" i="5"/>
  <c r="P827" i="5" s="1"/>
  <c r="R827" i="5" s="1"/>
  <c r="M820" i="5"/>
  <c r="P820" i="5" s="1"/>
  <c r="R820" i="5" s="1"/>
  <c r="M553" i="5"/>
  <c r="P553" i="5" s="1"/>
  <c r="R553" i="5" s="1"/>
  <c r="M539" i="5"/>
  <c r="P539" i="5" s="1"/>
  <c r="R539" i="5" s="1"/>
  <c r="M538" i="5"/>
  <c r="P538" i="5" s="1"/>
  <c r="R538" i="5" s="1"/>
  <c r="M492" i="5"/>
  <c r="P492" i="5" s="1"/>
  <c r="R492" i="5" s="1"/>
  <c r="M491" i="5"/>
  <c r="P491" i="5" s="1"/>
  <c r="R491" i="5" s="1"/>
  <c r="M454" i="5"/>
  <c r="P454" i="5" s="1"/>
  <c r="R454" i="5" s="1"/>
  <c r="M442" i="5"/>
  <c r="P442" i="5" s="1"/>
  <c r="R442" i="5" s="1"/>
  <c r="M441" i="5"/>
  <c r="P441" i="5" s="1"/>
  <c r="R441" i="5" s="1"/>
  <c r="M407" i="5"/>
  <c r="P407" i="5" s="1"/>
  <c r="R407" i="5" s="1"/>
  <c r="M384" i="5"/>
  <c r="P384" i="5" s="1"/>
  <c r="R384" i="5" s="1"/>
  <c r="M357" i="5"/>
  <c r="P357" i="5" s="1"/>
  <c r="R357" i="5" s="1"/>
  <c r="M356" i="5"/>
  <c r="P356" i="5" s="1"/>
  <c r="R356" i="5" s="1"/>
  <c r="M320" i="5"/>
  <c r="P320" i="5" s="1"/>
  <c r="R320" i="5" s="1"/>
  <c r="J82" i="4"/>
  <c r="L82" i="4" s="1"/>
  <c r="M82" i="4" s="1"/>
  <c r="H81" i="6"/>
  <c r="O906" i="5"/>
  <c r="Q906" i="5" s="1"/>
  <c r="O827" i="5"/>
  <c r="Q827" i="5" s="1"/>
  <c r="O820" i="5"/>
  <c r="Q820" i="5" s="1"/>
  <c r="O553" i="5"/>
  <c r="Q553" i="5" s="1"/>
  <c r="O539" i="5"/>
  <c r="Q539" i="5" s="1"/>
  <c r="O538" i="5"/>
  <c r="Q538" i="5" s="1"/>
  <c r="O492" i="5"/>
  <c r="Q492" i="5" s="1"/>
  <c r="O491" i="5"/>
  <c r="Q491" i="5" s="1"/>
  <c r="O454" i="5"/>
  <c r="Q454" i="5" s="1"/>
  <c r="O442" i="5"/>
  <c r="Q442" i="5" s="1"/>
  <c r="O441" i="5"/>
  <c r="Q441" i="5" s="1"/>
  <c r="O407" i="5"/>
  <c r="Q407" i="5" s="1"/>
  <c r="O384" i="5"/>
  <c r="Q384" i="5" s="1"/>
  <c r="O357" i="5"/>
  <c r="Q357" i="5" s="1"/>
  <c r="O356" i="5"/>
  <c r="Q356" i="5" s="1"/>
  <c r="O320" i="5"/>
  <c r="Q320" i="5" s="1"/>
  <c r="K82" i="4"/>
  <c r="S320" i="5" l="1"/>
  <c r="S356" i="5"/>
  <c r="S357" i="5"/>
  <c r="S384" i="5"/>
  <c r="S407" i="5"/>
  <c r="S441" i="5"/>
  <c r="S442" i="5"/>
  <c r="S454" i="5"/>
  <c r="S491" i="5"/>
  <c r="S492" i="5"/>
  <c r="S538" i="5"/>
  <c r="S539" i="5"/>
  <c r="S553" i="5"/>
  <c r="S820" i="5"/>
  <c r="S827" i="5"/>
  <c r="S906" i="5"/>
  <c r="S127" i="5"/>
  <c r="S215" i="5"/>
  <c r="S591" i="5"/>
  <c r="S593" i="5"/>
  <c r="S962" i="5"/>
  <c r="S1049" i="5"/>
  <c r="S6" i="5"/>
  <c r="S29" i="5"/>
  <c r="S53" i="5"/>
  <c r="S63" i="5"/>
  <c r="S72" i="5"/>
  <c r="S92" i="5"/>
  <c r="S109" i="5"/>
  <c r="S116" i="5"/>
  <c r="S152" i="5"/>
  <c r="S166" i="5"/>
  <c r="S177" i="5"/>
  <c r="S183" i="5"/>
  <c r="S208" i="5"/>
  <c r="S209" i="5"/>
  <c r="P263" i="5"/>
  <c r="R248" i="5"/>
  <c r="S281" i="5"/>
  <c r="S397" i="5"/>
  <c r="S398" i="5"/>
  <c r="S450" i="5"/>
  <c r="S521" i="5"/>
  <c r="S586" i="5"/>
  <c r="S639" i="5"/>
  <c r="S640" i="5"/>
  <c r="S649" i="5"/>
  <c r="S662" i="5"/>
  <c r="S679" i="5"/>
  <c r="S731" i="5"/>
  <c r="S762" i="5"/>
  <c r="S772" i="5"/>
  <c r="S972" i="5"/>
  <c r="S1005" i="5"/>
  <c r="S1039" i="5"/>
  <c r="S1044" i="5"/>
  <c r="S1124" i="5"/>
  <c r="S1137" i="5"/>
  <c r="S1175" i="5"/>
  <c r="S1217" i="5"/>
  <c r="S554" i="5"/>
  <c r="S555" i="5"/>
  <c r="S409" i="5"/>
  <c r="S410" i="5"/>
  <c r="S411" i="5"/>
  <c r="S412" i="5"/>
  <c r="S413" i="5"/>
  <c r="S414" i="5"/>
  <c r="S415" i="5"/>
  <c r="S416" i="5"/>
  <c r="S456" i="5"/>
  <c r="S457" i="5"/>
  <c r="S458" i="5"/>
  <c r="S459" i="5"/>
  <c r="S460" i="5"/>
  <c r="S461" i="5"/>
  <c r="S462" i="5"/>
  <c r="S463" i="5"/>
  <c r="S1218" i="5"/>
  <c r="S480" i="5"/>
  <c r="S500" i="5"/>
  <c r="S28" i="5"/>
  <c r="S188" i="5"/>
  <c r="S255" i="5"/>
  <c r="S326" i="5"/>
  <c r="S347" i="5"/>
  <c r="S376" i="5"/>
  <c r="S377" i="5"/>
  <c r="S378" i="5"/>
  <c r="S381" i="5"/>
  <c r="S382" i="5"/>
  <c r="S443" i="5"/>
  <c r="S503" i="5"/>
  <c r="S536" i="5"/>
  <c r="S552" i="5"/>
  <c r="S745" i="5"/>
  <c r="S811" i="5"/>
  <c r="S812" i="5"/>
  <c r="S831" i="5"/>
  <c r="S832" i="5"/>
  <c r="S834" i="5"/>
  <c r="S835" i="5"/>
  <c r="S836" i="5"/>
  <c r="S837" i="5"/>
  <c r="S845" i="5"/>
  <c r="S872" i="5"/>
  <c r="S886" i="5"/>
  <c r="S902" i="5"/>
  <c r="S953" i="5"/>
  <c r="S1011" i="5"/>
  <c r="S1054" i="5"/>
  <c r="S1067" i="5"/>
  <c r="S1085" i="5"/>
  <c r="S1144" i="5"/>
  <c r="S1145" i="5"/>
  <c r="S1152" i="5"/>
  <c r="S1153" i="5"/>
  <c r="S1155" i="5"/>
  <c r="S1156" i="5"/>
  <c r="S38" i="5"/>
  <c r="S74" i="5"/>
  <c r="S104" i="5"/>
  <c r="S141" i="5"/>
  <c r="S162" i="5"/>
  <c r="S230" i="5"/>
  <c r="S559" i="5"/>
  <c r="S608" i="5"/>
  <c r="S654" i="5"/>
  <c r="S785" i="5"/>
  <c r="S848" i="5"/>
  <c r="S857" i="5"/>
  <c r="S858" i="5"/>
  <c r="S863" i="5"/>
  <c r="S905" i="5"/>
  <c r="S961" i="5"/>
  <c r="S999" i="5"/>
  <c r="S1000" i="5"/>
  <c r="S1037" i="5"/>
  <c r="S358" i="5"/>
  <c r="S386" i="5"/>
  <c r="S843" i="5"/>
  <c r="P89" i="5"/>
  <c r="R52" i="5"/>
  <c r="S106" i="5"/>
  <c r="S216" i="5"/>
  <c r="S777" i="5"/>
  <c r="S967" i="5"/>
  <c r="S1004" i="5"/>
  <c r="S1048" i="5"/>
  <c r="P556" i="5"/>
  <c r="R318" i="5"/>
  <c r="P913" i="5"/>
  <c r="R801" i="5"/>
  <c r="S829" i="5"/>
  <c r="S125" i="5"/>
  <c r="P246" i="5"/>
  <c r="R214" i="5"/>
  <c r="P626" i="5"/>
  <c r="R590" i="5"/>
  <c r="S606" i="5"/>
  <c r="P1020" i="5"/>
  <c r="R977" i="5"/>
  <c r="S987" i="5"/>
  <c r="P121" i="5"/>
  <c r="R91" i="5"/>
  <c r="S102" i="5"/>
  <c r="P180" i="5"/>
  <c r="R151" i="5"/>
  <c r="S159" i="5"/>
  <c r="S207" i="5"/>
  <c r="S250" i="5"/>
  <c r="P278" i="5"/>
  <c r="R265" i="5"/>
  <c r="S288" i="5"/>
  <c r="P316" i="5"/>
  <c r="R301" i="5"/>
  <c r="P645" i="5"/>
  <c r="R628" i="5"/>
  <c r="S648" i="5"/>
  <c r="S678" i="5"/>
  <c r="S709" i="5"/>
  <c r="S739" i="5"/>
  <c r="P768" i="5"/>
  <c r="R753" i="5"/>
  <c r="S826" i="5"/>
  <c r="S1089" i="5"/>
  <c r="S1093" i="5"/>
  <c r="P1120" i="5"/>
  <c r="R1103" i="5"/>
  <c r="P1199" i="5"/>
  <c r="R1172" i="5"/>
  <c r="P1212" i="5"/>
  <c r="R1201" i="5"/>
  <c r="S1215" i="5"/>
  <c r="P25" i="5"/>
  <c r="R5" i="5"/>
  <c r="S14" i="5"/>
  <c r="P50" i="5"/>
  <c r="R27" i="5"/>
  <c r="S249" i="5"/>
  <c r="P299" i="5"/>
  <c r="R280" i="5"/>
  <c r="P675" i="5"/>
  <c r="R647" i="5"/>
  <c r="S663" i="5"/>
  <c r="P706" i="5"/>
  <c r="R677" i="5"/>
  <c r="P722" i="5"/>
  <c r="R708" i="5"/>
  <c r="P1045" i="5"/>
  <c r="R1022" i="5"/>
  <c r="S1173" i="5"/>
  <c r="S894" i="5"/>
  <c r="S126" i="5"/>
  <c r="S228" i="5"/>
  <c r="S978" i="5"/>
  <c r="S670" i="5"/>
  <c r="S672" i="5"/>
  <c r="P799" i="5"/>
  <c r="R770" i="5"/>
  <c r="S1194" i="5"/>
  <c r="S1202" i="5"/>
  <c r="S321" i="5"/>
  <c r="S342" i="5"/>
  <c r="S345" i="5"/>
  <c r="S359" i="5"/>
  <c r="S366" i="5"/>
  <c r="S367" i="5"/>
  <c r="S385" i="5"/>
  <c r="S387" i="5"/>
  <c r="S405" i="5"/>
  <c r="S421" i="5"/>
  <c r="S422" i="5"/>
  <c r="S444" i="5"/>
  <c r="S452" i="5"/>
  <c r="S468" i="5"/>
  <c r="S469" i="5"/>
  <c r="S472" i="5"/>
  <c r="S473" i="5"/>
  <c r="S481" i="5"/>
  <c r="S485" i="5"/>
  <c r="S486" i="5"/>
  <c r="S505" i="5"/>
  <c r="S527" i="5"/>
  <c r="S544" i="5"/>
  <c r="S819" i="5"/>
  <c r="S823" i="5"/>
  <c r="S824" i="5"/>
  <c r="S825" i="5"/>
  <c r="S844" i="5"/>
  <c r="S873" i="5"/>
  <c r="S878" i="5"/>
  <c r="S135" i="5"/>
  <c r="S218" i="5"/>
  <c r="S227" i="5"/>
  <c r="S244" i="5"/>
  <c r="S245" i="5"/>
  <c r="S592" i="5"/>
  <c r="S613" i="5"/>
  <c r="S615" i="5"/>
  <c r="S917" i="5"/>
  <c r="S918" i="5"/>
  <c r="P975" i="5"/>
  <c r="R941" i="5"/>
  <c r="S942" i="5"/>
  <c r="S964" i="5"/>
  <c r="S965" i="5"/>
  <c r="S989" i="5"/>
  <c r="S1010" i="5"/>
  <c r="S1019" i="5"/>
  <c r="P1077" i="5"/>
  <c r="R1047" i="5"/>
  <c r="S1066" i="5"/>
  <c r="S7" i="5"/>
  <c r="S9" i="5"/>
  <c r="S19" i="5"/>
  <c r="S35" i="5"/>
  <c r="S45" i="5"/>
  <c r="S55" i="5"/>
  <c r="S56" i="5"/>
  <c r="S62" i="5"/>
  <c r="S80" i="5"/>
  <c r="S84" i="5"/>
  <c r="S93" i="5"/>
  <c r="S98" i="5"/>
  <c r="S115" i="5"/>
  <c r="S144" i="5"/>
  <c r="S160" i="5"/>
  <c r="S167" i="5"/>
  <c r="S178" i="5"/>
  <c r="S179" i="5"/>
  <c r="S201" i="5"/>
  <c r="S258" i="5"/>
  <c r="S284" i="5"/>
  <c r="S292" i="5"/>
  <c r="S307" i="5"/>
  <c r="S417" i="5"/>
  <c r="S511" i="5"/>
  <c r="S566" i="5"/>
  <c r="P588" i="5"/>
  <c r="R574" i="5"/>
  <c r="S587" i="5"/>
  <c r="S634" i="5"/>
  <c r="S652" i="5"/>
  <c r="S695" i="5"/>
  <c r="S713" i="5"/>
  <c r="S726" i="5"/>
  <c r="S754" i="5"/>
  <c r="S771" i="5"/>
  <c r="S788" i="5"/>
  <c r="S806" i="5"/>
  <c r="S821" i="5"/>
  <c r="S846" i="5"/>
  <c r="S874" i="5"/>
  <c r="S875" i="5"/>
  <c r="S952" i="5"/>
  <c r="S1028" i="5"/>
  <c r="S1040" i="5"/>
  <c r="S1042" i="5"/>
  <c r="S1083" i="5"/>
  <c r="S1095" i="5"/>
  <c r="S1110" i="5"/>
  <c r="P1139" i="5"/>
  <c r="R1122" i="5"/>
  <c r="S1134" i="5"/>
  <c r="S1146" i="5"/>
  <c r="S1151" i="5"/>
  <c r="S1174" i="5"/>
  <c r="S1176" i="5"/>
  <c r="S1180" i="5"/>
  <c r="S1203" i="5"/>
  <c r="S1216" i="5"/>
  <c r="S1226" i="5"/>
  <c r="S1227" i="5"/>
  <c r="S131" i="5"/>
  <c r="S133" i="5"/>
  <c r="S192" i="5"/>
  <c r="S1143" i="5"/>
  <c r="S153" i="5"/>
  <c r="S661" i="5"/>
  <c r="S930" i="5"/>
  <c r="S1002" i="5"/>
  <c r="S1106" i="5"/>
  <c r="S323" i="5"/>
  <c r="S324" i="5"/>
  <c r="S341" i="5"/>
  <c r="S343" i="5"/>
  <c r="S344" i="5"/>
  <c r="S348" i="5"/>
  <c r="S350" i="5"/>
  <c r="S388" i="5"/>
  <c r="S406" i="5"/>
  <c r="S420" i="5"/>
  <c r="S440" i="5"/>
  <c r="S453" i="5"/>
  <c r="S483" i="5"/>
  <c r="S502" i="5"/>
  <c r="S535" i="5"/>
  <c r="S551" i="5"/>
  <c r="S828" i="5"/>
  <c r="S852" i="5"/>
  <c r="S853" i="5"/>
  <c r="S869" i="5"/>
  <c r="S870" i="5"/>
  <c r="S876" i="5"/>
  <c r="S884" i="5"/>
  <c r="S885" i="5"/>
  <c r="S130" i="5"/>
  <c r="S145" i="5"/>
  <c r="S222" i="5"/>
  <c r="S223" i="5"/>
  <c r="S225" i="5"/>
  <c r="S242" i="5"/>
  <c r="S243" i="5"/>
  <c r="S602" i="5"/>
  <c r="S603" i="5"/>
  <c r="S614" i="5"/>
  <c r="S925" i="5"/>
  <c r="S926" i="5"/>
  <c r="S928" i="5"/>
  <c r="S949" i="5"/>
  <c r="S956" i="5"/>
  <c r="S970" i="5"/>
  <c r="S971" i="5"/>
  <c r="S985" i="5"/>
  <c r="S995" i="5"/>
  <c r="S998" i="5"/>
  <c r="S1012" i="5"/>
  <c r="S1013" i="5"/>
  <c r="S1014" i="5"/>
  <c r="S1059" i="5"/>
  <c r="S1065" i="5"/>
  <c r="S1068" i="5"/>
  <c r="S1076" i="5"/>
  <c r="S12" i="5"/>
  <c r="S13" i="5"/>
  <c r="S24" i="5"/>
  <c r="S33" i="5"/>
  <c r="S46" i="5"/>
  <c r="S47" i="5"/>
  <c r="S58" i="5"/>
  <c r="S59" i="5"/>
  <c r="S66" i="5"/>
  <c r="S82" i="5"/>
  <c r="S83" i="5"/>
  <c r="S103" i="5"/>
  <c r="S117" i="5"/>
  <c r="S118" i="5"/>
  <c r="S156" i="5"/>
  <c r="S157" i="5"/>
  <c r="S158" i="5"/>
  <c r="S173" i="5"/>
  <c r="S174" i="5"/>
  <c r="S190" i="5"/>
  <c r="S194" i="5"/>
  <c r="S200" i="5"/>
  <c r="S205" i="5"/>
  <c r="S206" i="5"/>
  <c r="S251" i="5"/>
  <c r="S252" i="5"/>
  <c r="S271" i="5"/>
  <c r="S272" i="5"/>
  <c r="S290" i="5"/>
  <c r="S294" i="5"/>
  <c r="S295" i="5"/>
  <c r="S304" i="5"/>
  <c r="S309" i="5"/>
  <c r="S512" i="5"/>
  <c r="S515" i="5"/>
  <c r="S518" i="5"/>
  <c r="S562" i="5"/>
  <c r="S565" i="5"/>
  <c r="S571" i="5"/>
  <c r="S575" i="5"/>
  <c r="S629" i="5"/>
  <c r="S631" i="5"/>
  <c r="S641" i="5"/>
  <c r="S653" i="5"/>
  <c r="S657" i="5"/>
  <c r="S659" i="5"/>
  <c r="S664" i="5"/>
  <c r="S665" i="5"/>
  <c r="S674" i="5"/>
  <c r="S681" i="5"/>
  <c r="S688" i="5"/>
  <c r="S693" i="5"/>
  <c r="S696" i="5"/>
  <c r="S697" i="5"/>
  <c r="S716" i="5"/>
  <c r="S717" i="5"/>
  <c r="S719" i="5"/>
  <c r="S736" i="5"/>
  <c r="S740" i="5"/>
  <c r="S746" i="5"/>
  <c r="S747" i="5"/>
  <c r="S758" i="5"/>
  <c r="S759" i="5"/>
  <c r="S767" i="5"/>
  <c r="S774" i="5"/>
  <c r="S775" i="5"/>
  <c r="S783" i="5"/>
  <c r="S784" i="5"/>
  <c r="S790" i="5"/>
  <c r="S791" i="5"/>
  <c r="S792" i="5"/>
  <c r="S810" i="5"/>
  <c r="S923" i="5"/>
  <c r="S933" i="5"/>
  <c r="S954" i="5"/>
  <c r="S1024" i="5"/>
  <c r="S1025" i="5"/>
  <c r="S1111" i="5"/>
  <c r="S1112" i="5"/>
  <c r="S1117" i="5"/>
  <c r="S1126" i="5"/>
  <c r="S1128" i="5"/>
  <c r="S1161" i="5"/>
  <c r="S1164" i="5"/>
  <c r="S1181" i="5"/>
  <c r="S1182" i="5"/>
  <c r="S1196" i="5"/>
  <c r="S1204" i="5"/>
  <c r="S1205" i="5"/>
  <c r="S1221" i="5"/>
  <c r="S1222" i="5"/>
  <c r="S331" i="5"/>
  <c r="S855" i="5"/>
  <c r="S856" i="5"/>
  <c r="S221" i="5"/>
  <c r="S224" i="5"/>
  <c r="S229" i="5"/>
  <c r="S601" i="5"/>
  <c r="S604" i="5"/>
  <c r="S814" i="5"/>
  <c r="S815" i="5"/>
  <c r="S1051" i="5"/>
  <c r="S15" i="5"/>
  <c r="S30" i="5"/>
  <c r="S31" i="5"/>
  <c r="S42" i="5"/>
  <c r="S61" i="5"/>
  <c r="S64" i="5"/>
  <c r="S67" i="5"/>
  <c r="S99" i="5"/>
  <c r="S101" i="5"/>
  <c r="S155" i="5"/>
  <c r="S187" i="5"/>
  <c r="S191" i="5"/>
  <c r="S195" i="5"/>
  <c r="S235" i="5"/>
  <c r="S274" i="5"/>
  <c r="S275" i="5"/>
  <c r="S276" i="5"/>
  <c r="S286" i="5"/>
  <c r="S287" i="5"/>
  <c r="S289" i="5"/>
  <c r="S308" i="5"/>
  <c r="S310" i="5"/>
  <c r="S311" i="5"/>
  <c r="S514" i="5"/>
  <c r="S519" i="5"/>
  <c r="S560" i="5"/>
  <c r="S563" i="5"/>
  <c r="S570" i="5"/>
  <c r="S581" i="5"/>
  <c r="S583" i="5"/>
  <c r="S605" i="5"/>
  <c r="S607" i="5"/>
  <c r="S633" i="5"/>
  <c r="S656" i="5"/>
  <c r="S684" i="5"/>
  <c r="S685" i="5"/>
  <c r="S715" i="5"/>
  <c r="S732" i="5"/>
  <c r="S734" i="5"/>
  <c r="S737" i="5"/>
  <c r="S764" i="5"/>
  <c r="S780" i="5"/>
  <c r="S781" i="5"/>
  <c r="S809" i="5"/>
  <c r="S932" i="5"/>
  <c r="S950" i="5"/>
  <c r="S955" i="5"/>
  <c r="S958" i="5"/>
  <c r="S991" i="5"/>
  <c r="S993" i="5"/>
  <c r="S996" i="5"/>
  <c r="S1030" i="5"/>
  <c r="S1031" i="5"/>
  <c r="S1052" i="5"/>
  <c r="S1053" i="5"/>
  <c r="S1081" i="5"/>
  <c r="S1082" i="5"/>
  <c r="S1092" i="5"/>
  <c r="S1115" i="5"/>
  <c r="S1118" i="5"/>
  <c r="S1127" i="5"/>
  <c r="S1131" i="5"/>
  <c r="S1150" i="5"/>
  <c r="S1159" i="5"/>
  <c r="S1160" i="5"/>
  <c r="S1163" i="5"/>
  <c r="S1191" i="5"/>
  <c r="S1192" i="5"/>
  <c r="S1193" i="5"/>
  <c r="S1225" i="5"/>
  <c r="S349" i="5"/>
  <c r="S351" i="5"/>
  <c r="S464" i="5"/>
  <c r="S219" i="5"/>
  <c r="S220" i="5"/>
  <c r="S226" i="5"/>
  <c r="S618" i="5"/>
  <c r="S11" i="5"/>
  <c r="S16" i="5"/>
  <c r="S60" i="5"/>
  <c r="S65" i="5"/>
  <c r="S100" i="5"/>
  <c r="S154" i="5"/>
  <c r="S193" i="5"/>
  <c r="S196" i="5"/>
  <c r="S253" i="5"/>
  <c r="S254" i="5"/>
  <c r="S277" i="5"/>
  <c r="S516" i="5"/>
  <c r="S517" i="5"/>
  <c r="S561" i="5"/>
  <c r="S564" i="5"/>
  <c r="S582" i="5"/>
  <c r="S584" i="5"/>
  <c r="S630" i="5"/>
  <c r="S632" i="5"/>
  <c r="S658" i="5"/>
  <c r="S660" i="5"/>
  <c r="S686" i="5"/>
  <c r="S687" i="5"/>
  <c r="S714" i="5"/>
  <c r="S718" i="5"/>
  <c r="S733" i="5"/>
  <c r="S738" i="5"/>
  <c r="S765" i="5"/>
  <c r="S766" i="5"/>
  <c r="S779" i="5"/>
  <c r="S782" i="5"/>
  <c r="S924" i="5"/>
  <c r="S927" i="5"/>
  <c r="S948" i="5"/>
  <c r="S957" i="5"/>
  <c r="S994" i="5"/>
  <c r="S997" i="5"/>
  <c r="S1114" i="5"/>
  <c r="S1116" i="5"/>
  <c r="S1129" i="5"/>
  <c r="S1130" i="5"/>
  <c r="S1147" i="5"/>
  <c r="S1162" i="5"/>
  <c r="S1165" i="5"/>
  <c r="S1206" i="5"/>
  <c r="S1208" i="5"/>
  <c r="S1223" i="5"/>
  <c r="S1224" i="5"/>
  <c r="S239" i="5"/>
  <c r="S337" i="5"/>
  <c r="S336" i="5"/>
  <c r="S879" i="5"/>
  <c r="S238" i="5"/>
  <c r="S240" i="5"/>
  <c r="S963" i="5"/>
  <c r="S1008" i="5"/>
  <c r="S1009" i="5"/>
  <c r="S1070" i="5"/>
  <c r="S1071" i="5"/>
  <c r="S48" i="5"/>
  <c r="S79" i="5"/>
  <c r="S114" i="5"/>
  <c r="S142" i="5"/>
  <c r="S171" i="5"/>
  <c r="S418" i="5"/>
  <c r="S419" i="5"/>
  <c r="S567" i="5"/>
  <c r="S578" i="5"/>
  <c r="S669" i="5"/>
  <c r="S683" i="5"/>
  <c r="S702" i="5"/>
  <c r="S712" i="5"/>
  <c r="S735" i="5"/>
  <c r="S755" i="5"/>
  <c r="S795" i="5"/>
  <c r="S921" i="5"/>
  <c r="S1097" i="5"/>
  <c r="S1098" i="5"/>
  <c r="S1108" i="5"/>
  <c r="S1135" i="5"/>
  <c r="S1169" i="5"/>
  <c r="S1183" i="5"/>
  <c r="S1184" i="5"/>
  <c r="S432" i="5"/>
  <c r="S854" i="5"/>
  <c r="S137" i="5"/>
  <c r="S147" i="5"/>
  <c r="S501" i="5"/>
  <c r="S920" i="5"/>
  <c r="S990" i="5"/>
  <c r="S568" i="5"/>
  <c r="S577" i="5"/>
  <c r="S598" i="5"/>
  <c r="S682" i="5"/>
  <c r="S700" i="5"/>
  <c r="S983" i="5"/>
  <c r="S1210" i="5"/>
  <c r="S1228" i="5"/>
  <c r="S880" i="5"/>
  <c r="S241" i="5"/>
  <c r="S625" i="5"/>
  <c r="S968" i="5"/>
  <c r="S1018" i="5"/>
  <c r="S1069" i="5"/>
  <c r="S21" i="5"/>
  <c r="S77" i="5"/>
  <c r="S78" i="5"/>
  <c r="S169" i="5"/>
  <c r="S267" i="5"/>
  <c r="S268" i="5"/>
  <c r="S297" i="5"/>
  <c r="S303" i="5"/>
  <c r="S643" i="5"/>
  <c r="S668" i="5"/>
  <c r="S703" i="5"/>
  <c r="S711" i="5"/>
  <c r="S742" i="5"/>
  <c r="S743" i="5"/>
  <c r="S757" i="5"/>
  <c r="S797" i="5"/>
  <c r="S867" i="5"/>
  <c r="S1096" i="5"/>
  <c r="S1107" i="5"/>
  <c r="S1185" i="5"/>
  <c r="S112" i="5"/>
  <c r="S197" i="5"/>
  <c r="S261" i="5"/>
  <c r="S375" i="5"/>
  <c r="S379" i="5"/>
  <c r="S619" i="5"/>
  <c r="S638" i="5"/>
  <c r="S793" i="5"/>
  <c r="S833" i="5"/>
  <c r="S840" i="5"/>
  <c r="S842" i="5"/>
  <c r="S1062" i="5"/>
  <c r="S1148" i="5"/>
  <c r="S1149" i="5"/>
  <c r="S1158" i="5"/>
  <c r="S231" i="5"/>
  <c r="S370" i="5"/>
  <c r="S383" i="5"/>
  <c r="S446" i="5"/>
  <c r="S447" i="5"/>
  <c r="S448" i="5"/>
  <c r="S449" i="5"/>
  <c r="S691" i="5"/>
  <c r="S744" i="5"/>
  <c r="S839" i="5"/>
  <c r="S841" i="5"/>
  <c r="S849" i="5"/>
  <c r="S850" i="5"/>
  <c r="S859" i="5"/>
  <c r="S864" i="5"/>
  <c r="S877" i="5"/>
  <c r="S881" i="5"/>
  <c r="S882" i="5"/>
  <c r="S910" i="5"/>
  <c r="S1056" i="5"/>
  <c r="S1057" i="5"/>
  <c r="S1074" i="5"/>
  <c r="S338" i="5"/>
  <c r="S431" i="5"/>
  <c r="S499" i="5"/>
  <c r="S20" i="5"/>
  <c r="S203" i="5"/>
  <c r="S296" i="5"/>
  <c r="S329" i="5"/>
  <c r="S597" i="5"/>
  <c r="S1198" i="5"/>
  <c r="S1229" i="5"/>
  <c r="S355" i="5"/>
  <c r="S146" i="5"/>
  <c r="S623" i="5"/>
  <c r="S865" i="5"/>
  <c r="S866" i="5"/>
  <c r="S969" i="5"/>
  <c r="S973" i="5"/>
  <c r="S1007" i="5"/>
  <c r="S10" i="5"/>
  <c r="S81" i="5"/>
  <c r="S204" i="5"/>
  <c r="S260" i="5"/>
  <c r="S266" i="5"/>
  <c r="S579" i="5"/>
  <c r="S642" i="5"/>
  <c r="S667" i="5"/>
  <c r="S701" i="5"/>
  <c r="P751" i="5"/>
  <c r="R724" i="5"/>
  <c r="S756" i="5"/>
  <c r="S794" i="5"/>
  <c r="S1023" i="5"/>
  <c r="S1043" i="5"/>
  <c r="S1109" i="5"/>
  <c r="S1186" i="5"/>
  <c r="S1230" i="5"/>
  <c r="S352" i="5"/>
  <c r="S520" i="5"/>
  <c r="S353" i="5"/>
  <c r="S354" i="5"/>
  <c r="S374" i="5"/>
  <c r="S813" i="5"/>
  <c r="S332" i="5"/>
  <c r="S333" i="5"/>
  <c r="S786" i="5"/>
  <c r="S372" i="5"/>
  <c r="S373" i="5"/>
  <c r="S396" i="5"/>
  <c r="S399" i="5"/>
  <c r="S400" i="5"/>
  <c r="S401" i="5"/>
  <c r="S830" i="5"/>
  <c r="P1170" i="5"/>
  <c r="R1141" i="5"/>
  <c r="S1142" i="5"/>
  <c r="S1211" i="5"/>
  <c r="S17" i="5"/>
  <c r="S18" i="5"/>
  <c r="S40" i="5"/>
  <c r="S68" i="5"/>
  <c r="S97" i="5"/>
  <c r="S105" i="5"/>
  <c r="S108" i="5"/>
  <c r="S136" i="5"/>
  <c r="S138" i="5"/>
  <c r="S165" i="5"/>
  <c r="P212" i="5"/>
  <c r="R182" i="5"/>
  <c r="S186" i="5"/>
  <c r="S232" i="5"/>
  <c r="S234" i="5"/>
  <c r="S236" i="5"/>
  <c r="S257" i="5"/>
  <c r="S270" i="5"/>
  <c r="S285" i="5"/>
  <c r="S312" i="5"/>
  <c r="S314" i="5"/>
  <c r="P572" i="5"/>
  <c r="R558" i="5"/>
  <c r="S585" i="5"/>
  <c r="S611" i="5"/>
  <c r="S612" i="5"/>
  <c r="S636" i="5"/>
  <c r="S655" i="5"/>
  <c r="S689" i="5"/>
  <c r="S721" i="5"/>
  <c r="S730" i="5"/>
  <c r="S761" i="5"/>
  <c r="S778" i="5"/>
  <c r="S787" i="5"/>
  <c r="S802" i="5"/>
  <c r="S803" i="5"/>
  <c r="S804" i="5"/>
  <c r="S805" i="5"/>
  <c r="S816" i="5"/>
  <c r="S847" i="5"/>
  <c r="S860" i="5"/>
  <c r="S861" i="5"/>
  <c r="S862" i="5"/>
  <c r="S938" i="5"/>
  <c r="S959" i="5"/>
  <c r="S1003" i="5"/>
  <c r="S1035" i="5"/>
  <c r="S1038" i="5"/>
  <c r="S1055" i="5"/>
  <c r="S1061" i="5"/>
  <c r="S1063" i="5"/>
  <c r="P1101" i="5"/>
  <c r="R1079" i="5"/>
  <c r="S1105" i="5"/>
  <c r="S1133" i="5"/>
  <c r="S1187" i="5"/>
  <c r="P1231" i="5"/>
  <c r="R1214" i="5"/>
  <c r="S360" i="5"/>
  <c r="S361" i="5"/>
  <c r="S362" i="5"/>
  <c r="S363" i="5"/>
  <c r="S364" i="5"/>
  <c r="S365" i="5"/>
  <c r="S437" i="5"/>
  <c r="S438" i="5"/>
  <c r="S439" i="5"/>
  <c r="S488" i="5"/>
  <c r="S489" i="5"/>
  <c r="S887" i="5"/>
  <c r="S888" i="5"/>
  <c r="S889" i="5"/>
  <c r="S890" i="5"/>
  <c r="S911" i="5"/>
  <c r="S124" i="5"/>
  <c r="S237" i="5"/>
  <c r="S616" i="5"/>
  <c r="S919" i="5"/>
  <c r="S699" i="5"/>
  <c r="S1026" i="5"/>
  <c r="S1104" i="5"/>
  <c r="S325" i="5"/>
  <c r="S532" i="5"/>
  <c r="S533" i="5"/>
  <c r="S534" i="5"/>
  <c r="S624" i="5"/>
  <c r="S1064" i="5"/>
  <c r="S1072" i="5"/>
  <c r="S1073" i="5"/>
  <c r="S86" i="5"/>
  <c r="S175" i="5"/>
  <c r="S302" i="5"/>
  <c r="S947" i="5"/>
  <c r="S1209" i="5"/>
  <c r="S319" i="5"/>
  <c r="S451" i="5"/>
  <c r="S510" i="5"/>
  <c r="S427" i="5"/>
  <c r="S428" i="5"/>
  <c r="S429" i="5"/>
  <c r="S430" i="5"/>
  <c r="S433" i="5"/>
  <c r="S436" i="5"/>
  <c r="S465" i="5"/>
  <c r="S466" i="5"/>
  <c r="S467" i="5"/>
  <c r="S471" i="5"/>
  <c r="S474" i="5"/>
  <c r="S475" i="5"/>
  <c r="S476" i="5"/>
  <c r="S477" i="5"/>
  <c r="S478" i="5"/>
  <c r="S479" i="5"/>
  <c r="S487" i="5"/>
  <c r="S490" i="5"/>
  <c r="S493" i="5"/>
  <c r="S496" i="5"/>
  <c r="S497" i="5"/>
  <c r="S498" i="5"/>
  <c r="S522" i="5"/>
  <c r="S523" i="5"/>
  <c r="S524" i="5"/>
  <c r="S525" i="5"/>
  <c r="S526" i="5"/>
  <c r="S528" i="5"/>
  <c r="S531" i="5"/>
  <c r="S537" i="5"/>
  <c r="S540" i="5"/>
  <c r="S541" i="5"/>
  <c r="S542" i="5"/>
  <c r="S543" i="5"/>
  <c r="S545" i="5"/>
  <c r="S548" i="5"/>
  <c r="S549" i="5"/>
  <c r="S550" i="5"/>
  <c r="S891" i="5"/>
  <c r="S896" i="5"/>
  <c r="S897" i="5"/>
  <c r="S898" i="5"/>
  <c r="S899" i="5"/>
  <c r="S900" i="5"/>
  <c r="S901" i="5"/>
  <c r="S907" i="5"/>
  <c r="S908" i="5"/>
  <c r="S909" i="5"/>
  <c r="S95" i="5"/>
  <c r="P149" i="5"/>
  <c r="R123" i="5"/>
  <c r="S128" i="5"/>
  <c r="S129" i="5"/>
  <c r="S210" i="5"/>
  <c r="S217" i="5"/>
  <c r="S594" i="5"/>
  <c r="S595" i="5"/>
  <c r="S599" i="5"/>
  <c r="S600" i="5"/>
  <c r="S617" i="5"/>
  <c r="S621" i="5"/>
  <c r="S622" i="5"/>
  <c r="S671" i="5"/>
  <c r="S673" i="5"/>
  <c r="S705" i="5"/>
  <c r="P939" i="5"/>
  <c r="R915" i="5"/>
  <c r="S916" i="5"/>
  <c r="S979" i="5"/>
  <c r="S980" i="5"/>
  <c r="S981" i="5"/>
  <c r="S982" i="5"/>
  <c r="S984" i="5"/>
  <c r="S986" i="5"/>
  <c r="S1113" i="5"/>
  <c r="S1195" i="5"/>
  <c r="S322" i="5"/>
  <c r="S327" i="5"/>
  <c r="S328" i="5"/>
  <c r="S838" i="5"/>
  <c r="S368" i="5"/>
  <c r="S369" i="5"/>
  <c r="S8" i="5"/>
  <c r="S41" i="5"/>
  <c r="S57" i="5"/>
  <c r="S75" i="5"/>
  <c r="S85" i="5"/>
  <c r="S113" i="5"/>
  <c r="S119" i="5"/>
  <c r="S120" i="5"/>
  <c r="S163" i="5"/>
  <c r="S164" i="5"/>
  <c r="S172" i="5"/>
  <c r="S176" i="5"/>
  <c r="S259" i="5"/>
  <c r="S269" i="5"/>
  <c r="S282" i="5"/>
  <c r="S293" i="5"/>
  <c r="S315" i="5"/>
  <c r="S330" i="5"/>
  <c r="S423" i="5"/>
  <c r="S424" i="5"/>
  <c r="S425" i="5"/>
  <c r="S426" i="5"/>
  <c r="S506" i="5"/>
  <c r="S507" i="5"/>
  <c r="S508" i="5"/>
  <c r="S509" i="5"/>
  <c r="S569" i="5"/>
  <c r="S576" i="5"/>
  <c r="S635" i="5"/>
  <c r="S650" i="5"/>
  <c r="S651" i="5"/>
  <c r="S698" i="5"/>
  <c r="S710" i="5"/>
  <c r="S725" i="5"/>
  <c r="S741" i="5"/>
  <c r="S760" i="5"/>
  <c r="S773" i="5"/>
  <c r="S807" i="5"/>
  <c r="S929" i="5"/>
  <c r="S943" i="5"/>
  <c r="S944" i="5"/>
  <c r="S946" i="5"/>
  <c r="S1036" i="5"/>
  <c r="S1060" i="5"/>
  <c r="S1084" i="5"/>
  <c r="S1090" i="5"/>
  <c r="S1123" i="5"/>
  <c r="S1166" i="5"/>
  <c r="S1167" i="5"/>
  <c r="S1168" i="5"/>
  <c r="S1177" i="5"/>
  <c r="S434" i="5"/>
  <c r="S435" i="5"/>
  <c r="S470" i="5"/>
  <c r="S484" i="5"/>
  <c r="S494" i="5"/>
  <c r="S495" i="5"/>
  <c r="S529" i="5"/>
  <c r="S530" i="5"/>
  <c r="S546" i="5"/>
  <c r="S547" i="5"/>
  <c r="S892" i="5"/>
  <c r="S893" i="5"/>
  <c r="S895" i="5"/>
  <c r="S371" i="5"/>
  <c r="S851" i="5"/>
  <c r="S903" i="5"/>
  <c r="K83" i="4"/>
  <c r="J83" i="4"/>
  <c r="L6" i="4"/>
  <c r="S596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K49" i="13"/>
  <c r="L6" i="13"/>
  <c r="L10" i="14"/>
  <c r="M10" i="14" s="1"/>
  <c r="M6" i="14"/>
  <c r="L16" i="14"/>
  <c r="M16" i="14" s="1"/>
  <c r="M13" i="14"/>
  <c r="L22" i="14"/>
  <c r="M22" i="14" s="1"/>
  <c r="M19" i="14"/>
  <c r="L28" i="14"/>
  <c r="M28" i="14" s="1"/>
  <c r="M25" i="14"/>
  <c r="L34" i="14"/>
  <c r="M34" i="14" s="1"/>
  <c r="M31" i="14"/>
  <c r="L40" i="14"/>
  <c r="M40" i="14" s="1"/>
  <c r="M37" i="14"/>
  <c r="L46" i="14"/>
  <c r="M46" i="14" s="1"/>
  <c r="M43" i="14"/>
  <c r="L52" i="14"/>
  <c r="M52" i="14" s="1"/>
  <c r="M49" i="14"/>
  <c r="L58" i="14"/>
  <c r="M58" i="14" s="1"/>
  <c r="M55" i="14"/>
  <c r="L63" i="14"/>
  <c r="M63" i="14" s="1"/>
  <c r="M61" i="14"/>
  <c r="L68" i="14"/>
  <c r="M68" i="14" s="1"/>
  <c r="M66" i="14"/>
  <c r="L73" i="14"/>
  <c r="M73" i="14" s="1"/>
  <c r="M71" i="14"/>
  <c r="L89" i="14"/>
  <c r="M89" i="14" s="1"/>
  <c r="M87" i="14"/>
  <c r="L95" i="14"/>
  <c r="M95" i="14" s="1"/>
  <c r="M92" i="14"/>
  <c r="L101" i="14"/>
  <c r="M101" i="14" s="1"/>
  <c r="M98" i="14"/>
  <c r="L107" i="14"/>
  <c r="M107" i="14" s="1"/>
  <c r="M104" i="14"/>
  <c r="L113" i="14"/>
  <c r="M113" i="14" s="1"/>
  <c r="M110" i="14"/>
  <c r="L119" i="14"/>
  <c r="M119" i="14" s="1"/>
  <c r="M116" i="14"/>
  <c r="L124" i="14"/>
  <c r="M124" i="14" s="1"/>
  <c r="M122" i="14"/>
  <c r="L130" i="14"/>
  <c r="M130" i="14" s="1"/>
  <c r="M127" i="14"/>
  <c r="L135" i="14"/>
  <c r="M135" i="14" s="1"/>
  <c r="M133" i="14"/>
  <c r="L141" i="14"/>
  <c r="M141" i="14" s="1"/>
  <c r="M138" i="14"/>
  <c r="L157" i="14"/>
  <c r="M157" i="14" s="1"/>
  <c r="M155" i="14"/>
  <c r="L163" i="14"/>
  <c r="M163" i="14" s="1"/>
  <c r="M160" i="14"/>
  <c r="L172" i="14"/>
  <c r="M172" i="14" s="1"/>
  <c r="M166" i="14"/>
  <c r="L178" i="14"/>
  <c r="M178" i="14" s="1"/>
  <c r="M175" i="14"/>
  <c r="L184" i="14"/>
  <c r="M184" i="14" s="1"/>
  <c r="M181" i="14"/>
  <c r="L190" i="14"/>
  <c r="M190" i="14" s="1"/>
  <c r="M187" i="14"/>
  <c r="L195" i="14"/>
  <c r="M195" i="14" s="1"/>
  <c r="M193" i="14"/>
  <c r="L201" i="14"/>
  <c r="M201" i="14" s="1"/>
  <c r="M198" i="14"/>
  <c r="L205" i="14"/>
  <c r="M205" i="14" s="1"/>
  <c r="M204" i="14"/>
  <c r="L211" i="14"/>
  <c r="M211" i="14" s="1"/>
  <c r="M208" i="14"/>
  <c r="L216" i="14"/>
  <c r="M216" i="14" s="1"/>
  <c r="M214" i="14"/>
  <c r="L222" i="14"/>
  <c r="M222" i="14" s="1"/>
  <c r="M219" i="14"/>
  <c r="L84" i="14"/>
  <c r="M84" i="14" s="1"/>
  <c r="M76" i="14"/>
  <c r="L152" i="14"/>
  <c r="M152" i="14" s="1"/>
  <c r="M144" i="14"/>
  <c r="K51" i="13" l="1"/>
  <c r="L49" i="13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83" i="4"/>
  <c r="M6" i="4"/>
  <c r="M83" i="4" s="1"/>
  <c r="M88" i="4" s="1"/>
  <c r="R939" i="5"/>
  <c r="O939" i="5" s="1"/>
  <c r="S915" i="5"/>
  <c r="S939" i="5" s="1"/>
  <c r="R149" i="5"/>
  <c r="O149" i="5" s="1"/>
  <c r="S123" i="5"/>
  <c r="S149" i="5" s="1"/>
  <c r="R1231" i="5"/>
  <c r="O1231" i="5" s="1"/>
  <c r="S1214" i="5"/>
  <c r="S1231" i="5" s="1"/>
  <c r="R1101" i="5"/>
  <c r="O1101" i="5" s="1"/>
  <c r="S1079" i="5"/>
  <c r="S1101" i="5" s="1"/>
  <c r="R572" i="5"/>
  <c r="O572" i="5" s="1"/>
  <c r="S558" i="5"/>
  <c r="S572" i="5" s="1"/>
  <c r="R212" i="5"/>
  <c r="O212" i="5" s="1"/>
  <c r="S182" i="5"/>
  <c r="S212" i="5" s="1"/>
  <c r="R1170" i="5"/>
  <c r="O1170" i="5" s="1"/>
  <c r="S1141" i="5"/>
  <c r="S1170" i="5" s="1"/>
  <c r="R751" i="5"/>
  <c r="O751" i="5" s="1"/>
  <c r="S724" i="5"/>
  <c r="S751" i="5" s="1"/>
  <c r="R1139" i="5"/>
  <c r="O1139" i="5" s="1"/>
  <c r="S1122" i="5"/>
  <c r="S1139" i="5" s="1"/>
  <c r="R588" i="5"/>
  <c r="O588" i="5" s="1"/>
  <c r="S574" i="5"/>
  <c r="S588" i="5" s="1"/>
  <c r="R1077" i="5"/>
  <c r="O1077" i="5" s="1"/>
  <c r="S1047" i="5"/>
  <c r="S1077" i="5" s="1"/>
  <c r="R975" i="5"/>
  <c r="O975" i="5" s="1"/>
  <c r="S941" i="5"/>
  <c r="S975" i="5" s="1"/>
  <c r="R799" i="5"/>
  <c r="O799" i="5" s="1"/>
  <c r="S770" i="5"/>
  <c r="S799" i="5" s="1"/>
  <c r="R1045" i="5"/>
  <c r="O1045" i="5" s="1"/>
  <c r="S1022" i="5"/>
  <c r="S1045" i="5" s="1"/>
  <c r="R722" i="5"/>
  <c r="O722" i="5" s="1"/>
  <c r="S708" i="5"/>
  <c r="S722" i="5" s="1"/>
  <c r="R706" i="5"/>
  <c r="O706" i="5" s="1"/>
  <c r="S677" i="5"/>
  <c r="S706" i="5" s="1"/>
  <c r="R675" i="5"/>
  <c r="O675" i="5" s="1"/>
  <c r="S647" i="5"/>
  <c r="S675" i="5" s="1"/>
  <c r="R299" i="5"/>
  <c r="O299" i="5" s="1"/>
  <c r="S280" i="5"/>
  <c r="S299" i="5" s="1"/>
  <c r="R50" i="5"/>
  <c r="O50" i="5" s="1"/>
  <c r="S27" i="5"/>
  <c r="S50" i="5" s="1"/>
  <c r="R25" i="5"/>
  <c r="O25" i="5" s="1"/>
  <c r="S5" i="5"/>
  <c r="S25" i="5" s="1"/>
  <c r="R1212" i="5"/>
  <c r="O1212" i="5" s="1"/>
  <c r="S1201" i="5"/>
  <c r="S1212" i="5" s="1"/>
  <c r="R1199" i="5"/>
  <c r="O1199" i="5" s="1"/>
  <c r="S1172" i="5"/>
  <c r="S1199" i="5" s="1"/>
  <c r="R1120" i="5"/>
  <c r="O1120" i="5" s="1"/>
  <c r="S1103" i="5"/>
  <c r="S1120" i="5" s="1"/>
  <c r="R768" i="5"/>
  <c r="O768" i="5" s="1"/>
  <c r="S753" i="5"/>
  <c r="S768" i="5" s="1"/>
  <c r="R645" i="5"/>
  <c r="O645" i="5" s="1"/>
  <c r="S628" i="5"/>
  <c r="S645" i="5" s="1"/>
  <c r="R316" i="5"/>
  <c r="O316" i="5" s="1"/>
  <c r="S301" i="5"/>
  <c r="S316" i="5" s="1"/>
  <c r="R278" i="5"/>
  <c r="O278" i="5" s="1"/>
  <c r="S265" i="5"/>
  <c r="S278" i="5" s="1"/>
  <c r="R180" i="5"/>
  <c r="O180" i="5" s="1"/>
  <c r="S151" i="5"/>
  <c r="S180" i="5" s="1"/>
  <c r="R121" i="5"/>
  <c r="O121" i="5" s="1"/>
  <c r="S91" i="5"/>
  <c r="S121" i="5" s="1"/>
  <c r="R1020" i="5"/>
  <c r="O1020" i="5" s="1"/>
  <c r="S977" i="5"/>
  <c r="S1020" i="5" s="1"/>
  <c r="R626" i="5"/>
  <c r="O626" i="5" s="1"/>
  <c r="S590" i="5"/>
  <c r="S626" i="5" s="1"/>
  <c r="R246" i="5"/>
  <c r="O246" i="5" s="1"/>
  <c r="S214" i="5"/>
  <c r="S246" i="5" s="1"/>
  <c r="R913" i="5"/>
  <c r="O913" i="5" s="1"/>
  <c r="S801" i="5"/>
  <c r="S913" i="5" s="1"/>
  <c r="R556" i="5"/>
  <c r="O556" i="5" s="1"/>
  <c r="S318" i="5"/>
  <c r="S556" i="5" s="1"/>
  <c r="R89" i="5"/>
  <c r="O89" i="5" s="1"/>
  <c r="S52" i="5"/>
  <c r="S89" i="5" s="1"/>
  <c r="R263" i="5"/>
  <c r="O263" i="5" s="1"/>
  <c r="S248" i="5"/>
  <c r="S263" i="5" s="1"/>
  <c r="L88" i="4" l="1"/>
  <c r="I85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5"/>
  <c r="D5" i="15" s="1"/>
  <c r="L9" i="9"/>
  <c r="C7" i="15"/>
  <c r="D7" i="15" s="1"/>
  <c r="L51" i="13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F41" i="7"/>
  <c r="K41" i="7" s="1"/>
  <c r="F40" i="7"/>
  <c r="K40" i="7" s="1"/>
  <c r="F39" i="7"/>
  <c r="K39" i="7" s="1"/>
  <c r="F38" i="7"/>
  <c r="K38" i="7" s="1"/>
  <c r="F37" i="7"/>
  <c r="K37" i="7" s="1"/>
  <c r="F36" i="7"/>
  <c r="K36" i="7" s="1"/>
  <c r="F35" i="7"/>
  <c r="K35" i="7" s="1"/>
  <c r="F34" i="7"/>
  <c r="K34" i="7" s="1"/>
  <c r="F33" i="7"/>
  <c r="K33" i="7" s="1"/>
  <c r="F32" i="7"/>
  <c r="K32" i="7" s="1"/>
  <c r="F31" i="7"/>
  <c r="K31" i="7" s="1"/>
  <c r="F30" i="7"/>
  <c r="K30" i="7" s="1"/>
  <c r="F29" i="7"/>
  <c r="K29" i="7" s="1"/>
  <c r="F28" i="7"/>
  <c r="K28" i="7" s="1"/>
  <c r="F27" i="7"/>
  <c r="K27" i="7" s="1"/>
  <c r="F26" i="7"/>
  <c r="K26" i="7" s="1"/>
  <c r="F25" i="7"/>
  <c r="K25" i="7" s="1"/>
  <c r="F24" i="7"/>
  <c r="K24" i="7" s="1"/>
  <c r="F23" i="7"/>
  <c r="K23" i="7" s="1"/>
  <c r="F22" i="7"/>
  <c r="K22" i="7" s="1"/>
  <c r="F21" i="7"/>
  <c r="K21" i="7" s="1"/>
  <c r="F20" i="7"/>
  <c r="K20" i="7" s="1"/>
  <c r="F19" i="7"/>
  <c r="K19" i="7" s="1"/>
  <c r="F18" i="7"/>
  <c r="K18" i="7" s="1"/>
  <c r="F17" i="7"/>
  <c r="K17" i="7" s="1"/>
  <c r="F16" i="7"/>
  <c r="K16" i="7" s="1"/>
  <c r="F15" i="7"/>
  <c r="K15" i="7" s="1"/>
  <c r="F14" i="7"/>
  <c r="K14" i="7" s="1"/>
  <c r="F13" i="7"/>
  <c r="K13" i="7" s="1"/>
  <c r="F12" i="7"/>
  <c r="K12" i="7" s="1"/>
  <c r="F11" i="7"/>
  <c r="K11" i="7" s="1"/>
  <c r="F10" i="7"/>
  <c r="K10" i="7" s="1"/>
  <c r="F9" i="7"/>
  <c r="K9" i="7" s="1"/>
  <c r="F8" i="7"/>
  <c r="K8" i="7" s="1"/>
  <c r="F7" i="7"/>
  <c r="K7" i="7" s="1"/>
  <c r="F6" i="7"/>
  <c r="K6" i="7" s="1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J41" i="7"/>
  <c r="L41" i="7"/>
  <c r="N41" i="7"/>
  <c r="O41" i="7"/>
  <c r="F39" i="8"/>
  <c r="G39" i="8"/>
  <c r="H39" i="8"/>
  <c r="G41" i="7"/>
  <c r="I41" i="7"/>
  <c r="M41" i="7"/>
  <c r="E39" i="8"/>
  <c r="J40" i="7"/>
  <c r="L40" i="7"/>
  <c r="N40" i="7"/>
  <c r="O40" i="7"/>
  <c r="F38" i="8"/>
  <c r="G38" i="8"/>
  <c r="H38" i="8"/>
  <c r="G40" i="7"/>
  <c r="I40" i="7"/>
  <c r="M40" i="7"/>
  <c r="E38" i="8"/>
  <c r="J39" i="7"/>
  <c r="L39" i="7"/>
  <c r="N39" i="7"/>
  <c r="O39" i="7"/>
  <c r="F37" i="8"/>
  <c r="G37" i="8"/>
  <c r="H37" i="8"/>
  <c r="G39" i="7"/>
  <c r="I39" i="7"/>
  <c r="M39" i="7"/>
  <c r="E37" i="8"/>
  <c r="J38" i="7"/>
  <c r="L38" i="7"/>
  <c r="N38" i="7"/>
  <c r="O38" i="7"/>
  <c r="F36" i="8"/>
  <c r="G36" i="8"/>
  <c r="H36" i="8"/>
  <c r="G38" i="7"/>
  <c r="I38" i="7"/>
  <c r="M38" i="7"/>
  <c r="E36" i="8"/>
  <c r="J37" i="7"/>
  <c r="L37" i="7"/>
  <c r="N37" i="7"/>
  <c r="O37" i="7"/>
  <c r="F35" i="8"/>
  <c r="G35" i="8"/>
  <c r="H35" i="8"/>
  <c r="G37" i="7"/>
  <c r="I37" i="7"/>
  <c r="M37" i="7"/>
  <c r="E35" i="8"/>
  <c r="J36" i="7"/>
  <c r="L36" i="7"/>
  <c r="N36" i="7"/>
  <c r="O36" i="7"/>
  <c r="F34" i="8"/>
  <c r="G34" i="8"/>
  <c r="H34" i="8"/>
  <c r="G36" i="7"/>
  <c r="I36" i="7"/>
  <c r="M36" i="7"/>
  <c r="E34" i="8"/>
  <c r="J35" i="7"/>
  <c r="L35" i="7"/>
  <c r="N35" i="7"/>
  <c r="O35" i="7"/>
  <c r="F33" i="8"/>
  <c r="G33" i="8"/>
  <c r="H33" i="8"/>
  <c r="G35" i="7"/>
  <c r="I35" i="7"/>
  <c r="M35" i="7"/>
  <c r="E33" i="8"/>
  <c r="J34" i="7"/>
  <c r="L34" i="7"/>
  <c r="N34" i="7"/>
  <c r="O34" i="7"/>
  <c r="F32" i="8"/>
  <c r="G32" i="8"/>
  <c r="H32" i="8"/>
  <c r="G34" i="7"/>
  <c r="I34" i="7"/>
  <c r="M34" i="7"/>
  <c r="E32" i="8"/>
  <c r="J33" i="7"/>
  <c r="L33" i="7"/>
  <c r="N33" i="7"/>
  <c r="O33" i="7"/>
  <c r="F31" i="8"/>
  <c r="G31" i="8"/>
  <c r="H31" i="8"/>
  <c r="G33" i="7"/>
  <c r="I33" i="7"/>
  <c r="M33" i="7"/>
  <c r="E31" i="8"/>
  <c r="J32" i="7"/>
  <c r="L32" i="7"/>
  <c r="N32" i="7"/>
  <c r="O32" i="7"/>
  <c r="F30" i="8"/>
  <c r="G30" i="8"/>
  <c r="H30" i="8"/>
  <c r="G32" i="7"/>
  <c r="I32" i="7"/>
  <c r="M32" i="7"/>
  <c r="E30" i="8"/>
  <c r="J31" i="7"/>
  <c r="L31" i="7"/>
  <c r="N31" i="7"/>
  <c r="O31" i="7"/>
  <c r="F29" i="8"/>
  <c r="G29" i="8"/>
  <c r="H29" i="8"/>
  <c r="G31" i="7"/>
  <c r="I31" i="7"/>
  <c r="M31" i="7"/>
  <c r="E29" i="8"/>
  <c r="J30" i="7"/>
  <c r="L30" i="7"/>
  <c r="N30" i="7"/>
  <c r="O30" i="7"/>
  <c r="F28" i="8"/>
  <c r="G28" i="8"/>
  <c r="H28" i="8"/>
  <c r="G30" i="7"/>
  <c r="I30" i="7"/>
  <c r="M30" i="7"/>
  <c r="E28" i="8"/>
  <c r="J29" i="7"/>
  <c r="L29" i="7"/>
  <c r="N29" i="7"/>
  <c r="O29" i="7"/>
  <c r="F27" i="8"/>
  <c r="G27" i="8"/>
  <c r="H27" i="8"/>
  <c r="G29" i="7"/>
  <c r="I29" i="7"/>
  <c r="M29" i="7"/>
  <c r="E27" i="8"/>
  <c r="J28" i="7"/>
  <c r="L28" i="7"/>
  <c r="N28" i="7"/>
  <c r="O28" i="7"/>
  <c r="F26" i="8"/>
  <c r="G26" i="8"/>
  <c r="H26" i="8"/>
  <c r="G28" i="7"/>
  <c r="I28" i="7"/>
  <c r="M28" i="7"/>
  <c r="E26" i="8"/>
  <c r="J27" i="7"/>
  <c r="L27" i="7"/>
  <c r="N27" i="7"/>
  <c r="O27" i="7"/>
  <c r="F25" i="8"/>
  <c r="G25" i="8"/>
  <c r="H25" i="8"/>
  <c r="G27" i="7"/>
  <c r="I27" i="7"/>
  <c r="M27" i="7"/>
  <c r="E25" i="8"/>
  <c r="J26" i="7"/>
  <c r="L26" i="7"/>
  <c r="N26" i="7"/>
  <c r="O26" i="7"/>
  <c r="F24" i="8"/>
  <c r="G24" i="8"/>
  <c r="H24" i="8"/>
  <c r="G26" i="7"/>
  <c r="I26" i="7"/>
  <c r="M26" i="7"/>
  <c r="E24" i="8"/>
  <c r="J25" i="7"/>
  <c r="L25" i="7"/>
  <c r="N25" i="7"/>
  <c r="O25" i="7"/>
  <c r="F23" i="8"/>
  <c r="G23" i="8"/>
  <c r="H23" i="8"/>
  <c r="G25" i="7"/>
  <c r="I25" i="7"/>
  <c r="M25" i="7"/>
  <c r="E23" i="8"/>
  <c r="J24" i="7"/>
  <c r="L24" i="7"/>
  <c r="N24" i="7"/>
  <c r="O24" i="7"/>
  <c r="F22" i="8"/>
  <c r="G22" i="8"/>
  <c r="H22" i="8"/>
  <c r="G24" i="7"/>
  <c r="I24" i="7"/>
  <c r="M24" i="7"/>
  <c r="E22" i="8"/>
  <c r="J23" i="7"/>
  <c r="L23" i="7"/>
  <c r="N23" i="7"/>
  <c r="O23" i="7"/>
  <c r="F21" i="8"/>
  <c r="G21" i="8"/>
  <c r="H21" i="8"/>
  <c r="G23" i="7"/>
  <c r="I23" i="7"/>
  <c r="M23" i="7"/>
  <c r="E21" i="8"/>
  <c r="J22" i="7"/>
  <c r="L22" i="7"/>
  <c r="N22" i="7"/>
  <c r="O22" i="7"/>
  <c r="F20" i="8"/>
  <c r="G20" i="8"/>
  <c r="H20" i="8"/>
  <c r="G22" i="7"/>
  <c r="I22" i="7"/>
  <c r="M22" i="7"/>
  <c r="E20" i="8"/>
  <c r="J21" i="7"/>
  <c r="L21" i="7"/>
  <c r="N21" i="7"/>
  <c r="O21" i="7"/>
  <c r="F19" i="8"/>
  <c r="G19" i="8"/>
  <c r="H19" i="8"/>
  <c r="G21" i="7"/>
  <c r="I21" i="7"/>
  <c r="M21" i="7"/>
  <c r="E19" i="8"/>
  <c r="J20" i="7"/>
  <c r="L20" i="7"/>
  <c r="N20" i="7"/>
  <c r="O20" i="7"/>
  <c r="F18" i="8"/>
  <c r="G18" i="8"/>
  <c r="H18" i="8"/>
  <c r="G20" i="7"/>
  <c r="I20" i="7"/>
  <c r="M20" i="7"/>
  <c r="E18" i="8"/>
  <c r="J19" i="7"/>
  <c r="L19" i="7"/>
  <c r="N19" i="7"/>
  <c r="O19" i="7"/>
  <c r="F17" i="8"/>
  <c r="G17" i="8"/>
  <c r="H17" i="8"/>
  <c r="G19" i="7"/>
  <c r="I19" i="7"/>
  <c r="M19" i="7"/>
  <c r="E17" i="8"/>
  <c r="J18" i="7"/>
  <c r="L18" i="7"/>
  <c r="N18" i="7"/>
  <c r="O18" i="7"/>
  <c r="F16" i="8"/>
  <c r="G16" i="8"/>
  <c r="H16" i="8"/>
  <c r="G18" i="7"/>
  <c r="I18" i="7"/>
  <c r="M18" i="7"/>
  <c r="E16" i="8"/>
  <c r="J17" i="7"/>
  <c r="L17" i="7"/>
  <c r="N17" i="7"/>
  <c r="O17" i="7"/>
  <c r="F15" i="8"/>
  <c r="G15" i="8"/>
  <c r="H15" i="8"/>
  <c r="G17" i="7"/>
  <c r="I17" i="7"/>
  <c r="M17" i="7"/>
  <c r="E15" i="8"/>
  <c r="J16" i="7"/>
  <c r="L16" i="7"/>
  <c r="N16" i="7"/>
  <c r="O16" i="7"/>
  <c r="F14" i="8"/>
  <c r="G14" i="8"/>
  <c r="H14" i="8"/>
  <c r="G16" i="7"/>
  <c r="I16" i="7"/>
  <c r="M16" i="7"/>
  <c r="E14" i="8"/>
  <c r="J15" i="7"/>
  <c r="L15" i="7"/>
  <c r="N15" i="7"/>
  <c r="O15" i="7"/>
  <c r="F13" i="8"/>
  <c r="G13" i="8"/>
  <c r="H13" i="8"/>
  <c r="G15" i="7"/>
  <c r="I15" i="7"/>
  <c r="M15" i="7"/>
  <c r="E13" i="8"/>
  <c r="J14" i="7"/>
  <c r="L14" i="7"/>
  <c r="N14" i="7"/>
  <c r="O14" i="7"/>
  <c r="F12" i="8"/>
  <c r="G12" i="8"/>
  <c r="H12" i="8"/>
  <c r="G14" i="7"/>
  <c r="I14" i="7"/>
  <c r="M14" i="7"/>
  <c r="E12" i="8"/>
  <c r="J13" i="7"/>
  <c r="L13" i="7"/>
  <c r="N13" i="7"/>
  <c r="O13" i="7"/>
  <c r="F11" i="8"/>
  <c r="G11" i="8"/>
  <c r="H11" i="8"/>
  <c r="G13" i="7"/>
  <c r="I13" i="7"/>
  <c r="M13" i="7"/>
  <c r="E11" i="8"/>
  <c r="J12" i="7"/>
  <c r="L12" i="7"/>
  <c r="N12" i="7"/>
  <c r="O12" i="7"/>
  <c r="F10" i="8"/>
  <c r="G10" i="8"/>
  <c r="H10" i="8"/>
  <c r="G12" i="7"/>
  <c r="I12" i="7"/>
  <c r="M12" i="7"/>
  <c r="E10" i="8"/>
  <c r="J11" i="7"/>
  <c r="L11" i="7"/>
  <c r="N11" i="7"/>
  <c r="O11" i="7"/>
  <c r="F9" i="8"/>
  <c r="G9" i="8"/>
  <c r="H9" i="8"/>
  <c r="G11" i="7"/>
  <c r="I11" i="7"/>
  <c r="M11" i="7"/>
  <c r="E9" i="8"/>
  <c r="J10" i="7"/>
  <c r="L10" i="7"/>
  <c r="N10" i="7"/>
  <c r="O10" i="7"/>
  <c r="F8" i="8"/>
  <c r="G8" i="8"/>
  <c r="H8" i="8"/>
  <c r="G10" i="7"/>
  <c r="I10" i="7"/>
  <c r="M10" i="7"/>
  <c r="E8" i="8"/>
  <c r="J9" i="7"/>
  <c r="L9" i="7"/>
  <c r="N9" i="7"/>
  <c r="O9" i="7"/>
  <c r="F7" i="8"/>
  <c r="G7" i="8"/>
  <c r="H7" i="8"/>
  <c r="G9" i="7"/>
  <c r="I9" i="7"/>
  <c r="M9" i="7"/>
  <c r="E7" i="8"/>
  <c r="J8" i="7"/>
  <c r="L8" i="7"/>
  <c r="N8" i="7"/>
  <c r="O8" i="7"/>
  <c r="F6" i="8"/>
  <c r="G6" i="8"/>
  <c r="H6" i="8"/>
  <c r="G8" i="7"/>
  <c r="I8" i="7"/>
  <c r="M8" i="7"/>
  <c r="E6" i="8"/>
  <c r="J7" i="7"/>
  <c r="L7" i="7"/>
  <c r="N7" i="7"/>
  <c r="O7" i="7"/>
  <c r="F5" i="8"/>
  <c r="G5" i="8"/>
  <c r="H5" i="8"/>
  <c r="G7" i="7"/>
  <c r="I7" i="7"/>
  <c r="M7" i="7"/>
  <c r="E5" i="8"/>
  <c r="J6" i="7"/>
  <c r="L6" i="7"/>
  <c r="N6" i="7"/>
  <c r="O6" i="7"/>
  <c r="O42" i="7"/>
  <c r="O45" i="7"/>
  <c r="O47" i="7"/>
  <c r="N42" i="7"/>
  <c r="N45" i="7"/>
  <c r="N47" i="7"/>
  <c r="F4" i="8"/>
  <c r="G4" i="8"/>
  <c r="H4" i="8"/>
  <c r="H41" i="8"/>
  <c r="G41" i="8"/>
  <c r="F41" i="8"/>
  <c r="C4" i="15"/>
  <c r="D4" i="15"/>
  <c r="C59" i="2"/>
  <c r="B61" i="2"/>
  <c r="G6" i="12"/>
  <c r="I6" i="12"/>
  <c r="J6" i="12"/>
  <c r="K6" i="12"/>
  <c r="E59" i="2"/>
  <c r="D61" i="2"/>
  <c r="G7" i="12"/>
  <c r="I7" i="12"/>
  <c r="J7" i="12"/>
  <c r="K7" i="12"/>
  <c r="G8" i="12"/>
  <c r="I8" i="12"/>
  <c r="J8" i="12"/>
  <c r="K8" i="12"/>
  <c r="G9" i="12"/>
  <c r="I9" i="12"/>
  <c r="J9" i="12"/>
  <c r="K9" i="12"/>
  <c r="K10" i="12"/>
  <c r="K12" i="12"/>
  <c r="C6" i="15"/>
  <c r="C9" i="15"/>
  <c r="D9" i="15"/>
  <c r="C12" i="15"/>
  <c r="E12" i="15"/>
  <c r="G6" i="7"/>
  <c r="I6" i="7"/>
  <c r="M6" i="7"/>
  <c r="M42" i="7"/>
  <c r="M45" i="7"/>
  <c r="E4" i="8"/>
  <c r="E41" i="8"/>
  <c r="B4" i="15"/>
  <c r="B9" i="15"/>
  <c r="I59" i="2"/>
  <c r="H61" i="2"/>
  <c r="G6" i="9"/>
  <c r="H6" i="10"/>
  <c r="H10" i="10"/>
  <c r="H14" i="10"/>
  <c r="H18" i="10"/>
  <c r="H22" i="10"/>
  <c r="H26" i="10"/>
  <c r="H30" i="10"/>
  <c r="H34" i="10"/>
  <c r="H38" i="10"/>
  <c r="H42" i="10"/>
  <c r="H46" i="10"/>
  <c r="H50" i="10"/>
  <c r="H54" i="10"/>
  <c r="H58" i="10"/>
  <c r="H62" i="10"/>
  <c r="H66" i="10"/>
  <c r="H70" i="10"/>
  <c r="H74" i="10"/>
  <c r="H78" i="10"/>
  <c r="H82" i="10"/>
  <c r="H86" i="10"/>
  <c r="H90" i="10"/>
  <c r="H94" i="10"/>
  <c r="G59" i="2"/>
  <c r="F61" i="2"/>
  <c r="G6" i="13"/>
  <c r="H6" i="14"/>
  <c r="H13" i="14"/>
  <c r="H19" i="14"/>
  <c r="H25" i="14"/>
  <c r="H31" i="14"/>
  <c r="H37" i="14"/>
  <c r="H43" i="14"/>
  <c r="H49" i="14"/>
  <c r="H55" i="14"/>
  <c r="H61" i="14"/>
  <c r="H66" i="14"/>
  <c r="H71" i="14"/>
  <c r="H87" i="14"/>
  <c r="H92" i="14"/>
  <c r="H98" i="14"/>
  <c r="H104" i="14"/>
  <c r="H110" i="14"/>
  <c r="H116" i="14"/>
  <c r="H122" i="14"/>
  <c r="H127" i="14"/>
  <c r="H133" i="14"/>
  <c r="H138" i="14"/>
  <c r="H155" i="14"/>
  <c r="H160" i="14"/>
  <c r="H166" i="14"/>
  <c r="H175" i="14"/>
  <c r="H181" i="14"/>
  <c r="H187" i="14"/>
  <c r="H193" i="14"/>
  <c r="H198" i="14"/>
  <c r="H208" i="14"/>
  <c r="H214" i="14"/>
  <c r="H219" i="14"/>
  <c r="G7" i="13"/>
  <c r="H76" i="14"/>
  <c r="H144" i="14"/>
  <c r="G8" i="13"/>
  <c r="H7" i="14"/>
  <c r="H14" i="14"/>
  <c r="H20" i="14"/>
  <c r="H26" i="14"/>
  <c r="H32" i="14"/>
  <c r="H38" i="14"/>
  <c r="H44" i="14"/>
  <c r="H50" i="14"/>
  <c r="H56" i="14"/>
  <c r="H62" i="14"/>
  <c r="H67" i="14"/>
  <c r="H72" i="14"/>
  <c r="H88" i="14"/>
  <c r="H93" i="14"/>
  <c r="H99" i="14"/>
  <c r="H105" i="14"/>
  <c r="H111" i="14"/>
  <c r="H117" i="14"/>
  <c r="H123" i="14"/>
  <c r="H128" i="14"/>
  <c r="H134" i="14"/>
  <c r="H139" i="14"/>
  <c r="H156" i="14"/>
  <c r="H161" i="14"/>
  <c r="H167" i="14"/>
  <c r="H176" i="14"/>
  <c r="H182" i="14"/>
  <c r="H188" i="14"/>
  <c r="H194" i="14"/>
  <c r="H199" i="14"/>
  <c r="H209" i="14"/>
  <c r="H215" i="14"/>
  <c r="H220" i="14"/>
  <c r="G9" i="13"/>
  <c r="H77" i="14"/>
  <c r="H145" i="14"/>
  <c r="G10" i="13"/>
  <c r="H78" i="14"/>
  <c r="H146" i="14"/>
  <c r="G11" i="13"/>
  <c r="H8" i="14"/>
  <c r="H168" i="14"/>
  <c r="G12" i="13"/>
  <c r="H9" i="14"/>
  <c r="H169" i="14"/>
  <c r="G13" i="13"/>
  <c r="H147" i="14"/>
  <c r="G14" i="13"/>
  <c r="H148" i="14"/>
  <c r="G15" i="13"/>
  <c r="H79" i="14"/>
  <c r="G16" i="13"/>
  <c r="H80" i="14"/>
  <c r="G17" i="13"/>
  <c r="H149" i="14"/>
  <c r="G18" i="13"/>
  <c r="G19" i="13"/>
  <c r="H81" i="14"/>
  <c r="G20" i="13"/>
  <c r="H82" i="14"/>
  <c r="G21" i="13"/>
  <c r="H150" i="14"/>
  <c r="G22" i="13"/>
  <c r="H170" i="14"/>
  <c r="G23" i="13"/>
  <c r="H15" i="14"/>
  <c r="G24" i="13"/>
  <c r="H21" i="14"/>
  <c r="G25" i="13"/>
  <c r="H27" i="14"/>
  <c r="G26" i="13"/>
  <c r="H33" i="14"/>
  <c r="G27" i="13"/>
  <c r="H39" i="14"/>
  <c r="G28" i="13"/>
  <c r="H45" i="14"/>
  <c r="G29" i="13"/>
  <c r="H51" i="14"/>
  <c r="G30" i="13"/>
  <c r="H57" i="14"/>
  <c r="G31" i="13"/>
  <c r="H83" i="14"/>
  <c r="G32" i="13"/>
  <c r="H94" i="14"/>
  <c r="G33" i="13"/>
  <c r="H100" i="14"/>
  <c r="G34" i="13"/>
  <c r="H106" i="14"/>
  <c r="G35" i="13"/>
  <c r="H112" i="14"/>
  <c r="G36" i="13"/>
  <c r="H118" i="14"/>
  <c r="G37" i="13"/>
  <c r="H129" i="14"/>
  <c r="G38" i="13"/>
  <c r="H140" i="14"/>
  <c r="G39" i="13"/>
  <c r="H151" i="14"/>
  <c r="G40" i="13"/>
  <c r="H162" i="14"/>
  <c r="G41" i="13"/>
  <c r="H171" i="14"/>
  <c r="G42" i="13"/>
  <c r="H177" i="14"/>
  <c r="G43" i="13"/>
  <c r="H183" i="14"/>
  <c r="G44" i="13"/>
  <c r="H189" i="14"/>
  <c r="G45" i="13"/>
  <c r="H200" i="14"/>
  <c r="G46" i="13"/>
  <c r="H204" i="14"/>
  <c r="G47" i="13"/>
  <c r="H210" i="14"/>
  <c r="G48" i="13"/>
  <c r="H221" i="14"/>
  <c r="G50" i="2"/>
  <c r="F53" i="2"/>
  <c r="E50" i="2"/>
  <c r="D53" i="2"/>
  <c r="C50" i="2"/>
  <c r="B53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L7" i="12"/>
  <c r="L6" i="12"/>
  <c r="L10" i="12"/>
  <c r="L12" i="12"/>
  <c r="D6" i="15"/>
  <c r="L9" i="12"/>
  <c r="L8" i="12"/>
  <c r="K6" i="10"/>
  <c r="K7" i="10"/>
  <c r="K10" i="10"/>
  <c r="K11" i="10"/>
  <c r="K14" i="10"/>
  <c r="K15" i="10"/>
  <c r="K18" i="10"/>
  <c r="K19" i="10"/>
  <c r="K22" i="10"/>
  <c r="K23" i="10"/>
  <c r="K26" i="10"/>
  <c r="K27" i="10"/>
  <c r="K30" i="10"/>
  <c r="K31" i="10"/>
  <c r="K34" i="10"/>
  <c r="K35" i="10"/>
  <c r="K38" i="10"/>
  <c r="K39" i="10"/>
  <c r="K42" i="10"/>
  <c r="K43" i="10"/>
  <c r="K46" i="10"/>
  <c r="K47" i="10"/>
  <c r="K50" i="10"/>
  <c r="K51" i="10"/>
  <c r="K54" i="10"/>
  <c r="K55" i="10"/>
  <c r="K58" i="10"/>
  <c r="K59" i="10"/>
  <c r="K62" i="10"/>
  <c r="K63" i="10"/>
  <c r="K66" i="10"/>
  <c r="K67" i="10"/>
  <c r="K70" i="10"/>
  <c r="K71" i="10"/>
  <c r="K74" i="10"/>
  <c r="K75" i="10"/>
  <c r="K78" i="10"/>
  <c r="K79" i="10"/>
  <c r="K82" i="10"/>
  <c r="K83" i="10"/>
  <c r="K86" i="10"/>
  <c r="K87" i="10"/>
  <c r="K90" i="10"/>
  <c r="K91" i="10"/>
  <c r="K94" i="10"/>
  <c r="K95" i="10"/>
  <c r="L6" i="10"/>
  <c r="M6" i="10"/>
  <c r="L7" i="10"/>
  <c r="M7" i="10"/>
  <c r="L10" i="10"/>
  <c r="M10" i="10"/>
  <c r="L11" i="10"/>
  <c r="M11" i="10"/>
  <c r="L14" i="10"/>
  <c r="M14" i="10"/>
  <c r="L15" i="10"/>
  <c r="M15" i="10"/>
  <c r="L18" i="10"/>
  <c r="M18" i="10"/>
  <c r="L19" i="10"/>
  <c r="M19" i="10"/>
  <c r="L22" i="10"/>
  <c r="M22" i="10"/>
  <c r="L23" i="10"/>
  <c r="M23" i="10"/>
  <c r="L26" i="10"/>
  <c r="M26" i="10"/>
  <c r="L27" i="10"/>
  <c r="M27" i="10"/>
  <c r="L30" i="10"/>
  <c r="M30" i="10"/>
  <c r="L31" i="10"/>
  <c r="M31" i="10"/>
  <c r="L34" i="10"/>
  <c r="M34" i="10"/>
  <c r="L35" i="10"/>
  <c r="M35" i="10"/>
  <c r="L38" i="10"/>
  <c r="M38" i="10"/>
  <c r="L39" i="10"/>
  <c r="M39" i="10"/>
  <c r="L42" i="10"/>
  <c r="M42" i="10"/>
  <c r="L43" i="10"/>
  <c r="M43" i="10"/>
  <c r="L46" i="10"/>
  <c r="M46" i="10"/>
  <c r="L47" i="10"/>
  <c r="M47" i="10"/>
  <c r="L50" i="10"/>
  <c r="M50" i="10"/>
  <c r="L51" i="10"/>
  <c r="M51" i="10"/>
  <c r="L54" i="10"/>
  <c r="M54" i="10"/>
  <c r="L55" i="10"/>
  <c r="M55" i="10"/>
  <c r="L58" i="10"/>
  <c r="M58" i="10"/>
  <c r="L59" i="10"/>
  <c r="M59" i="10"/>
  <c r="L62" i="10"/>
  <c r="M62" i="10"/>
  <c r="L63" i="10"/>
  <c r="M63" i="10"/>
  <c r="L66" i="10"/>
  <c r="M66" i="10"/>
  <c r="L67" i="10"/>
  <c r="M67" i="10"/>
  <c r="L70" i="10"/>
  <c r="M70" i="10"/>
  <c r="L71" i="10"/>
  <c r="M71" i="10"/>
  <c r="L74" i="10"/>
  <c r="M74" i="10"/>
  <c r="L75" i="10"/>
  <c r="M75" i="10"/>
  <c r="L78" i="10"/>
  <c r="M78" i="10"/>
  <c r="L79" i="10"/>
  <c r="M79" i="10"/>
  <c r="L82" i="10"/>
  <c r="M82" i="10"/>
  <c r="L83" i="10"/>
  <c r="M83" i="10"/>
  <c r="L86" i="10"/>
  <c r="M86" i="10"/>
  <c r="L87" i="10"/>
  <c r="M87" i="10"/>
  <c r="L90" i="10"/>
  <c r="M90" i="10"/>
  <c r="L91" i="10"/>
  <c r="M91" i="10"/>
  <c r="L94" i="10"/>
  <c r="M94" i="10"/>
  <c r="L95" i="10"/>
  <c r="M95" i="10"/>
</calcChain>
</file>

<file path=xl/sharedStrings.xml><?xml version="1.0" encoding="utf-8"?>
<sst xmlns="http://schemas.openxmlformats.org/spreadsheetml/2006/main" count="15140" uniqueCount="1584">
  <si>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</si>
  <si>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</si>
  <si>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</si>
  <si>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</si>
  <si>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</si>
  <si>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</si>
  <si>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</si>
  <si>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</si>
  <si>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</si>
  <si>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</si>
  <si>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</si>
  <si>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</si>
  <si>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</si>
  <si>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</si>
  <si>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</si>
  <si>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</si>
  <si>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</si>
  <si>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</si>
  <si>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</si>
  <si>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</si>
  <si>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</si>
  <si>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</si>
  <si>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</si>
  <si>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</si>
  <si>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</si>
  <si>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</si>
  <si>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</si>
  <si>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</si>
  <si>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</si>
  <si>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</si>
  <si>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</si>
  <si>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</si>
  <si>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</si>
  <si>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</si>
  <si>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</si>
  <si>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</si>
  <si>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</si>
  <si>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</si>
  <si>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</si>
  <si>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</si>
  <si>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</si>
  <si>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</si>
  <si>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</si>
  <si>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</si>
  <si>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</si>
  <si>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</si>
  <si>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</si>
  <si>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</si>
  <si>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</si>
  <si>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</si>
  <si>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</si>
  <si>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</si>
  <si>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</si>
  <si>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</si>
  <si>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</si>
  <si>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</si>
  <si>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</si>
  <si>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</si>
  <si>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</si>
  <si>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</si>
  <si>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</si>
  <si>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</si>
  <si>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</si>
  <si>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</si>
  <si>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</si>
  <si>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</si>
  <si>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</si>
  <si>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</si>
  <si>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</si>
  <si>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</si>
  <si>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</si>
  <si>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</si>
  <si>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</si>
  <si>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</si>
  <si>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</si>
  <si>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</si>
  <si>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</si>
  <si>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</si>
  <si>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</si>
  <si>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</si>
  <si>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</si>
  <si>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</si>
  <si>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</si>
  <si>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</si>
  <si>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</si>
  <si>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</si>
  <si>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Glasbewassing</t>
  </si>
  <si>
    <t>Vloerensprecialist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</si>
  <si>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</si>
  <si>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</si>
  <si>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</si>
  <si>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</si>
  <si>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</si>
  <si>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</si>
  <si>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</si>
  <si>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</si>
  <si>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</si>
  <si>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</si>
  <si>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BCZB</t>
  </si>
  <si>
    <t xml:space="preserve">B    </t>
  </si>
  <si>
    <t>Belcel zachte vloer (basis)</t>
  </si>
  <si>
    <t>m²/uur</t>
  </si>
  <si>
    <t>BCZV</t>
  </si>
  <si>
    <t>Belcel zachte vloer (volledig)</t>
  </si>
  <si>
    <t>BKHB</t>
  </si>
  <si>
    <t>Kantoorruimte hard (basis)</t>
  </si>
  <si>
    <t>BKHV</t>
  </si>
  <si>
    <t>Kantoorruimte hard (volledig)</t>
  </si>
  <si>
    <t>BKZB</t>
  </si>
  <si>
    <t>Kantoorruimte zacht (basis)</t>
  </si>
  <si>
    <t>BKZV</t>
  </si>
  <si>
    <t>Kantoorruimte zacht (volledig)</t>
  </si>
  <si>
    <t>BRHB</t>
  </si>
  <si>
    <t>Receptie/ontvangst/wachtruimte - hard (basis)</t>
  </si>
  <si>
    <t>BRHV</t>
  </si>
  <si>
    <t>Receptie/ontvangst/wachtruimte - hard (volledig)</t>
  </si>
  <si>
    <t>BRZB</t>
  </si>
  <si>
    <t>Receptie/ontvangst/wachtruimte - zacht (basis)</t>
  </si>
  <si>
    <t>BRZV</t>
  </si>
  <si>
    <t>Receptie/ontvangst/wachtruimte -zacht (volledig)</t>
  </si>
  <si>
    <t>BVHB</t>
  </si>
  <si>
    <t>Spreek-/overleg-/vergaderruimte/studio hard (basis)</t>
  </si>
  <si>
    <t>Spreek-/overleg-/vergaderruimte/studio hard (volledig)</t>
  </si>
  <si>
    <t>BVZB</t>
  </si>
  <si>
    <t>Spreek-/overleg-/vergaderruimte/studio zacht (basis)</t>
  </si>
  <si>
    <t>BVZV</t>
  </si>
  <si>
    <t>Spreek-/overleg-/vergaderruimte/studio zacht (volledig)</t>
  </si>
  <si>
    <t>LLHB</t>
  </si>
  <si>
    <t>Leslokalen/studieruimte hard (basis)</t>
  </si>
  <si>
    <t>LLHV</t>
  </si>
  <si>
    <t>Leslokalen/studieruimte hard (volledig)</t>
  </si>
  <si>
    <t>LOHB</t>
  </si>
  <si>
    <t>Multifunctionele ruimte harde vloer (basis)</t>
  </si>
  <si>
    <t>LOHV</t>
  </si>
  <si>
    <t>Multifunctionele ruimte harde vloer (volledig)</t>
  </si>
  <si>
    <t>BBHB</t>
  </si>
  <si>
    <t xml:space="preserve">H    </t>
  </si>
  <si>
    <t>Behandel/onderzoeksruimte - hard (basis)</t>
  </si>
  <si>
    <t>BBZV</t>
  </si>
  <si>
    <t>Behandel/onderzoeksruimte - zacht (volledig)</t>
  </si>
  <si>
    <t>SDHB</t>
  </si>
  <si>
    <t xml:space="preserve">S    </t>
  </si>
  <si>
    <t>Doucheruimte hard (basis)</t>
  </si>
  <si>
    <t>SDHV</t>
  </si>
  <si>
    <t>Doucheruimte hard (volledig)</t>
  </si>
  <si>
    <t>SKHB</t>
  </si>
  <si>
    <t>Kleedruimte hard (basis)</t>
  </si>
  <si>
    <t>SKHV</t>
  </si>
  <si>
    <t>Kleedruimte hard (volledig)</t>
  </si>
  <si>
    <t>STHB</t>
  </si>
  <si>
    <t>Sanitaire ruimte/toiletten hard (basis)</t>
  </si>
  <si>
    <t>STHV</t>
  </si>
  <si>
    <t>Sanitaire ruimte/toiletten hard (volledig)</t>
  </si>
  <si>
    <t>SWHB</t>
  </si>
  <si>
    <t>Wasruimte hard (basis)</t>
  </si>
  <si>
    <t>SWHV</t>
  </si>
  <si>
    <t>Wasruimte hard (volledig)</t>
  </si>
  <si>
    <t>EAHB</t>
  </si>
  <si>
    <t xml:space="preserve">V    </t>
  </si>
  <si>
    <t>Werkplaats hard (verminder vloer) (basis)</t>
  </si>
  <si>
    <t>EAHV</t>
  </si>
  <si>
    <t>Werkplaats hard (verminder vloer) (volledig)</t>
  </si>
  <si>
    <t>ERHB</t>
  </si>
  <si>
    <t>Expositieruimte harde vloeren (basis)</t>
  </si>
  <si>
    <t>ERHV</t>
  </si>
  <si>
    <t>Expositieruimte harde vloeren (volledig)</t>
  </si>
  <si>
    <t>GFHB</t>
  </si>
  <si>
    <t>Fitness ruimte harde vloer (basis)</t>
  </si>
  <si>
    <t>GFHV</t>
  </si>
  <si>
    <t>Fitness ruimte harde vloer (volledig)</t>
  </si>
  <si>
    <t>GSHB</t>
  </si>
  <si>
    <t>Gymzaal/sportruimte/toestelberging harde vloer (basis)</t>
  </si>
  <si>
    <t>GSHV</t>
  </si>
  <si>
    <t>Gymzaal/sportruimte/toestelberging harde vloer (volledig)</t>
  </si>
  <si>
    <t>MAHB</t>
  </si>
  <si>
    <t>Magazijn/berg-/opslagruimte hard (basis)</t>
  </si>
  <si>
    <t>MAHV</t>
  </si>
  <si>
    <t>Magazijn/berg-/opslagruimte hard (volledig)</t>
  </si>
  <si>
    <t>RKHB</t>
  </si>
  <si>
    <t>keuken  hard (basis)</t>
  </si>
  <si>
    <t>RKHV</t>
  </si>
  <si>
    <t>keuken  hard (volledig)</t>
  </si>
  <si>
    <t>RPHB</t>
  </si>
  <si>
    <t>Pantry/koffiehoek  hard (basis)</t>
  </si>
  <si>
    <t>RPHV</t>
  </si>
  <si>
    <t>Pantry/koffiehoek hard (volledig)</t>
  </si>
  <si>
    <t>RRHB</t>
  </si>
  <si>
    <t>Restaurant/kantine/verblijfsruimte hard (basis)</t>
  </si>
  <si>
    <t>RRHV</t>
  </si>
  <si>
    <t>Restaurant/kantine/verblijfsruimte hard (volledig)</t>
  </si>
  <si>
    <t>RRZB</t>
  </si>
  <si>
    <t>Restaurant/kantine/verblijfsruimte zacht (basis)</t>
  </si>
  <si>
    <t>RRZV</t>
  </si>
  <si>
    <t>Restaurant/kantine/verblijfsruimte zacht (volledig)</t>
  </si>
  <si>
    <t>VAHB</t>
  </si>
  <si>
    <t>Verkeersruimte algemeen  hard (basis)</t>
  </si>
  <si>
    <t>VAHV</t>
  </si>
  <si>
    <t>Verkeersruimte algemeen hard (volledig)</t>
  </si>
  <si>
    <t>VAZB</t>
  </si>
  <si>
    <t>Verkeersruimte algemeen zacht (basis)</t>
  </si>
  <si>
    <t>VAZV</t>
  </si>
  <si>
    <t>Verkeersruimte algemeen zacht (volledig)</t>
  </si>
  <si>
    <t>VEHV</t>
  </si>
  <si>
    <t>Entree hard (volledig)</t>
  </si>
  <si>
    <t>VEZB</t>
  </si>
  <si>
    <t>Entree zachte vloeren (basis)</t>
  </si>
  <si>
    <t>VEZV</t>
  </si>
  <si>
    <t>Entree zachte vloeren (volledig)</t>
  </si>
  <si>
    <t>VLHB</t>
  </si>
  <si>
    <t>Lift hard (basis)</t>
  </si>
  <si>
    <t>VLHV</t>
  </si>
  <si>
    <t>Lift hard (volledig)</t>
  </si>
  <si>
    <t>VOHB</t>
  </si>
  <si>
    <t>Kopieer/printer-kluis-/locker/,garderoberuimten, reprografi (basis)</t>
  </si>
  <si>
    <t>VOHV</t>
  </si>
  <si>
    <t>Kopieer/printer-kluis-/locker/,garderoberuimten, reprografi (volledig)</t>
  </si>
  <si>
    <t>VOZB</t>
  </si>
  <si>
    <t>VOZV</t>
  </si>
  <si>
    <t>VSHB</t>
  </si>
  <si>
    <t>Slaapkamer harde vloer (basis)</t>
  </si>
  <si>
    <t>VSHV</t>
  </si>
  <si>
    <t>Slaapkamer harde vloer (volledig)</t>
  </si>
  <si>
    <t>VTHB</t>
  </si>
  <si>
    <t>Trappenhuis/trap hard (basis)</t>
  </si>
  <si>
    <t>VTHV</t>
  </si>
  <si>
    <t>Trappenhuis/tapr hard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</si>
  <si>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</si>
  <si>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</si>
  <si>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</si>
  <si>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</si>
  <si>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</si>
  <si>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</si>
  <si>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</si>
  <si>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</si>
  <si>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BBH</t>
  </si>
  <si>
    <t>interieur</t>
  </si>
  <si>
    <t>Behandel-/onderzsoeksruimte harde vloeren</t>
  </si>
  <si>
    <t>BCZ</t>
  </si>
  <si>
    <t>Belcel zachte vloer</t>
  </si>
  <si>
    <t>BKH</t>
  </si>
  <si>
    <t>Kantoorruimte harde vloer</t>
  </si>
  <si>
    <t>BKZ</t>
  </si>
  <si>
    <t>Kantoorruimte zachte vloer</t>
  </si>
  <si>
    <t>Kantoor/personeelsruimte zachte vloer</t>
  </si>
  <si>
    <t>BRH</t>
  </si>
  <si>
    <t>Receptie/ontvangst-/wachtruimte harde vloer</t>
  </si>
  <si>
    <t>BRZ</t>
  </si>
  <si>
    <t>Receptie/ontvangst-/wachtruimte zachte vloer</t>
  </si>
  <si>
    <t>BVH</t>
  </si>
  <si>
    <t>Spreek-/overleg-/vergaderruimte/studio harde vloer</t>
  </si>
  <si>
    <t>BVZ</t>
  </si>
  <si>
    <t>Spreek-/overleg-/vergaderruimte/studio zachte vloer</t>
  </si>
  <si>
    <t>EAH</t>
  </si>
  <si>
    <t>Werkplaats/remise harde vloer</t>
  </si>
  <si>
    <t>ERH</t>
  </si>
  <si>
    <t>Expositier ruimte harde vloer</t>
  </si>
  <si>
    <t>GFH</t>
  </si>
  <si>
    <t>Fitnessruimte harde vloer</t>
  </si>
  <si>
    <t>GSH</t>
  </si>
  <si>
    <t>Gymzaal/sportruimte/toestelberging harde vloer</t>
  </si>
  <si>
    <t>LLH</t>
  </si>
  <si>
    <t>Leslokaal/studieruimte hardev loer</t>
  </si>
  <si>
    <t>LOH</t>
  </si>
  <si>
    <t>Multifunctionele ruimte harde vloeren</t>
  </si>
  <si>
    <t>MAH</t>
  </si>
  <si>
    <t>Magazijn-/ berg-/opslagruimte harde vloer</t>
  </si>
  <si>
    <t>RKH</t>
  </si>
  <si>
    <t>Keuken harde vloer</t>
  </si>
  <si>
    <t>RPH</t>
  </si>
  <si>
    <t>Pantry/koffiehoek harde vloer</t>
  </si>
  <si>
    <t>RRH</t>
  </si>
  <si>
    <t>Restaurant/kantine/verblijfsruimte harde vloer</t>
  </si>
  <si>
    <t>RRHN</t>
  </si>
  <si>
    <t>RRZ</t>
  </si>
  <si>
    <t>Restaurant/kantine/verblijfsruimte zachte vloer</t>
  </si>
  <si>
    <t>SDH</t>
  </si>
  <si>
    <t>Douche/wasruimte harde vloer</t>
  </si>
  <si>
    <t>SKH</t>
  </si>
  <si>
    <t>Kleedruimte harde vloer</t>
  </si>
  <si>
    <t>STH</t>
  </si>
  <si>
    <t>Sanitaire ruimte/toiletten harde vloer</t>
  </si>
  <si>
    <t>SWH</t>
  </si>
  <si>
    <t>Wasruimte harde vloer</t>
  </si>
  <si>
    <t>VAH</t>
  </si>
  <si>
    <t>Verkeersruimte algemeen harde vloer</t>
  </si>
  <si>
    <t>VAZ</t>
  </si>
  <si>
    <t>Verkeersruimte algemeen zachte vloer</t>
  </si>
  <si>
    <t>VEH</t>
  </si>
  <si>
    <t>Entree harde vloer</t>
  </si>
  <si>
    <t>VEZ</t>
  </si>
  <si>
    <t>Entree zachte vloer</t>
  </si>
  <si>
    <t>VLH</t>
  </si>
  <si>
    <t>Lift harde vloer</t>
  </si>
  <si>
    <t>VOH</t>
  </si>
  <si>
    <t>Kopieer/printer ruimten, reprografie, garderoberuimten, kluisjesruimte</t>
  </si>
  <si>
    <t>VOZ</t>
  </si>
  <si>
    <t>VSH</t>
  </si>
  <si>
    <t>Slaapkamer harde vloeren</t>
  </si>
  <si>
    <t>VTH</t>
  </si>
  <si>
    <t>Trappenhuis harde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</si>
  <si>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</si>
  <si>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</si>
  <si>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</si>
  <si>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</si>
  <si>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</si>
  <si>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</si>
  <si>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</si>
  <si>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</si>
  <si>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</si>
  <si>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</si>
  <si>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</si>
  <si>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003 - Berghem, Kloosterweg 30, Berghem</t>
  </si>
  <si>
    <t>003</t>
  </si>
  <si>
    <t>00</t>
  </si>
  <si>
    <t>0.01</t>
  </si>
  <si>
    <t>Entree</t>
  </si>
  <si>
    <t>dght</t>
  </si>
  <si>
    <t>0.02</t>
  </si>
  <si>
    <t>Trap</t>
  </si>
  <si>
    <t>metaal</t>
  </si>
  <si>
    <t>0.03</t>
  </si>
  <si>
    <t>Hal</t>
  </si>
  <si>
    <t>0.04</t>
  </si>
  <si>
    <t>Kantoor</t>
  </si>
  <si>
    <t>0.05</t>
  </si>
  <si>
    <t>0.06</t>
  </si>
  <si>
    <t>Instructieruimte</t>
  </si>
  <si>
    <t>0.07</t>
  </si>
  <si>
    <t>Douche</t>
  </si>
  <si>
    <t>gietvloer</t>
  </si>
  <si>
    <t>0.08</t>
  </si>
  <si>
    <t>Heren toilet</t>
  </si>
  <si>
    <t>0.09</t>
  </si>
  <si>
    <t>Toilet</t>
  </si>
  <si>
    <t>0.10</t>
  </si>
  <si>
    <t>Entree achter</t>
  </si>
  <si>
    <t>0.11</t>
  </si>
  <si>
    <t>Kleedruimte</t>
  </si>
  <si>
    <t>0.12</t>
  </si>
  <si>
    <t>0.13</t>
  </si>
  <si>
    <t>Uitrukgarage</t>
  </si>
  <si>
    <t>0.14</t>
  </si>
  <si>
    <t>Werkplaats</t>
  </si>
  <si>
    <t>01</t>
  </si>
  <si>
    <t>1.01</t>
  </si>
  <si>
    <t>1.02</t>
  </si>
  <si>
    <t>Ontspanningsruimte</t>
  </si>
  <si>
    <t>pvc</t>
  </si>
  <si>
    <t>1.03</t>
  </si>
  <si>
    <t>Keuken</t>
  </si>
  <si>
    <t>1.04</t>
  </si>
  <si>
    <t>Magazijn</t>
  </si>
  <si>
    <t>N.I.O.</t>
  </si>
  <si>
    <t>1.05</t>
  </si>
  <si>
    <t>Berging</t>
  </si>
  <si>
    <t>1.06</t>
  </si>
  <si>
    <t>Totaal werkdag</t>
  </si>
  <si>
    <t>004 - Berlicum, Runweg 25, Berlicum</t>
  </si>
  <si>
    <t>004</t>
  </si>
  <si>
    <t>0.01a</t>
  </si>
  <si>
    <t>Garderobe</t>
  </si>
  <si>
    <t>linoleum</t>
  </si>
  <si>
    <t>Kleedruimte dames</t>
  </si>
  <si>
    <t>Kleedruimte heren</t>
  </si>
  <si>
    <t>Ov ruimte</t>
  </si>
  <si>
    <t>Miva</t>
  </si>
  <si>
    <t>Opslag</t>
  </si>
  <si>
    <t>Gang</t>
  </si>
  <si>
    <t>Compressor ruimte</t>
  </si>
  <si>
    <t>Ademlucht</t>
  </si>
  <si>
    <t>Garage</t>
  </si>
  <si>
    <t>Bevelvoerders ruimte</t>
  </si>
  <si>
    <t>0.15</t>
  </si>
  <si>
    <t>Uitrukkleedruimte</t>
  </si>
  <si>
    <t>Verblijfsruimte</t>
  </si>
  <si>
    <t>Pantry</t>
  </si>
  <si>
    <t>Gang/garderobe</t>
  </si>
  <si>
    <t>Dames toilet</t>
  </si>
  <si>
    <t>Instructieruimte/bar</t>
  </si>
  <si>
    <t>1.07</t>
  </si>
  <si>
    <t>Werkkast</t>
  </si>
  <si>
    <t>005 - Boekel, De Vlonder 64, Boekel</t>
  </si>
  <si>
    <t>005</t>
  </si>
  <si>
    <t>Lift</t>
  </si>
  <si>
    <t>Hoofdtrappenhuis</t>
  </si>
  <si>
    <t>beton</t>
  </si>
  <si>
    <t>Technische dienst</t>
  </si>
  <si>
    <t>tapijt</t>
  </si>
  <si>
    <t>Kantoor commandant</t>
  </si>
  <si>
    <t>Toilet/douche</t>
  </si>
  <si>
    <t>hout</t>
  </si>
  <si>
    <t>0.16</t>
  </si>
  <si>
    <t>0.17</t>
  </si>
  <si>
    <t>0.18</t>
  </si>
  <si>
    <t>0.19</t>
  </si>
  <si>
    <t>0.20</t>
  </si>
  <si>
    <t>Onderhoudsruimte</t>
  </si>
  <si>
    <t>0.21</t>
  </si>
  <si>
    <t>0.21a</t>
  </si>
  <si>
    <t>0.22</t>
  </si>
  <si>
    <t>Onderhoud/berging</t>
  </si>
  <si>
    <t>0.23</t>
  </si>
  <si>
    <t>Droogruimte</t>
  </si>
  <si>
    <t>Bar</t>
  </si>
  <si>
    <t>Instructielokaal</t>
  </si>
  <si>
    <t>1.08</t>
  </si>
  <si>
    <t>1.09</t>
  </si>
  <si>
    <t>1.10</t>
  </si>
  <si>
    <t>1.11</t>
  </si>
  <si>
    <t>1.12</t>
  </si>
  <si>
    <t>Vergaderruimte</t>
  </si>
  <si>
    <t>1.20a</t>
  </si>
  <si>
    <t>1.20b</t>
  </si>
  <si>
    <t>Fitness</t>
  </si>
  <si>
    <t>rubber</t>
  </si>
  <si>
    <t>006 - Boxmeer, Frans Hals straat 2, Boxmeer</t>
  </si>
  <si>
    <t>006</t>
  </si>
  <si>
    <t>ENTREE</t>
  </si>
  <si>
    <t>TRAP</t>
  </si>
  <si>
    <t>GANG</t>
  </si>
  <si>
    <t>FITNESRUIMTE</t>
  </si>
  <si>
    <t>KANTOOR</t>
  </si>
  <si>
    <t>laminaat</t>
  </si>
  <si>
    <t>GARAGE</t>
  </si>
  <si>
    <t>gecoat beton</t>
  </si>
  <si>
    <t>VERKEERSRUIMTE</t>
  </si>
  <si>
    <t>KLEEDKAMER D</t>
  </si>
  <si>
    <t>tegel</t>
  </si>
  <si>
    <t>DOUCHES H</t>
  </si>
  <si>
    <t>KLEEDKAMER H</t>
  </si>
  <si>
    <t>MIVA TOILET</t>
  </si>
  <si>
    <t>ADEMLUCHTRUIM</t>
  </si>
  <si>
    <t>WERKPLAATS</t>
  </si>
  <si>
    <t>LIFT</t>
  </si>
  <si>
    <t>OPSLAG</t>
  </si>
  <si>
    <t>WASSTRAAT</t>
  </si>
  <si>
    <t>0.9</t>
  </si>
  <si>
    <t>TECHNISCHE R</t>
  </si>
  <si>
    <t>BERGING</t>
  </si>
  <si>
    <t>KANTINE</t>
  </si>
  <si>
    <t>VERGADER R</t>
  </si>
  <si>
    <t>TRAPPENHUIS</t>
  </si>
  <si>
    <t>TOILET H</t>
  </si>
  <si>
    <t>tegels</t>
  </si>
  <si>
    <t>TOILET D</t>
  </si>
  <si>
    <t>007 - Boxtel, Brederode weg 25, Boxtel</t>
  </si>
  <si>
    <t>007</t>
  </si>
  <si>
    <t>Bureaukamer</t>
  </si>
  <si>
    <t>Damestoilet</t>
  </si>
  <si>
    <t>Wasruimte heren</t>
  </si>
  <si>
    <t>Wasruimte dames</t>
  </si>
  <si>
    <t>Hal achteringang</t>
  </si>
  <si>
    <t>Klein magazijn</t>
  </si>
  <si>
    <t>Bar/vereniging</t>
  </si>
  <si>
    <t>Pantry/bar</t>
  </si>
  <si>
    <t>008 - Cuijk, Gildekamp 11, Cuijk</t>
  </si>
  <si>
    <t>008</t>
  </si>
  <si>
    <t>WENTELTRAP</t>
  </si>
  <si>
    <t>WASRUIMTE</t>
  </si>
  <si>
    <t>DOUCHES</t>
  </si>
  <si>
    <t>KLEEDRUIMTE</t>
  </si>
  <si>
    <t>linoleum/mat</t>
  </si>
  <si>
    <t>COMPRESSOR R</t>
  </si>
  <si>
    <t>ADEMLUCHT R</t>
  </si>
  <si>
    <t>TRAP GARAGE</t>
  </si>
  <si>
    <t>VIDE</t>
  </si>
  <si>
    <t>BERGING VIDE</t>
  </si>
  <si>
    <t>KEUKEN</t>
  </si>
  <si>
    <t>1.03A</t>
  </si>
  <si>
    <t>BERGRUIMTE</t>
  </si>
  <si>
    <t>VERGADERRUIM</t>
  </si>
  <si>
    <t>TRAPHUIS</t>
  </si>
  <si>
    <t>012 - Geffen, Groenstraat 19, Geffen</t>
  </si>
  <si>
    <t>012</t>
  </si>
  <si>
    <t>Uitrukhal</t>
  </si>
  <si>
    <t>Wasruimte/berging</t>
  </si>
  <si>
    <t>Ademlucht ruimte</t>
  </si>
  <si>
    <t>Heren kleedruimte</t>
  </si>
  <si>
    <t>Heren wasruimte</t>
  </si>
  <si>
    <t>Heren doucheruimte</t>
  </si>
  <si>
    <t>Dames kleedruimte</t>
  </si>
  <si>
    <t>Dames doucheruimte</t>
  </si>
  <si>
    <t>Vc ruimte</t>
  </si>
  <si>
    <t>Technische ruimte</t>
  </si>
  <si>
    <t>Miva toilet</t>
  </si>
  <si>
    <t>Meterkast</t>
  </si>
  <si>
    <t>0.24</t>
  </si>
  <si>
    <t>0.25</t>
  </si>
  <si>
    <t>Heren  toilet</t>
  </si>
  <si>
    <t>0.26</t>
  </si>
  <si>
    <t>0.27</t>
  </si>
  <si>
    <t>0.28</t>
  </si>
  <si>
    <t>hout/traanplaat</t>
  </si>
  <si>
    <t>Traphal</t>
  </si>
  <si>
    <t>Kantoor commadant</t>
  </si>
  <si>
    <t>Entresol uitrukhal</t>
  </si>
  <si>
    <t>013 - Grave, Stoofweg 5, Grave</t>
  </si>
  <si>
    <t>013</t>
  </si>
  <si>
    <t>KLEEDRUIMTE H</t>
  </si>
  <si>
    <t>URINIORS</t>
  </si>
  <si>
    <t>KLEEDRUIMTE D</t>
  </si>
  <si>
    <t>DOUCHES D</t>
  </si>
  <si>
    <t>0.15A</t>
  </si>
  <si>
    <t>ADEMRUIMTE</t>
  </si>
  <si>
    <t>KLUIZEN R</t>
  </si>
  <si>
    <t>MAGAZIJN</t>
  </si>
  <si>
    <t>UITRUKRUIMTE</t>
  </si>
  <si>
    <t>VERGADERRUIMTE</t>
  </si>
  <si>
    <t>lino</t>
  </si>
  <si>
    <t>OVERLOOP</t>
  </si>
  <si>
    <t>015 - Haps, Oeffeltseweg 9, Haps</t>
  </si>
  <si>
    <t>015</t>
  </si>
  <si>
    <t>0.02A</t>
  </si>
  <si>
    <t>mat</t>
  </si>
  <si>
    <t>DOUCHE</t>
  </si>
  <si>
    <t>DOUCHE H</t>
  </si>
  <si>
    <t>GARDEROBBE</t>
  </si>
  <si>
    <t>INSTRUCTIE R</t>
  </si>
  <si>
    <t>017 - Heesch, De la Sallestraat 1, Heesch</t>
  </si>
  <si>
    <t>017</t>
  </si>
  <si>
    <t>Instructie/ontmoetingsruimte</t>
  </si>
  <si>
    <t>0.03a</t>
  </si>
  <si>
    <t>Bijkeuken</t>
  </si>
  <si>
    <t>dhgt</t>
  </si>
  <si>
    <t>Heren douche</t>
  </si>
  <si>
    <t>018 - Heeswijk-Dinther, Jonker Speelmanstraat 8a, Heeswijk-Dinther</t>
  </si>
  <si>
    <t>018</t>
  </si>
  <si>
    <t>00.01</t>
  </si>
  <si>
    <t>00.02</t>
  </si>
  <si>
    <t>00.03</t>
  </si>
  <si>
    <t>00.04</t>
  </si>
  <si>
    <t>00.05</t>
  </si>
  <si>
    <t>Hellingbaan</t>
  </si>
  <si>
    <t>00.06</t>
  </si>
  <si>
    <t>00.07</t>
  </si>
  <si>
    <t>00.08</t>
  </si>
  <si>
    <t>00.09</t>
  </si>
  <si>
    <t>00.10</t>
  </si>
  <si>
    <t>00.11</t>
  </si>
  <si>
    <t>00.12</t>
  </si>
  <si>
    <t>01.01</t>
  </si>
  <si>
    <t>01.02</t>
  </si>
  <si>
    <t>01.03</t>
  </si>
  <si>
    <t>01.04</t>
  </si>
  <si>
    <t>01.05</t>
  </si>
  <si>
    <t>Instructie/ontspanningsruimte</t>
  </si>
  <si>
    <t>01.06</t>
  </si>
  <si>
    <t>01.07</t>
  </si>
  <si>
    <t>019 - Helvoirt, Stationsweg 2, Helvoirt</t>
  </si>
  <si>
    <t>019</t>
  </si>
  <si>
    <t>Overlegruimte</t>
  </si>
  <si>
    <t>Toilet heren</t>
  </si>
  <si>
    <t>Voorraadkast</t>
  </si>
  <si>
    <t>Remise/garage</t>
  </si>
  <si>
    <t>Werkplaats/magazijn</t>
  </si>
  <si>
    <t>Meldkamer</t>
  </si>
  <si>
    <t>020 - 's-Hertogenbosch, Vogelstraat 45, 's-Hertogenbosch</t>
  </si>
  <si>
    <t>020</t>
  </si>
  <si>
    <t>Receptie</t>
  </si>
  <si>
    <t>Trappenhuis</t>
  </si>
  <si>
    <t>Verkeersruimte</t>
  </si>
  <si>
    <t>Aanlandwerkplekken</t>
  </si>
  <si>
    <t>Toilet dames</t>
  </si>
  <si>
    <t>Copy</t>
  </si>
  <si>
    <t>Kantoor bevelvoerders</t>
  </si>
  <si>
    <t>Kantoor instructeurs</t>
  </si>
  <si>
    <t>Ontspanningsruimte VG</t>
  </si>
  <si>
    <t>Kantoor VG</t>
  </si>
  <si>
    <t>Omkleedruimte</t>
  </si>
  <si>
    <t>Remise uitrukgarage</t>
  </si>
  <si>
    <t>0.16a</t>
  </si>
  <si>
    <t>Wo-2 uitrukgarage</t>
  </si>
  <si>
    <t>Technisch ruimte</t>
  </si>
  <si>
    <t>Opslag repressie</t>
  </si>
  <si>
    <t>Restaurant</t>
  </si>
  <si>
    <t>Keuken/spoelkeuken</t>
  </si>
  <si>
    <t>Magazijn keuken</t>
  </si>
  <si>
    <t>Toiletten heren</t>
  </si>
  <si>
    <t>Voorruimte toiletten</t>
  </si>
  <si>
    <t>Toiletten dames</t>
  </si>
  <si>
    <t>0.29</t>
  </si>
  <si>
    <t>0.30</t>
  </si>
  <si>
    <t>0.31</t>
  </si>
  <si>
    <t>Lockerruimte</t>
  </si>
  <si>
    <t>0.32</t>
  </si>
  <si>
    <t>0.32a</t>
  </si>
  <si>
    <t>Douche heren</t>
  </si>
  <si>
    <t>0.33</t>
  </si>
  <si>
    <t>Toiletten</t>
  </si>
  <si>
    <t>0.33a</t>
  </si>
  <si>
    <t>Douches</t>
  </si>
  <si>
    <t>0.34</t>
  </si>
  <si>
    <t>Sportzaal</t>
  </si>
  <si>
    <t>pulastic</t>
  </si>
  <si>
    <t>0.35</t>
  </si>
  <si>
    <t>Berging sport</t>
  </si>
  <si>
    <t>0.36</t>
  </si>
  <si>
    <t>Fitness ruimte</t>
  </si>
  <si>
    <t>rubber/linoleum</t>
  </si>
  <si>
    <t>0.38</t>
  </si>
  <si>
    <t>0.39</t>
  </si>
  <si>
    <t>0.39a</t>
  </si>
  <si>
    <t>0.40</t>
  </si>
  <si>
    <t>0.41</t>
  </si>
  <si>
    <t>0.42</t>
  </si>
  <si>
    <t>Vergaderzaal kasteel</t>
  </si>
  <si>
    <t>0.43</t>
  </si>
  <si>
    <t>Vergaderzaal vesting</t>
  </si>
  <si>
    <t>0.44</t>
  </si>
  <si>
    <t>Vergaderzaal sluis</t>
  </si>
  <si>
    <t>0.45</t>
  </si>
  <si>
    <t>Vergaderzaal duinen</t>
  </si>
  <si>
    <t>0.46</t>
  </si>
  <si>
    <t>Vergaderzaal maas</t>
  </si>
  <si>
    <t>0.47</t>
  </si>
  <si>
    <t>Vergaderzaal kathadraal</t>
  </si>
  <si>
    <t>0.48a</t>
  </si>
  <si>
    <t>0.48b</t>
  </si>
  <si>
    <t>0.50</t>
  </si>
  <si>
    <t>Kantoorruimte OV</t>
  </si>
  <si>
    <t>0.51</t>
  </si>
  <si>
    <t>Kantoor/werkplaats</t>
  </si>
  <si>
    <t>0.52</t>
  </si>
  <si>
    <t>0.53</t>
  </si>
  <si>
    <t>Ehbo</t>
  </si>
  <si>
    <t>0.54</t>
  </si>
  <si>
    <t>Testruimte n4</t>
  </si>
  <si>
    <t>0.55</t>
  </si>
  <si>
    <t>Testruimte n3</t>
  </si>
  <si>
    <t>0.56</t>
  </si>
  <si>
    <t>Reparatie uitgifte</t>
  </si>
  <si>
    <t>0.57</t>
  </si>
  <si>
    <t>Vuilruimte</t>
  </si>
  <si>
    <t>0.58a</t>
  </si>
  <si>
    <t>Droogruimte vuil</t>
  </si>
  <si>
    <t>0.58b</t>
  </si>
  <si>
    <t>Droogruimte schoon</t>
  </si>
  <si>
    <t>0.60</t>
  </si>
  <si>
    <t>Uitgasruimte</t>
  </si>
  <si>
    <t>0.61</t>
  </si>
  <si>
    <t>Kortdurend opslag</t>
  </si>
  <si>
    <t>0.62</t>
  </si>
  <si>
    <t>Ser</t>
  </si>
  <si>
    <t>0.63</t>
  </si>
  <si>
    <t>Logistiek/klikoruimte</t>
  </si>
  <si>
    <t>0.64</t>
  </si>
  <si>
    <t>Expeditie in/uit</t>
  </si>
  <si>
    <t>0.65</t>
  </si>
  <si>
    <t>Magazijn LG</t>
  </si>
  <si>
    <t>0.66</t>
  </si>
  <si>
    <t>0.67</t>
  </si>
  <si>
    <t>0.67b</t>
  </si>
  <si>
    <t>0.67c</t>
  </si>
  <si>
    <t>0.68</t>
  </si>
  <si>
    <t>0.69</t>
  </si>
  <si>
    <t>Houtwerkplaats</t>
  </si>
  <si>
    <t>0.70</t>
  </si>
  <si>
    <t>Autowasplaats</t>
  </si>
  <si>
    <t>0.70a</t>
  </si>
  <si>
    <t>Hogedrukreiniger</t>
  </si>
  <si>
    <t>0.71</t>
  </si>
  <si>
    <t>Opslagruimte repressie</t>
  </si>
  <si>
    <t>0.72</t>
  </si>
  <si>
    <t>Garage werkplaats</t>
  </si>
  <si>
    <t>0.73</t>
  </si>
  <si>
    <t>Werkplaats kleine voertuigen</t>
  </si>
  <si>
    <t>0.74</t>
  </si>
  <si>
    <t>Garage Werkplaats</t>
  </si>
  <si>
    <t>0.75</t>
  </si>
  <si>
    <t>Testruimte Hydro</t>
  </si>
  <si>
    <t>0.76</t>
  </si>
  <si>
    <t>0.76a</t>
  </si>
  <si>
    <t>0.77</t>
  </si>
  <si>
    <t>Algemene werkplaats</t>
  </si>
  <si>
    <t>0.78</t>
  </si>
  <si>
    <t>0.79</t>
  </si>
  <si>
    <t>Testruimte elektra</t>
  </si>
  <si>
    <t>01.46</t>
  </si>
  <si>
    <t>Opslagruimte</t>
  </si>
  <si>
    <t>01.47</t>
  </si>
  <si>
    <t>Grijpvoorraad</t>
  </si>
  <si>
    <t>01.48</t>
  </si>
  <si>
    <t>Sanitaire ruimte</t>
  </si>
  <si>
    <t>Linnenkamer</t>
  </si>
  <si>
    <t>Slaapkamer 1</t>
  </si>
  <si>
    <t>Slaapkamer 2</t>
  </si>
  <si>
    <t>Slaapkamer 3</t>
  </si>
  <si>
    <t>Slaapkamer 4</t>
  </si>
  <si>
    <t>Slaapkamer 5</t>
  </si>
  <si>
    <t>Slaapkamer 6</t>
  </si>
  <si>
    <t>Slaapkamer 7</t>
  </si>
  <si>
    <t>1.13</t>
  </si>
  <si>
    <t>Slaapkamer 8</t>
  </si>
  <si>
    <t>1.15</t>
  </si>
  <si>
    <t>Vide</t>
  </si>
  <si>
    <t>1.16</t>
  </si>
  <si>
    <t>Woonkamer</t>
  </si>
  <si>
    <t>1.17</t>
  </si>
  <si>
    <t>1.20</t>
  </si>
  <si>
    <t>Toiletruimte</t>
  </si>
  <si>
    <t>1.21a</t>
  </si>
  <si>
    <t>1.21b</t>
  </si>
  <si>
    <t>1.22</t>
  </si>
  <si>
    <t>VR ruimte 01</t>
  </si>
  <si>
    <t>1.23</t>
  </si>
  <si>
    <t>VR reg 01</t>
  </si>
  <si>
    <t>1.24</t>
  </si>
  <si>
    <t>VR reg 02</t>
  </si>
  <si>
    <t>1.25</t>
  </si>
  <si>
    <t>VR ruimte 02</t>
  </si>
  <si>
    <t>1.26</t>
  </si>
  <si>
    <t>Open werkruimte</t>
  </si>
  <si>
    <t>1.27</t>
  </si>
  <si>
    <t>Werkruimte</t>
  </si>
  <si>
    <t>1.28</t>
  </si>
  <si>
    <t>1.29</t>
  </si>
  <si>
    <t>1.30</t>
  </si>
  <si>
    <t>Ontmoetingsruimte</t>
  </si>
  <si>
    <t>1.30a</t>
  </si>
  <si>
    <t>1.31</t>
  </si>
  <si>
    <t>Concentratieruimte</t>
  </si>
  <si>
    <t>1.32</t>
  </si>
  <si>
    <t>Belruimte</t>
  </si>
  <si>
    <t>1.33</t>
  </si>
  <si>
    <t>1.34</t>
  </si>
  <si>
    <t>1.35</t>
  </si>
  <si>
    <t>1.36</t>
  </si>
  <si>
    <t>1.37</t>
  </si>
  <si>
    <t>1.38</t>
  </si>
  <si>
    <t>1.39</t>
  </si>
  <si>
    <t>1.39a</t>
  </si>
  <si>
    <t>1.40</t>
  </si>
  <si>
    <t>1.41</t>
  </si>
  <si>
    <t>1.42</t>
  </si>
  <si>
    <t>Compressorruimte</t>
  </si>
  <si>
    <t>1.43</t>
  </si>
  <si>
    <t>Magazijn Lockerruimte</t>
  </si>
  <si>
    <t>1.44</t>
  </si>
  <si>
    <t>Magazijn pbm</t>
  </si>
  <si>
    <t>1.44a</t>
  </si>
  <si>
    <t>1.45</t>
  </si>
  <si>
    <t>1.76</t>
  </si>
  <si>
    <t>1.77</t>
  </si>
  <si>
    <t>Wachtruimte</t>
  </si>
  <si>
    <t>02</t>
  </si>
  <si>
    <t>2.01</t>
  </si>
  <si>
    <t>2.02</t>
  </si>
  <si>
    <t>2.03</t>
  </si>
  <si>
    <t>2.04</t>
  </si>
  <si>
    <t>2.06</t>
  </si>
  <si>
    <t>Slaapkamer 14</t>
  </si>
  <si>
    <t>2.07</t>
  </si>
  <si>
    <t>Slaapkamer 15</t>
  </si>
  <si>
    <t>2.08</t>
  </si>
  <si>
    <t>Slaapkamer 16</t>
  </si>
  <si>
    <t>2.09</t>
  </si>
  <si>
    <t>Slaapkamer 17</t>
  </si>
  <si>
    <t>2.10</t>
  </si>
  <si>
    <t>Slaapkamer 18</t>
  </si>
  <si>
    <t>2.11</t>
  </si>
  <si>
    <t>Slaapkamer 19</t>
  </si>
  <si>
    <t>2.12</t>
  </si>
  <si>
    <t>Slaapkamer 20</t>
  </si>
  <si>
    <t>2.13</t>
  </si>
  <si>
    <t>Slaapkamer 21</t>
  </si>
  <si>
    <t>2.14</t>
  </si>
  <si>
    <t>Douche toiletruimte</t>
  </si>
  <si>
    <t>2.15</t>
  </si>
  <si>
    <t>2.16</t>
  </si>
  <si>
    <t>2.17</t>
  </si>
  <si>
    <t>2.18</t>
  </si>
  <si>
    <t>2.19</t>
  </si>
  <si>
    <t>2.19a</t>
  </si>
  <si>
    <t>2.20</t>
  </si>
  <si>
    <t>2.21</t>
  </si>
  <si>
    <t>2.21a</t>
  </si>
  <si>
    <t>2.22</t>
  </si>
  <si>
    <t>2.23</t>
  </si>
  <si>
    <t>2.24</t>
  </si>
  <si>
    <t>2.25</t>
  </si>
  <si>
    <t>2.26</t>
  </si>
  <si>
    <t>2.27</t>
  </si>
  <si>
    <t>2.28</t>
  </si>
  <si>
    <t>Rustruimte</t>
  </si>
  <si>
    <t>2.29a</t>
  </si>
  <si>
    <t>2.30</t>
  </si>
  <si>
    <t>Magazijn schoonmaak</t>
  </si>
  <si>
    <t>2.31</t>
  </si>
  <si>
    <t>2.32</t>
  </si>
  <si>
    <t>2.34</t>
  </si>
  <si>
    <t>2.35</t>
  </si>
  <si>
    <t>2.36</t>
  </si>
  <si>
    <t>2.37</t>
  </si>
  <si>
    <t>2.38</t>
  </si>
  <si>
    <t>2.39</t>
  </si>
  <si>
    <t>2.40</t>
  </si>
  <si>
    <t>2.40a</t>
  </si>
  <si>
    <t>2.41</t>
  </si>
  <si>
    <t>2.42</t>
  </si>
  <si>
    <t>2.43</t>
  </si>
  <si>
    <t>2.44</t>
  </si>
  <si>
    <t>2.45</t>
  </si>
  <si>
    <t>2.46</t>
  </si>
  <si>
    <t>2.47</t>
  </si>
  <si>
    <t>Copyruimte</t>
  </si>
  <si>
    <t>2.48</t>
  </si>
  <si>
    <t>2.49</t>
  </si>
  <si>
    <t>2.50</t>
  </si>
  <si>
    <t>2.51</t>
  </si>
  <si>
    <t>2.52</t>
  </si>
  <si>
    <t>2.53</t>
  </si>
  <si>
    <t>Voorportaal</t>
  </si>
  <si>
    <t>2.55</t>
  </si>
  <si>
    <t>PPMO testleiders</t>
  </si>
  <si>
    <t>2.56</t>
  </si>
  <si>
    <t>PPMO arts</t>
  </si>
  <si>
    <t>2.57</t>
  </si>
  <si>
    <t>PPMO assistent arts</t>
  </si>
  <si>
    <t>2.58</t>
  </si>
  <si>
    <t>Aanmeetruimte</t>
  </si>
  <si>
    <t>2.59</t>
  </si>
  <si>
    <t>2.60</t>
  </si>
  <si>
    <t>2.61</t>
  </si>
  <si>
    <t>2.62</t>
  </si>
  <si>
    <t>2.63</t>
  </si>
  <si>
    <t>2.64</t>
  </si>
  <si>
    <t>2.65</t>
  </si>
  <si>
    <t>2.66</t>
  </si>
  <si>
    <t>Douche dames</t>
  </si>
  <si>
    <t>2.67</t>
  </si>
  <si>
    <t>2.68</t>
  </si>
  <si>
    <t>2.69</t>
  </si>
  <si>
    <t>PPMO testbaan</t>
  </si>
  <si>
    <t>2.76</t>
  </si>
  <si>
    <t>03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</si>
  <si>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</si>
  <si>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</si>
  <si>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</si>
  <si>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</si>
  <si>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</si>
  <si>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</si>
  <si>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</si>
  <si>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</si>
  <si>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</si>
  <si>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</si>
  <si>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</si>
  <si>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</si>
  <si>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</si>
  <si>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</si>
  <si>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3.15</t>
  </si>
  <si>
    <t>3.16</t>
  </si>
  <si>
    <t>3.39</t>
  </si>
  <si>
    <t>3.39a</t>
  </si>
  <si>
    <t>04</t>
  </si>
  <si>
    <t>4.01</t>
  </si>
  <si>
    <t>4.02</t>
  </si>
  <si>
    <t>4.03</t>
  </si>
  <si>
    <t>4.04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</si>
  <si>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</si>
  <si>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</si>
  <si>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</si>
  <si>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</si>
  <si>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</si>
  <si>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</si>
  <si>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</si>
  <si>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</si>
  <si>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</si>
  <si>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4.39</t>
  </si>
  <si>
    <t>Tore</t>
  </si>
  <si>
    <t>00.20</t>
  </si>
  <si>
    <t>Toren basis</t>
  </si>
  <si>
    <t>beton/metaal</t>
  </si>
  <si>
    <t>01.20</t>
  </si>
  <si>
    <t>022 - Liempde, Oude Postbaan 10, Liempde</t>
  </si>
  <si>
    <t>022</t>
  </si>
  <si>
    <t>Dameskleedruimte</t>
  </si>
  <si>
    <t>douche</t>
  </si>
  <si>
    <t>0.03b</t>
  </si>
  <si>
    <t>toilet</t>
  </si>
  <si>
    <t>Herenkleedruimte</t>
  </si>
  <si>
    <t>0.04a</t>
  </si>
  <si>
    <t>0.04b</t>
  </si>
  <si>
    <t>Kantine</t>
  </si>
  <si>
    <t>0.06a</t>
  </si>
  <si>
    <t>Uitrukruimte</t>
  </si>
  <si>
    <t>023 - Lith, Dr. Wiegersmastraat 9a, Lith</t>
  </si>
  <si>
    <t>023</t>
  </si>
  <si>
    <t>H Toilet</t>
  </si>
  <si>
    <t>1.14</t>
  </si>
  <si>
    <t>Entresol</t>
  </si>
  <si>
    <t>024 - Rosmalen, Burgemeester Mazairaclaan 131, Rosmalen</t>
  </si>
  <si>
    <t>024</t>
  </si>
  <si>
    <t>0.02a</t>
  </si>
  <si>
    <t>Post commadant</t>
  </si>
  <si>
    <t>Vrijwillenshome</t>
  </si>
  <si>
    <t>Werkplekken</t>
  </si>
  <si>
    <t>Uitrukgarderobe</t>
  </si>
  <si>
    <t>Dienst entree</t>
  </si>
  <si>
    <t>Overloop</t>
  </si>
  <si>
    <t>Spreekkamer</t>
  </si>
  <si>
    <t>Flexplekken</t>
  </si>
  <si>
    <t>Grote spreekkamer</t>
  </si>
  <si>
    <t>025 - Megen, Torenstraat 4, Megen</t>
  </si>
  <si>
    <t>025</t>
  </si>
  <si>
    <t>ringmat</t>
  </si>
  <si>
    <t>leisteen</t>
  </si>
  <si>
    <t>Instructie/ontmoetingruimte</t>
  </si>
  <si>
    <t>026 - Mill, Jochemsweg 2, Mill</t>
  </si>
  <si>
    <t>026</t>
  </si>
  <si>
    <t>HAL</t>
  </si>
  <si>
    <t>TOILET</t>
  </si>
  <si>
    <t>027 - Nistelrode, Heescheweg 37, Nistelrode</t>
  </si>
  <si>
    <t>027</t>
  </si>
  <si>
    <t>Entreehal</t>
  </si>
  <si>
    <t>0.01Aa</t>
  </si>
  <si>
    <t>schoonlooopmat</t>
  </si>
  <si>
    <t>Uitrukgaderobe</t>
  </si>
  <si>
    <t>Gezamelijke kleedruimte</t>
  </si>
  <si>
    <t>Gezamelijke douche</t>
  </si>
  <si>
    <t>0.11a</t>
  </si>
  <si>
    <t>beton/coating</t>
  </si>
  <si>
    <t>Was/opslag</t>
  </si>
  <si>
    <t>Toilet/wasruimte</t>
  </si>
  <si>
    <t>Berging schoonmaak</t>
  </si>
  <si>
    <t>Kantoortuin</t>
  </si>
  <si>
    <t>01.08</t>
  </si>
  <si>
    <t>Bar/kantine</t>
  </si>
  <si>
    <t>01.09</t>
  </si>
  <si>
    <t>01.10</t>
  </si>
  <si>
    <t>Opsag keuken</t>
  </si>
  <si>
    <t>01.11</t>
  </si>
  <si>
    <t>kantoor</t>
  </si>
  <si>
    <t>028 - Wanroij, Peelstraat 2c, Wanroij</t>
  </si>
  <si>
    <t>028</t>
  </si>
  <si>
    <t>DOUCH</t>
  </si>
  <si>
    <t>029 - Oeffelt, Hapseweg 12a, Haps</t>
  </si>
  <si>
    <t>029</t>
  </si>
  <si>
    <t>0.1</t>
  </si>
  <si>
    <t>0.2</t>
  </si>
  <si>
    <t>0.3</t>
  </si>
  <si>
    <t>0.4</t>
  </si>
  <si>
    <t>0.5</t>
  </si>
  <si>
    <t>0.6</t>
  </si>
  <si>
    <t>0.7</t>
  </si>
  <si>
    <t>0.8</t>
  </si>
  <si>
    <t>WERKKAST</t>
  </si>
  <si>
    <t>030 - Sint Anthonis, Breestraat 1a, Sint Anthonis</t>
  </si>
  <si>
    <t>030</t>
  </si>
  <si>
    <t>0.09as</t>
  </si>
  <si>
    <t>032 - Ravenstein, Veersingel 2, Ravenstein</t>
  </si>
  <si>
    <t>032</t>
  </si>
  <si>
    <t>Tochtportaal</t>
  </si>
  <si>
    <t>Commandant alarmcentrale</t>
  </si>
  <si>
    <t>sure step</t>
  </si>
  <si>
    <t>D kleedruimte</t>
  </si>
  <si>
    <t>D douche</t>
  </si>
  <si>
    <t>Arbeidshygiene</t>
  </si>
  <si>
    <t>Werkplaats en oefenmateriaal</t>
  </si>
  <si>
    <t>beton coating</t>
  </si>
  <si>
    <t>Techniek/server</t>
  </si>
  <si>
    <t>Voorraad</t>
  </si>
  <si>
    <t>033 - Zeeland, Voederheil 14a &amp; 14b, Zeeland</t>
  </si>
  <si>
    <t>033</t>
  </si>
  <si>
    <t>0,17a</t>
  </si>
  <si>
    <t>Hoofd entree</t>
  </si>
  <si>
    <t>schoonloopmat</t>
  </si>
  <si>
    <t>Stalling TS</t>
  </si>
  <si>
    <t>Stalling DA</t>
  </si>
  <si>
    <t>Stalling  HA+WTS</t>
  </si>
  <si>
    <t>Stalling DPA</t>
  </si>
  <si>
    <t>Hygienesluis</t>
  </si>
  <si>
    <t>keramische tegelvloer</t>
  </si>
  <si>
    <t>Extra kleedruimte</t>
  </si>
  <si>
    <t>Toiletten H+D</t>
  </si>
  <si>
    <t>Omkleedruimte uitrukkleding</t>
  </si>
  <si>
    <t>Extra ruimte /lockers</t>
  </si>
  <si>
    <t>Museum</t>
  </si>
  <si>
    <t>0.15a</t>
  </si>
  <si>
    <t>Werkkast en garderobe</t>
  </si>
  <si>
    <t>Patchruimte</t>
  </si>
  <si>
    <t>Hal centraal</t>
  </si>
  <si>
    <t>0.17b</t>
  </si>
  <si>
    <t>Hal post zeeland</t>
  </si>
  <si>
    <t>Gang algemeen</t>
  </si>
  <si>
    <t>0.20a</t>
  </si>
  <si>
    <t>Gang ademlucht</t>
  </si>
  <si>
    <t>Portaal uitgasruimte</t>
  </si>
  <si>
    <t>0.22a</t>
  </si>
  <si>
    <t>Reparatiekamer</t>
  </si>
  <si>
    <t>Testruimte</t>
  </si>
  <si>
    <t>Kortdurig opslag</t>
  </si>
  <si>
    <t>Droogkamer</t>
  </si>
  <si>
    <t>Reinigkamer</t>
  </si>
  <si>
    <t>0.30a</t>
  </si>
  <si>
    <t>Reingkamer</t>
  </si>
  <si>
    <t>Vulruimte</t>
  </si>
  <si>
    <t>Centraal Magazijn</t>
  </si>
  <si>
    <t>0.37</t>
  </si>
  <si>
    <t>Personen lift</t>
  </si>
  <si>
    <t>0.37a</t>
  </si>
  <si>
    <t>Lifthal</t>
  </si>
  <si>
    <t>Centrale inpakruimte</t>
  </si>
  <si>
    <t>Expeditie in /uit</t>
  </si>
  <si>
    <t>Combinatiewerkplaats</t>
  </si>
  <si>
    <t>Slangenwasruimte</t>
  </si>
  <si>
    <t>EHBO-ruimte</t>
  </si>
  <si>
    <t>Toiet dames</t>
  </si>
  <si>
    <t>0.48</t>
  </si>
  <si>
    <t>0.49</t>
  </si>
  <si>
    <t>Garage werkplaats 1</t>
  </si>
  <si>
    <t>Garage werkplaats 2</t>
  </si>
  <si>
    <t>0.58</t>
  </si>
  <si>
    <t>Theorielokaal</t>
  </si>
  <si>
    <t>Nabespreekruimte</t>
  </si>
  <si>
    <t>Keuken/berging</t>
  </si>
  <si>
    <t>Toiletten H</t>
  </si>
  <si>
    <t>Toiletten D</t>
  </si>
  <si>
    <t>Gang verbindingszone</t>
  </si>
  <si>
    <t>Gang post zeeland</t>
  </si>
  <si>
    <t>Miva toiet</t>
  </si>
  <si>
    <t>1.16a</t>
  </si>
  <si>
    <t>1.16b</t>
  </si>
  <si>
    <t>Keuken/aanlandplek</t>
  </si>
  <si>
    <t>1.17a</t>
  </si>
  <si>
    <t>Voorraad keuken</t>
  </si>
  <si>
    <t>1.17b</t>
  </si>
  <si>
    <t>1.18</t>
  </si>
  <si>
    <t>1.19</t>
  </si>
  <si>
    <t>1.21</t>
  </si>
  <si>
    <t>1.26a</t>
  </si>
  <si>
    <t>1.26b</t>
  </si>
  <si>
    <t>Telefooncel</t>
  </si>
  <si>
    <t>1.26c</t>
  </si>
  <si>
    <t>1.26d</t>
  </si>
  <si>
    <t>1.26e</t>
  </si>
  <si>
    <t>1.27a</t>
  </si>
  <si>
    <t>1.27b</t>
  </si>
  <si>
    <t>1.28a</t>
  </si>
  <si>
    <t>1.28b</t>
  </si>
  <si>
    <t>1.29a</t>
  </si>
  <si>
    <t>Teamwerkplek 1</t>
  </si>
  <si>
    <t>1.29b</t>
  </si>
  <si>
    <t>Teamwerkplek 2</t>
  </si>
  <si>
    <t>Printerruimte</t>
  </si>
  <si>
    <t>Arbo-ruimte</t>
  </si>
  <si>
    <t>1.32a</t>
  </si>
  <si>
    <t>1.32b</t>
  </si>
  <si>
    <t>gietvloer/beton</t>
  </si>
  <si>
    <t>1.34a</t>
  </si>
  <si>
    <t>Concentratie werkplek</t>
  </si>
  <si>
    <t>1.34b</t>
  </si>
  <si>
    <t>1.34c</t>
  </si>
  <si>
    <t>Bandenopslag</t>
  </si>
  <si>
    <t>Buit</t>
  </si>
  <si>
    <t>Patio</t>
  </si>
  <si>
    <t>stoeptegel</t>
  </si>
  <si>
    <t>034 - Schaijk, Schutsboomstraat 94, Schaijk</t>
  </si>
  <si>
    <t>034</t>
  </si>
  <si>
    <t>DOUCH H</t>
  </si>
  <si>
    <t>glad beton</t>
  </si>
  <si>
    <t>VIRITUELE R</t>
  </si>
  <si>
    <t>?</t>
  </si>
  <si>
    <t>035 - Schijndel, Kerkendijk 57, Schijndel</t>
  </si>
  <si>
    <t>035</t>
  </si>
  <si>
    <t>Entree/hal</t>
  </si>
  <si>
    <t>Postcommandant</t>
  </si>
  <si>
    <t>Administratie</t>
  </si>
  <si>
    <t>Archief</t>
  </si>
  <si>
    <t>Risicobeheersing</t>
  </si>
  <si>
    <t>Dameskleedkamer</t>
  </si>
  <si>
    <t>CV Ruimte</t>
  </si>
  <si>
    <t>Hal Zij-ingang</t>
  </si>
  <si>
    <t>Repro</t>
  </si>
  <si>
    <t>MIVA</t>
  </si>
  <si>
    <t>Herenkleedkamer</t>
  </si>
  <si>
    <t>Ademluchtruimte</t>
  </si>
  <si>
    <t>ijzer</t>
  </si>
  <si>
    <t>Kantine/huiskamer</t>
  </si>
  <si>
    <t>1.02a</t>
  </si>
  <si>
    <t>Proviandruimte</t>
  </si>
  <si>
    <t>polyurethaan</t>
  </si>
  <si>
    <t>1.11/1.12</t>
  </si>
  <si>
    <t>036 - Sint-Michielsgestel, Schijndelseweg 38b, Sint-Michielsgestel</t>
  </si>
  <si>
    <t>036</t>
  </si>
  <si>
    <t>Post/flexplek</t>
  </si>
  <si>
    <t>Flexplek</t>
  </si>
  <si>
    <t>Pantry/copy</t>
  </si>
  <si>
    <t>Meldkamer/flexplek</t>
  </si>
  <si>
    <t>Hal zij entree</t>
  </si>
  <si>
    <t>0.12a</t>
  </si>
  <si>
    <t>0.15b</t>
  </si>
  <si>
    <t>0.16b</t>
  </si>
  <si>
    <t>Ademlucht schoon</t>
  </si>
  <si>
    <t>Ademlucht vuil</t>
  </si>
  <si>
    <t>Wasstraat</t>
  </si>
  <si>
    <t>Rokersruimte</t>
  </si>
  <si>
    <t>Herentoilet</t>
  </si>
  <si>
    <t>Wekkast</t>
  </si>
  <si>
    <t>TD</t>
  </si>
  <si>
    <t>Gang/halletje</t>
  </si>
  <si>
    <t>037 - Sint-Oedenrode, Van Rijckevorsel van Kessellaan 1, Sint-Oedenrode</t>
  </si>
  <si>
    <t>037</t>
  </si>
  <si>
    <t>CV ketel</t>
  </si>
  <si>
    <t>Kleedkamer Dames</t>
  </si>
  <si>
    <t>Kleedkamer Heren</t>
  </si>
  <si>
    <t>Spoelgang</t>
  </si>
  <si>
    <t>Remise/uitrukgarage</t>
  </si>
  <si>
    <t>038 - Uden, Udenseweg 3, Uden</t>
  </si>
  <si>
    <t>038</t>
  </si>
  <si>
    <t>Entree/gang</t>
  </si>
  <si>
    <t>Copy/repro</t>
  </si>
  <si>
    <t>Oude Ladderwagen</t>
  </si>
  <si>
    <t>Techniek/opslag</t>
  </si>
  <si>
    <t>Commandant</t>
  </si>
  <si>
    <t>Magazijn smo</t>
  </si>
  <si>
    <t>werkplaats</t>
  </si>
  <si>
    <t>Keuken/opslag</t>
  </si>
  <si>
    <t>039 - Veghel, Stadhuisplein 2, Veghel</t>
  </si>
  <si>
    <t>039</t>
  </si>
  <si>
    <t>Boiler/patchruimte</t>
  </si>
  <si>
    <t>Dames kleedkamer</t>
  </si>
  <si>
    <t>Heren kleedkamer</t>
  </si>
  <si>
    <t>Calamiteitenruimte</t>
  </si>
  <si>
    <t>Zij entree</t>
  </si>
  <si>
    <t>Opslag/ketel</t>
  </si>
  <si>
    <t>Instructieruimte/Huiskamer</t>
  </si>
  <si>
    <t>040 - Vierlingsbeek, Molenweg 8c, Vierlingsbeek</t>
  </si>
  <si>
    <t>040</t>
  </si>
  <si>
    <t>UITRUK RUIMTE</t>
  </si>
  <si>
    <t>041 - Erp, Ottenstraat 2, Erp</t>
  </si>
  <si>
    <t>041</t>
  </si>
  <si>
    <t>Bureaukaner</t>
  </si>
  <si>
    <t>Kantine/bar</t>
  </si>
  <si>
    <t>TD ruimte</t>
  </si>
  <si>
    <t>Zolder</t>
  </si>
  <si>
    <t>042 - (vervallen) Vught, Kettingweg 7a, Vught</t>
  </si>
  <si>
    <t>042</t>
  </si>
  <si>
    <t>Washok</t>
  </si>
  <si>
    <t>0.06A</t>
  </si>
  <si>
    <t>Magazijn/opslag</t>
  </si>
  <si>
    <t>Uitrukkleding</t>
  </si>
  <si>
    <t>0.10a</t>
  </si>
  <si>
    <t>lockers</t>
  </si>
  <si>
    <t>0.10b</t>
  </si>
  <si>
    <t>containers</t>
  </si>
  <si>
    <t>Fietsenhok</t>
  </si>
  <si>
    <t>Kleding magazijn</t>
  </si>
  <si>
    <t>Opslag + washok</t>
  </si>
  <si>
    <t>Uitrukkleding heren</t>
  </si>
  <si>
    <t>0.17a</t>
  </si>
  <si>
    <t>toilet heren</t>
  </si>
  <si>
    <t>0.18a</t>
  </si>
  <si>
    <t>0.18b</t>
  </si>
  <si>
    <t>Kantine/woonkamer</t>
  </si>
  <si>
    <t>043 - Vlijmen, Burgemeester Zwaansweg 2a, Vlijmen</t>
  </si>
  <si>
    <t>043</t>
  </si>
  <si>
    <t>Entree hal</t>
  </si>
  <si>
    <t>Opslag td</t>
  </si>
  <si>
    <t>Remis/garage</t>
  </si>
  <si>
    <t>Jeugd brandweer</t>
  </si>
  <si>
    <t>Compres ruimte</t>
  </si>
  <si>
    <t>Dames/heren toilet</t>
  </si>
  <si>
    <t>Gezamelijke rust ruimte</t>
  </si>
  <si>
    <t>044 - Heusden, Garnizoenstraat 2, Heusden</t>
  </si>
  <si>
    <t>044</t>
  </si>
  <si>
    <t>Heren toiet</t>
  </si>
  <si>
    <t>Bar/pantry</t>
  </si>
  <si>
    <t>046 - Cromvoirt, Sint Lambertusstraat 36a, Cromvoirt</t>
  </si>
  <si>
    <t>046</t>
  </si>
  <si>
    <t>Remise</t>
  </si>
  <si>
    <t>Postkamer</t>
  </si>
  <si>
    <t>Opslag materiaal</t>
  </si>
  <si>
    <t>Dames douche</t>
  </si>
  <si>
    <t>Vrijwillegers ruimte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</si>
  <si>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</si>
  <si>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</si>
  <si>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</si>
  <si>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</si>
  <si>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</si>
  <si>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</si>
  <si>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</si>
  <si>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 003</t>
  </si>
  <si>
    <t xml:space="preserve">     004</t>
  </si>
  <si>
    <t xml:space="preserve">     005</t>
  </si>
  <si>
    <t xml:space="preserve">     006</t>
  </si>
  <si>
    <t xml:space="preserve">     007</t>
  </si>
  <si>
    <t xml:space="preserve">     008</t>
  </si>
  <si>
    <t xml:space="preserve">     012</t>
  </si>
  <si>
    <t xml:space="preserve">     013</t>
  </si>
  <si>
    <t xml:space="preserve">     015</t>
  </si>
  <si>
    <t xml:space="preserve">     017</t>
  </si>
  <si>
    <t xml:space="preserve">     018</t>
  </si>
  <si>
    <t xml:space="preserve">     019</t>
  </si>
  <si>
    <t xml:space="preserve">     020</t>
  </si>
  <si>
    <t xml:space="preserve">     022</t>
  </si>
  <si>
    <t xml:space="preserve">     023</t>
  </si>
  <si>
    <t xml:space="preserve">     024</t>
  </si>
  <si>
    <t xml:space="preserve">     025</t>
  </si>
  <si>
    <t xml:space="preserve">     026</t>
  </si>
  <si>
    <t xml:space="preserve">     027</t>
  </si>
  <si>
    <t xml:space="preserve">     028</t>
  </si>
  <si>
    <t xml:space="preserve">     029</t>
  </si>
  <si>
    <t xml:space="preserve">     030</t>
  </si>
  <si>
    <t xml:space="preserve">     032</t>
  </si>
  <si>
    <t xml:space="preserve">     033</t>
  </si>
  <si>
    <t xml:space="preserve">     034</t>
  </si>
  <si>
    <t xml:space="preserve">     035</t>
  </si>
  <si>
    <t xml:space="preserve">     036</t>
  </si>
  <si>
    <t xml:space="preserve">     037</t>
  </si>
  <si>
    <t xml:space="preserve">     038</t>
  </si>
  <si>
    <t xml:space="preserve">     039</t>
  </si>
  <si>
    <t xml:space="preserve">     040</t>
  </si>
  <si>
    <t xml:space="preserve">     041</t>
  </si>
  <si>
    <t xml:space="preserve">     042</t>
  </si>
  <si>
    <t xml:space="preserve">     043</t>
  </si>
  <si>
    <t xml:space="preserve">     044</t>
  </si>
  <si>
    <t xml:space="preserve">     046</t>
  </si>
  <si>
    <t>werkdag</t>
  </si>
  <si>
    <t>NAAM</t>
  </si>
  <si>
    <t>ADRES</t>
  </si>
  <si>
    <t>PLAATS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</si>
  <si>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</si>
  <si>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</si>
  <si>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</si>
  <si>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</si>
  <si>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</si>
  <si>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</si>
  <si>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</si>
  <si>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MAAND (EURO)</t>
  </si>
  <si>
    <t>Berghem</t>
  </si>
  <si>
    <t>Kloosterweg 30</t>
  </si>
  <si>
    <t>Berlicum</t>
  </si>
  <si>
    <t>Runweg 25</t>
  </si>
  <si>
    <t>Boekel</t>
  </si>
  <si>
    <t>De Vlonder 64</t>
  </si>
  <si>
    <t>Boxmeer</t>
  </si>
  <si>
    <t>Frans Hals straat 2</t>
  </si>
  <si>
    <t>Boxtel</t>
  </si>
  <si>
    <t>Brederode weg 25</t>
  </si>
  <si>
    <t>Cuijk</t>
  </si>
  <si>
    <t>Gildekamp 11</t>
  </si>
  <si>
    <t>Geffen</t>
  </si>
  <si>
    <t>Groenstraat 19</t>
  </si>
  <si>
    <t>Grave</t>
  </si>
  <si>
    <t>Stoofweg 5</t>
  </si>
  <si>
    <t>Haps</t>
  </si>
  <si>
    <t>Oeffeltseweg 9</t>
  </si>
  <si>
    <t>Heesch</t>
  </si>
  <si>
    <t>De la Sallestraat 1</t>
  </si>
  <si>
    <t>Heeswijk-Dinther</t>
  </si>
  <si>
    <t>Jonker Speelmanstraat 8a</t>
  </si>
  <si>
    <t>Helvoirt</t>
  </si>
  <si>
    <t>Stationsweg 2</t>
  </si>
  <si>
    <t>s-Hertogenbosch</t>
  </si>
  <si>
    <t>Vogelstraat 45</t>
  </si>
  <si>
    <t>Liempde</t>
  </si>
  <si>
    <t>Oude Postbaan 10</t>
  </si>
  <si>
    <t>Lith</t>
  </si>
  <si>
    <t>Dr. Wiegersmastraat 9a</t>
  </si>
  <si>
    <t>Rosmalen</t>
  </si>
  <si>
    <t>Burgemeester Mazairaclaan 131</t>
  </si>
  <si>
    <t>Megen</t>
  </si>
  <si>
    <t>Torenstraat 4</t>
  </si>
  <si>
    <t>Mill</t>
  </si>
  <si>
    <t>Jochemsweg 2</t>
  </si>
  <si>
    <t>Nistelrode</t>
  </si>
  <si>
    <t>Heescheweg 37</t>
  </si>
  <si>
    <t>Wanroij</t>
  </si>
  <si>
    <t>Peelstraat 2c</t>
  </si>
  <si>
    <t>Oeffelt</t>
  </si>
  <si>
    <t>Hapseweg 12a</t>
  </si>
  <si>
    <t>Sint Anthonis</t>
  </si>
  <si>
    <t>Breestraat 1a</t>
  </si>
  <si>
    <t>Ravenstein</t>
  </si>
  <si>
    <t>Veersingel 2</t>
  </si>
  <si>
    <t>Zeeland</t>
  </si>
  <si>
    <t>Voederheil 14a &amp; 14b</t>
  </si>
  <si>
    <t>Schaijk</t>
  </si>
  <si>
    <t>Schutsboomstraat 94</t>
  </si>
  <si>
    <t>Schijndel</t>
  </si>
  <si>
    <t>Kerkendijk 57</t>
  </si>
  <si>
    <t>Sint-Michielsgestel</t>
  </si>
  <si>
    <t>Schijndelseweg 38b</t>
  </si>
  <si>
    <t>Sint-Oedenrode</t>
  </si>
  <si>
    <t>Van Rijckevorsel van Kessellaan 1</t>
  </si>
  <si>
    <t>Uden</t>
  </si>
  <si>
    <t>Udenseweg 3</t>
  </si>
  <si>
    <t>Veghel</t>
  </si>
  <si>
    <t>Stadhuisplein 2</t>
  </si>
  <si>
    <t>Vierlingsbeek</t>
  </si>
  <si>
    <t>Molenweg 8c</t>
  </si>
  <si>
    <t>Erp</t>
  </si>
  <si>
    <t>Ottenstraat 2</t>
  </si>
  <si>
    <t>(vervallen) Vught</t>
  </si>
  <si>
    <t>Kettingweg 7a</t>
  </si>
  <si>
    <t>Vught</t>
  </si>
  <si>
    <t>Vlijmen</t>
  </si>
  <si>
    <t>Burgemeester Zwaansweg 2a</t>
  </si>
  <si>
    <t>Heusden</t>
  </si>
  <si>
    <t>Garnizoenstraat 2</t>
  </si>
  <si>
    <t>Cromvoirt</t>
  </si>
  <si>
    <t>Sint Lambertusstraat 36a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</si>
  <si>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</si>
  <si>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</si>
  <si>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</si>
  <si>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</si>
  <si>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</si>
  <si>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</si>
  <si>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</si>
  <si>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</si>
  <si>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</si>
  <si>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</si>
  <si>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</si>
  <si>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</si>
  <si>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</si>
  <si>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</si>
  <si>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</si>
  <si>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</si>
  <si>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Totaal 005 - Boekel, De Vlonder 64, Boekel</t>
  </si>
  <si>
    <t>Totaal 006 - Boxmeer, Frans Hals straat 2, Boxmeer</t>
  </si>
  <si>
    <t>Totaal 007 - Boxtel, Brederode weg 25, Boxtel</t>
  </si>
  <si>
    <t>Totaal 008 - Cuijk, Gildekamp 11, Cuijk</t>
  </si>
  <si>
    <t>Totaal 013 - Grave, Stoofweg 5, Grave</t>
  </si>
  <si>
    <t>Totaal 015 - Haps, Oeffeltseweg 9, Haps</t>
  </si>
  <si>
    <t>Totaal 017 - Heesch, De la Sallestraat 1, Heesch</t>
  </si>
  <si>
    <t>Totaal 018 - Heeswijk-Dinther, Jonker Speelmanstraat 8a, Heeswijk-Dinther</t>
  </si>
  <si>
    <t>Totaal 019 - Helvoirt, Stationsweg 2, Helvoirt</t>
  </si>
  <si>
    <t>Totaal 020 - 's-Hertogenbosch, Vogelstraat 45, 's-Hertogenbosch</t>
  </si>
  <si>
    <t>Totaal 022 - Liempde, Oude Postbaan 10, Liempde</t>
  </si>
  <si>
    <t>Totaal 025 - Megen, Torenstraat 4, Megen</t>
  </si>
  <si>
    <t>Totaal 026 - Mill, Jochemsweg 2, Mill</t>
  </si>
  <si>
    <t>Totaal 027 - Nistelrode, Heescheweg 37, Nistelrode</t>
  </si>
  <si>
    <t>Totaal 028 - Wanroij, Peelstraat 2c, Wanroij</t>
  </si>
  <si>
    <t>Totaal 034 - Schaijk, Schutsboomstraat 94, Schaijk</t>
  </si>
  <si>
    <t>Totaal 036 - Sint-Michielsgestel, Schijndelseweg 38b, Sint-Michielsgestel</t>
  </si>
  <si>
    <t>Totaal 037 - Sint-Oedenrode, Van Rijckevorsel van Kessellaan 1, Sint-Oedenrode</t>
  </si>
  <si>
    <t>Totaal 039 - Veghel, Stadhuisplein 2, Veghel</t>
  </si>
  <si>
    <t>Totaal 041 - Erp, Ottenstraat 2, Erp</t>
  </si>
  <si>
    <t>Totaal 042 - (vervallen) Vught, Kettingweg 7a, Vught</t>
  </si>
  <si>
    <t>Totaal 043 - Vlijmen, Burgemeester Zwaansweg 2a, Vlijmen</t>
  </si>
  <si>
    <t>Totaal 046 - Cromvoirt, Sint Lambertusstraat 36a, Cromvoirt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</si>
  <si>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</si>
  <si>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</si>
  <si>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</si>
  <si>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</si>
  <si>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</si>
  <si>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</si>
  <si>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</si>
  <si>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</si>
  <si>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</si>
  <si>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</si>
  <si>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</si>
  <si>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</si>
  <si>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</si>
  <si>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</si>
  <si>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</si>
  <si>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</si>
  <si>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</si>
  <si>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</si>
  <si>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</si>
  <si>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</si>
  <si>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</si>
  <si>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</si>
  <si>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</si>
  <si>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</si>
  <si>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</si>
  <si>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</si>
  <si>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</si>
  <si>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</si>
  <si>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</si>
  <si>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</si>
  <si>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</si>
  <si>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</si>
  <si>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</si>
  <si>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</si>
  <si>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</si>
  <si>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</si>
  <si>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</si>
  <si>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</si>
  <si>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</si>
  <si>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</si>
  <si>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</si>
  <si>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</si>
  <si>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</si>
  <si>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</si>
  <si>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</si>
  <si>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</si>
  <si>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</si>
  <si>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</si>
  <si>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</si>
  <si>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</si>
  <si>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</si>
  <si>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</si>
  <si>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</si>
  <si>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</si>
  <si>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</si>
  <si>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</si>
  <si>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</si>
  <si>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</si>
  <si>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</si>
  <si>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</si>
  <si>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</si>
  <si>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</si>
  <si>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</si>
  <si>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</si>
  <si>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</si>
  <si>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</si>
  <si>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</si>
  <si>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</si>
  <si>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</si>
  <si>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</si>
  <si>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</si>
  <si>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</si>
  <si>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</si>
  <si>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</si>
  <si>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</si>
  <si>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</si>
  <si>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</si>
  <si>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</si>
  <si>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</si>
  <si>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</si>
  <si>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</si>
  <si>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</si>
  <si>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</si>
  <si>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</si>
  <si>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</si>
  <si>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</si>
  <si>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</si>
  <si>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</si>
  <si>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</si>
  <si>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</si>
  <si>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</si>
  <si>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</si>
  <si>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</si>
  <si>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</si>
  <si>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</si>
  <si>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</si>
  <si>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</si>
  <si>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</si>
  <si>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</si>
  <si>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</si>
  <si>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</si>
  <si>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</si>
  <si>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</si>
  <si>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</si>
  <si>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</si>
  <si>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</si>
  <si>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</si>
  <si>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</si>
  <si>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</si>
  <si>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</si>
  <si>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</si>
  <si>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</si>
  <si>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</si>
  <si>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</si>
  <si>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</si>
  <si>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</si>
  <si>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</si>
  <si>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</si>
  <si>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</si>
  <si>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</si>
  <si>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</si>
  <si>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</si>
  <si>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</si>
  <si>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</si>
  <si>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</si>
  <si>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</si>
  <si>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</si>
  <si>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</si>
  <si>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</si>
  <si>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</si>
  <si>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</si>
  <si>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</si>
  <si>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</si>
  <si>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</si>
  <si>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</si>
  <si>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</si>
  <si>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</si>
  <si>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</si>
  <si>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</si>
  <si>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</si>
  <si>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</si>
  <si>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</si>
  <si>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Dakglas buitenzijde</t>
  </si>
  <si>
    <t>8040</t>
  </si>
  <si>
    <t>Dakglas binnenzijde</t>
  </si>
  <si>
    <t>8050</t>
  </si>
  <si>
    <t>Dakkoepels buitenzijde</t>
  </si>
  <si>
    <t>8060</t>
  </si>
  <si>
    <t>Dakkoepels binnenzijde</t>
  </si>
  <si>
    <t>8070</t>
  </si>
  <si>
    <t>Balustarade glas buiten dubbelzijdig</t>
  </si>
  <si>
    <t>8071</t>
  </si>
  <si>
    <t>Balustarade glas binnen dubbelzijdig</t>
  </si>
  <si>
    <t>8080</t>
  </si>
  <si>
    <t>Reinigen lamellen/zonwering</t>
  </si>
  <si>
    <t>8090</t>
  </si>
  <si>
    <t>Reinigen boeiborden, gevelbeplating</t>
  </si>
  <si>
    <t>8100</t>
  </si>
  <si>
    <t>Inzet hoogwerker Den Bosch</t>
  </si>
  <si>
    <t>totaalprijs</t>
  </si>
  <si>
    <t>8101</t>
  </si>
  <si>
    <t>Inzet hoogwerker voor binnen Den Bosch</t>
  </si>
  <si>
    <t>8110</t>
  </si>
  <si>
    <t>Inzet hoogwerker Zeeland</t>
  </si>
  <si>
    <t>8120</t>
  </si>
  <si>
    <t>Inzet hoogwerker St Michelgestel</t>
  </si>
  <si>
    <t>8201</t>
  </si>
  <si>
    <t>Inzet tuckerpole Berlicum</t>
  </si>
  <si>
    <t>8202</t>
  </si>
  <si>
    <t>Inzet tuckerpole Boekel</t>
  </si>
  <si>
    <t>8203</t>
  </si>
  <si>
    <t>Inzet tuckerpole Boxmeer</t>
  </si>
  <si>
    <t>8204</t>
  </si>
  <si>
    <t>Inzet tuckerpole Boxtel</t>
  </si>
  <si>
    <t>8205</t>
  </si>
  <si>
    <t>Inzet tuckerpole Cuijk</t>
  </si>
  <si>
    <t>8206</t>
  </si>
  <si>
    <t>Inzet tuckerpole Geffen</t>
  </si>
  <si>
    <t>8207</t>
  </si>
  <si>
    <t>Inzet tuckerpole Grave</t>
  </si>
  <si>
    <t>8208</t>
  </si>
  <si>
    <t>Inzet tuckerpole Haps</t>
  </si>
  <si>
    <t>8212</t>
  </si>
  <si>
    <t>Inzet tuckerpole s-Hertogenbosch</t>
  </si>
  <si>
    <t>8214</t>
  </si>
  <si>
    <t>Inzet tuckerpole Lith</t>
  </si>
  <si>
    <t>8215</t>
  </si>
  <si>
    <t>Inzet tuckerpole Rosmalen</t>
  </si>
  <si>
    <t>8216</t>
  </si>
  <si>
    <t>Inzet tuckerpole Megen</t>
  </si>
  <si>
    <t>8217</t>
  </si>
  <si>
    <t>Inzet tuckerpole Mill</t>
  </si>
  <si>
    <t>8218</t>
  </si>
  <si>
    <t>Inzet tuckerpole Nistelrode</t>
  </si>
  <si>
    <t>8220</t>
  </si>
  <si>
    <t>Inzet tuckerpole Oeffelt</t>
  </si>
  <si>
    <t>8223</t>
  </si>
  <si>
    <t>Inzet tuckerpole Ravenstein</t>
  </si>
  <si>
    <t>8224</t>
  </si>
  <si>
    <t>Inzet tuckerpole Zeeland</t>
  </si>
  <si>
    <t>8226</t>
  </si>
  <si>
    <t>Inzet tuckerpole Schijndel</t>
  </si>
  <si>
    <t>8227</t>
  </si>
  <si>
    <t>Inzet tuckerpole Sint-Michielsgestel</t>
  </si>
  <si>
    <t>8228</t>
  </si>
  <si>
    <t>Inzet tuckerpole Sint-Oedenrode</t>
  </si>
  <si>
    <t>8229</t>
  </si>
  <si>
    <t>Inzet tuckerpole Uden</t>
  </si>
  <si>
    <t>8230</t>
  </si>
  <si>
    <t>Inzet tuckerpole Veghel</t>
  </si>
  <si>
    <t>8232</t>
  </si>
  <si>
    <t>Inzet tuckerpole Erp</t>
  </si>
  <si>
    <t>8233</t>
  </si>
  <si>
    <t>Inzet tuckerpole Vught</t>
  </si>
  <si>
    <t>8234</t>
  </si>
  <si>
    <t>Inzet tuckerpole Vlijmen</t>
  </si>
  <si>
    <t>8237</t>
  </si>
  <si>
    <t>Inzet tuckerpole Cromvoirt</t>
  </si>
  <si>
    <t>Totaal glas excl. BTW</t>
  </si>
  <si>
    <t>Totaal 003 - Berghem, Kloosterweg 30, Berghem</t>
  </si>
  <si>
    <t>Totaal 004 - Berlicum, Runweg 25, Berlicum</t>
  </si>
  <si>
    <t>Totaal 012 - Geffen, Groenstraat 19, Geffen</t>
  </si>
  <si>
    <t>Totaal 023 - Lith, Dr. Wiegersmastraat 9a, Lith</t>
  </si>
  <si>
    <t>Totaal 024 - Rosmalen, Burgemeester Mazairaclaan 131, Rosmalen</t>
  </si>
  <si>
    <t>Totaal 029 - Oeffelt, Hapseweg 12a, Haps</t>
  </si>
  <si>
    <t>Totaal 030 - Sint Anthonis, Breestraat 1a, Sint Anthonis</t>
  </si>
  <si>
    <t>Totaal 032 - Ravenstein, Veersingel 2, Ravenstein</t>
  </si>
  <si>
    <t>Totaal 033 - Zeeland, Voederheil 14a &amp; 14b, Zeeland</t>
  </si>
  <si>
    <t>Totaal 035 - Schijndel, Kerkendijk 57, Schijndel</t>
  </si>
  <si>
    <t>Totaal 038 - Uden, Udenseweg 3, Uden</t>
  </si>
  <si>
    <t>Totaal 040 - Vierlingsbeek, Molenweg 8c, Vierlingsbeek</t>
  </si>
  <si>
    <t>Totaal 044 - Heusden, Garnizoenstraat 2, Heusden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</si>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</sst>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2" xfId="0" applyNumberFormat="1" applyFill="1" applyBorder="1"/>
    <xf numFmtId="0" fontId="0" fillId="2" borderId="19" xfId="0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4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49" fontId="0" fillId="4" borderId="25" xfId="0" applyNumberFormat="1" applyFill="1" applyBorder="1" applyProtection="1">
      <protection locked="0"/>
    </xf>
    <xf numFmtId="164" fontId="0" fillId="4" borderId="25" xfId="0" applyNumberFormat="1" applyFill="1" applyBorder="1" applyProtection="1">
      <protection locked="0"/>
    </xf>
    <xf numFmtId="49" fontId="0" fillId="2" borderId="25" xfId="0" quotePrefix="1" applyNumberFormat="1" applyFill="1" applyBorder="1"/>
    <xf numFmtId="49" fontId="0" fillId="4" borderId="26" xfId="0" applyNumberFormat="1" applyFill="1" applyBorder="1" applyProtection="1">
      <protection locked="0"/>
    </xf>
    <xf numFmtId="164" fontId="0" fillId="4" borderId="26" xfId="0" applyNumberFormat="1" applyFill="1" applyBorder="1" applyProtection="1">
      <protection locked="0"/>
    </xf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3" borderId="23" xfId="0" applyNumberFormat="1" applyFill="1" applyBorder="1"/>
    <xf numFmtId="0" fontId="0" fillId="3" borderId="21" xfId="0" applyFill="1" applyBorder="1" applyAlignment="1"/>
    <xf numFmtId="0" fontId="0" fillId="3" borderId="23" xfId="0" applyFill="1" applyBorder="1"/>
    <xf numFmtId="4" fontId="0" fillId="2" borderId="6" xfId="0" applyNumberFormat="1" applyFill="1" applyBorder="1" applyProtection="1"/>
    <xf numFmtId="49" fontId="0" fillId="3" borderId="21" xfId="0" applyNumberFormat="1" applyFill="1" applyBorder="1" applyAlignment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4" fontId="0" fillId="3" borderId="24" xfId="0" applyNumberFormat="1" applyFill="1" applyBorder="1" applyProtection="1"/>
    <xf numFmtId="4" fontId="0" fillId="4" borderId="25" xfId="0" applyNumberFormat="1" applyFill="1" applyBorder="1"/>
    <xf numFmtId="164" fontId="0" fillId="2" borderId="25" xfId="0" applyNumberFormat="1" applyFill="1" applyBorder="1" applyProtection="1"/>
    <xf numFmtId="4" fontId="0" fillId="3" borderId="25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4" fontId="0" fillId="3" borderId="26" xfId="0" applyNumberFormat="1" applyFill="1" applyBorder="1" applyProtection="1"/>
    <xf numFmtId="4" fontId="0" fillId="3" borderId="6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71B1-3577-4FDC-86A0-E565AE6B46EB}">
  <dimension ref="A1:B25"/>
  <sheetViews>
    <sheetView workbookViewId="0"/>
  </sheetViews>
  <sheetFormatPr defaultRowHeight="12.6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0.1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4.6153846153846156E-2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3.8461538461538464E-2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2.3076923076923078E-2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1.5384615384615385E-2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1.1538461538461539E-2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7.6923076923076927E-3</v>
      </c>
    </row>
    <row r="25" spans="1:2" x14ac:dyDescent="0.2">
      <c r="A25" s="6" t="s">
        <v>21</v>
      </c>
      <c r="B25" s="7">
        <f>IF(A25="2½W",2.5/dagenperweek1,IF(RIGHT(A25,1)="W",VALUE(LEFT(A25,LEN(A25)-1))/dagenperweek1,IF(RIGHT(A25,1)="J",VALUE(LEFT(A25,LEN(A25)-1))/dagenperjaar1,IF(RIGHT(A25,1)="D",VALUE(LEFT(A25,LEN(A25)-1)),"handmatig!"))))</f>
        <v>3.8461538461538464E-3</v>
      </c>
    </row>
  </sheetData>
  <sheetProtection algorithmName="SHA-512" hashValue="+UQ3/4MXhj7DAKXNWOirBBRW9q2MDUGg94w4fy8vZ+Qth3+NhHXwODpTTT7LFMnuY8crfUpBAuwXxOoJbeTUnQ==" saltValue="6N9Oh644b/5wdRnf2FujI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3553-12E6-45EF-A1C9-0757934E2D37}">
  <dimension ref="A1:M9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H  .7: ",tabeltype," additioneel werk per locatie")</f>
        <v>Bijlage H  .7: Invultabel additioneel werk per locatie</v>
      </c>
    </row>
    <row r="3" spans="1:13" ht="37.799999999999997" x14ac:dyDescent="0.2">
      <c r="A3" s="44" t="s">
        <v>1307</v>
      </c>
      <c r="B3" s="44" t="s">
        <v>7</v>
      </c>
      <c r="C3" s="44" t="s">
        <v>1308</v>
      </c>
      <c r="D3" s="44" t="s">
        <v>1175</v>
      </c>
      <c r="E3" s="44" t="s">
        <v>92</v>
      </c>
      <c r="F3" s="44" t="s">
        <v>95</v>
      </c>
      <c r="G3" s="44" t="s">
        <v>1309</v>
      </c>
      <c r="H3" s="44" t="s">
        <v>1310</v>
      </c>
      <c r="I3" s="44" t="s">
        <v>1311</v>
      </c>
      <c r="J3" s="44" t="s">
        <v>1312</v>
      </c>
      <c r="K3" s="44" t="s">
        <v>1313</v>
      </c>
      <c r="L3" s="44" t="s">
        <v>233</v>
      </c>
      <c r="M3" s="44" t="s">
        <v>1228</v>
      </c>
    </row>
    <row r="5" spans="1:13" x14ac:dyDescent="0.2">
      <c r="A5" s="123" t="s">
        <v>381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124"/>
    </row>
    <row r="6" spans="1:13" x14ac:dyDescent="0.2">
      <c r="A6" s="115" t="s">
        <v>1314</v>
      </c>
      <c r="B6" s="115" t="s">
        <v>21</v>
      </c>
      <c r="C6" s="116">
        <f>IF(ISBLANK(B6),0,IF(ISERROR(VALUE(B6)),VLOOKUP(B6,dagsoorttabel1,2,FALSE)*dagenperjaar1,VALUE(B6)))</f>
        <v>1</v>
      </c>
      <c r="D6" s="115" t="s">
        <v>1217</v>
      </c>
      <c r="E6" s="115" t="s">
        <v>1315</v>
      </c>
      <c r="F6" s="115" t="s">
        <v>1316</v>
      </c>
      <c r="G6" s="117">
        <v>182.5</v>
      </c>
      <c r="H6" s="118">
        <f>'Additioneel werk'!G6</f>
        <v>0</v>
      </c>
      <c r="I6" s="125">
        <f>'Additioneel werk'!H6</f>
        <v>0</v>
      </c>
      <c r="J6" s="120"/>
      <c r="K6" s="121" t="e">
        <f>IF(ISBLANK(I6),0,G6 / ROUND(I6,4) * ROUND(H6,2))</f>
        <v>#DIV/0!</v>
      </c>
      <c r="L6" s="121" t="e">
        <f>C6*K6</f>
        <v>#DIV/0!</v>
      </c>
      <c r="M6" s="121" t="e">
        <f>L6/12</f>
        <v>#DIV/0!</v>
      </c>
    </row>
    <row r="7" spans="1:13" x14ac:dyDescent="0.2">
      <c r="A7" s="126" t="s">
        <v>1318</v>
      </c>
      <c r="B7" s="74"/>
      <c r="C7" s="74"/>
      <c r="D7" s="74"/>
      <c r="E7" s="74"/>
      <c r="F7" s="74"/>
      <c r="G7" s="74"/>
      <c r="H7" s="74"/>
      <c r="I7" s="74"/>
      <c r="J7" s="74"/>
      <c r="K7" s="76" t="e">
        <f>SUM(K6:K6)</f>
        <v>#DIV/0!</v>
      </c>
      <c r="L7" s="76" t="e">
        <f>SUM(L6:L6)</f>
        <v>#DIV/0!</v>
      </c>
      <c r="M7" s="122" t="e">
        <f>L7/12</f>
        <v>#DIV/0!</v>
      </c>
    </row>
    <row r="9" spans="1:13" x14ac:dyDescent="0.2">
      <c r="A9" s="123" t="s">
        <v>415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124"/>
    </row>
    <row r="10" spans="1:13" x14ac:dyDescent="0.2">
      <c r="A10" s="115" t="s">
        <v>1314</v>
      </c>
      <c r="B10" s="115" t="s">
        <v>21</v>
      </c>
      <c r="C10" s="116">
        <f>IF(ISBLANK(B10),0,IF(ISERROR(VALUE(B10)),VLOOKUP(B10,dagsoorttabel1,2,FALSE)*dagenperjaar1,VALUE(B10)))</f>
        <v>1</v>
      </c>
      <c r="D10" s="115" t="s">
        <v>1217</v>
      </c>
      <c r="E10" s="115" t="s">
        <v>1315</v>
      </c>
      <c r="F10" s="115" t="s">
        <v>1316</v>
      </c>
      <c r="G10" s="117">
        <v>264.8</v>
      </c>
      <c r="H10" s="118">
        <f>'Additioneel werk'!G6</f>
        <v>0</v>
      </c>
      <c r="I10" s="125">
        <f>'Additioneel werk'!H6</f>
        <v>0</v>
      </c>
      <c r="J10" s="120"/>
      <c r="K10" s="121" t="e">
        <f>IF(ISBLANK(I10),0,G10 / ROUND(I10,4) * ROUND(H10,2))</f>
        <v>#DIV/0!</v>
      </c>
      <c r="L10" s="121" t="e">
        <f>C10*K10</f>
        <v>#DIV/0!</v>
      </c>
      <c r="M10" s="121" t="e">
        <f>L10/12</f>
        <v>#DIV/0!</v>
      </c>
    </row>
    <row r="11" spans="1:13" x14ac:dyDescent="0.2">
      <c r="A11" s="126" t="s">
        <v>1319</v>
      </c>
      <c r="B11" s="74"/>
      <c r="C11" s="74"/>
      <c r="D11" s="74"/>
      <c r="E11" s="74"/>
      <c r="F11" s="74"/>
      <c r="G11" s="74"/>
      <c r="H11" s="74"/>
      <c r="I11" s="74"/>
      <c r="J11" s="74"/>
      <c r="K11" s="76" t="e">
        <f>SUM(K10:K10)</f>
        <v>#DIV/0!</v>
      </c>
      <c r="L11" s="76" t="e">
        <f>SUM(L10:L10)</f>
        <v>#DIV/0!</v>
      </c>
      <c r="M11" s="122" t="e">
        <f>L11/12</f>
        <v>#DIV/0!</v>
      </c>
    </row>
    <row r="13" spans="1:13" x14ac:dyDescent="0.2">
      <c r="A13" s="123" t="s">
        <v>445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124"/>
    </row>
    <row r="14" spans="1:13" x14ac:dyDescent="0.2">
      <c r="A14" s="115" t="s">
        <v>1314</v>
      </c>
      <c r="B14" s="115" t="s">
        <v>21</v>
      </c>
      <c r="C14" s="116">
        <f>IF(ISBLANK(B14),0,IF(ISERROR(VALUE(B14)),VLOOKUP(B14,dagsoorttabel1,2,FALSE)*dagenperjaar1,VALUE(B14)))</f>
        <v>1</v>
      </c>
      <c r="D14" s="115" t="s">
        <v>1217</v>
      </c>
      <c r="E14" s="115" t="s">
        <v>1315</v>
      </c>
      <c r="F14" s="115" t="s">
        <v>1316</v>
      </c>
      <c r="G14" s="117">
        <v>94.300000000000011</v>
      </c>
      <c r="H14" s="118">
        <f>'Additioneel werk'!G6</f>
        <v>0</v>
      </c>
      <c r="I14" s="125">
        <f>'Additioneel werk'!H6</f>
        <v>0</v>
      </c>
      <c r="J14" s="120"/>
      <c r="K14" s="121" t="e">
        <f>IF(ISBLANK(I14),0,G14 / ROUND(I14,4) * ROUND(H14,2))</f>
        <v>#DIV/0!</v>
      </c>
      <c r="L14" s="121" t="e">
        <f>C14*K14</f>
        <v>#DIV/0!</v>
      </c>
      <c r="M14" s="121" t="e">
        <f>L14/12</f>
        <v>#DIV/0!</v>
      </c>
    </row>
    <row r="15" spans="1:13" x14ac:dyDescent="0.2">
      <c r="A15" s="126" t="s">
        <v>1320</v>
      </c>
      <c r="B15" s="74"/>
      <c r="C15" s="74"/>
      <c r="D15" s="74"/>
      <c r="E15" s="74"/>
      <c r="F15" s="74"/>
      <c r="G15" s="74"/>
      <c r="H15" s="74"/>
      <c r="I15" s="74"/>
      <c r="J15" s="74"/>
      <c r="K15" s="76" t="e">
        <f>SUM(K14:K14)</f>
        <v>#DIV/0!</v>
      </c>
      <c r="L15" s="76" t="e">
        <f>SUM(L14:L14)</f>
        <v>#DIV/0!</v>
      </c>
      <c r="M15" s="122" t="e">
        <f>L15/12</f>
        <v>#DIV/0!</v>
      </c>
    </row>
    <row r="17" spans="1:13" x14ac:dyDescent="0.2">
      <c r="A17" s="123" t="s">
        <v>455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124"/>
    </row>
    <row r="18" spans="1:13" x14ac:dyDescent="0.2">
      <c r="A18" s="115" t="s">
        <v>1314</v>
      </c>
      <c r="B18" s="115" t="s">
        <v>21</v>
      </c>
      <c r="C18" s="116">
        <f>IF(ISBLANK(B18),0,IF(ISERROR(VALUE(B18)),VLOOKUP(B18,dagsoorttabel1,2,FALSE)*dagenperjaar1,VALUE(B18)))</f>
        <v>1</v>
      </c>
      <c r="D18" s="115" t="s">
        <v>1217</v>
      </c>
      <c r="E18" s="115" t="s">
        <v>1315</v>
      </c>
      <c r="F18" s="115" t="s">
        <v>1316</v>
      </c>
      <c r="G18" s="117">
        <v>155.19999999999999</v>
      </c>
      <c r="H18" s="118">
        <f>'Additioneel werk'!G6</f>
        <v>0</v>
      </c>
      <c r="I18" s="125">
        <f>'Additioneel werk'!H6</f>
        <v>0</v>
      </c>
      <c r="J18" s="120"/>
      <c r="K18" s="121" t="e">
        <f>IF(ISBLANK(I18),0,G18 / ROUND(I18,4) * ROUND(H18,2))</f>
        <v>#DIV/0!</v>
      </c>
      <c r="L18" s="121" t="e">
        <f>C18*K18</f>
        <v>#DIV/0!</v>
      </c>
      <c r="M18" s="121" t="e">
        <f>L18/12</f>
        <v>#DIV/0!</v>
      </c>
    </row>
    <row r="19" spans="1:13" x14ac:dyDescent="0.2">
      <c r="A19" s="126" t="s">
        <v>1321</v>
      </c>
      <c r="B19" s="74"/>
      <c r="C19" s="74"/>
      <c r="D19" s="74"/>
      <c r="E19" s="74"/>
      <c r="F19" s="74"/>
      <c r="G19" s="74"/>
      <c r="H19" s="74"/>
      <c r="I19" s="74"/>
      <c r="J19" s="74"/>
      <c r="K19" s="76" t="e">
        <f>SUM(K18:K18)</f>
        <v>#DIV/0!</v>
      </c>
      <c r="L19" s="76" t="e">
        <f>SUM(L18:L18)</f>
        <v>#DIV/0!</v>
      </c>
      <c r="M19" s="122" t="e">
        <f>L19/12</f>
        <v>#DIV/0!</v>
      </c>
    </row>
    <row r="21" spans="1:13" x14ac:dyDescent="0.2">
      <c r="A21" s="123" t="s">
        <v>496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124"/>
    </row>
    <row r="22" spans="1:13" x14ac:dyDescent="0.2">
      <c r="A22" s="115" t="s">
        <v>1314</v>
      </c>
      <c r="B22" s="115" t="s">
        <v>21</v>
      </c>
      <c r="C22" s="116">
        <f>IF(ISBLANK(B22),0,IF(ISERROR(VALUE(B22)),VLOOKUP(B22,dagsoorttabel1,2,FALSE)*dagenperjaar1,VALUE(B22)))</f>
        <v>1</v>
      </c>
      <c r="D22" s="115" t="s">
        <v>1217</v>
      </c>
      <c r="E22" s="115" t="s">
        <v>1315</v>
      </c>
      <c r="F22" s="115" t="s">
        <v>1316</v>
      </c>
      <c r="G22" s="117">
        <v>84.4</v>
      </c>
      <c r="H22" s="118">
        <f>'Additioneel werk'!G6</f>
        <v>0</v>
      </c>
      <c r="I22" s="125">
        <f>'Additioneel werk'!H6</f>
        <v>0</v>
      </c>
      <c r="J22" s="120"/>
      <c r="K22" s="121" t="e">
        <f>IF(ISBLANK(I22),0,G22 / ROUND(I22,4) * ROUND(H22,2))</f>
        <v>#DIV/0!</v>
      </c>
      <c r="L22" s="121" t="e">
        <f>C22*K22</f>
        <v>#DIV/0!</v>
      </c>
      <c r="M22" s="121" t="e">
        <f>L22/12</f>
        <v>#DIV/0!</v>
      </c>
    </row>
    <row r="23" spans="1:13" x14ac:dyDescent="0.2">
      <c r="A23" s="126" t="s">
        <v>1322</v>
      </c>
      <c r="B23" s="74"/>
      <c r="C23" s="74"/>
      <c r="D23" s="74"/>
      <c r="E23" s="74"/>
      <c r="F23" s="74"/>
      <c r="G23" s="74"/>
      <c r="H23" s="74"/>
      <c r="I23" s="74"/>
      <c r="J23" s="74"/>
      <c r="K23" s="76" t="e">
        <f>SUM(K22:K22)</f>
        <v>#DIV/0!</v>
      </c>
      <c r="L23" s="76" t="e">
        <f>SUM(L22:L22)</f>
        <v>#DIV/0!</v>
      </c>
      <c r="M23" s="122" t="e">
        <f>L23/12</f>
        <v>#DIV/0!</v>
      </c>
    </row>
    <row r="25" spans="1:13" x14ac:dyDescent="0.2">
      <c r="A25" s="123" t="s">
        <v>510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124"/>
    </row>
    <row r="26" spans="1:13" x14ac:dyDescent="0.2">
      <c r="A26" s="115" t="s">
        <v>1314</v>
      </c>
      <c r="B26" s="115" t="s">
        <v>21</v>
      </c>
      <c r="C26" s="116">
        <f>IF(ISBLANK(B26),0,IF(ISERROR(VALUE(B26)),VLOOKUP(B26,dagsoorttabel1,2,FALSE)*dagenperjaar1,VALUE(B26)))</f>
        <v>1</v>
      </c>
      <c r="D26" s="115" t="s">
        <v>1217</v>
      </c>
      <c r="E26" s="115" t="s">
        <v>1315</v>
      </c>
      <c r="F26" s="115" t="s">
        <v>1316</v>
      </c>
      <c r="G26" s="117">
        <v>89.8</v>
      </c>
      <c r="H26" s="118">
        <f>'Additioneel werk'!G6</f>
        <v>0</v>
      </c>
      <c r="I26" s="125">
        <f>'Additioneel werk'!H6</f>
        <v>0</v>
      </c>
      <c r="J26" s="120"/>
      <c r="K26" s="121" t="e">
        <f>IF(ISBLANK(I26),0,G26 / ROUND(I26,4) * ROUND(H26,2))</f>
        <v>#DIV/0!</v>
      </c>
      <c r="L26" s="121" t="e">
        <f>C26*K26</f>
        <v>#DIV/0!</v>
      </c>
      <c r="M26" s="121" t="e">
        <f>L26/12</f>
        <v>#DIV/0!</v>
      </c>
    </row>
    <row r="27" spans="1:13" x14ac:dyDescent="0.2">
      <c r="A27" s="126" t="s">
        <v>1323</v>
      </c>
      <c r="B27" s="74"/>
      <c r="C27" s="74"/>
      <c r="D27" s="74"/>
      <c r="E27" s="74"/>
      <c r="F27" s="74"/>
      <c r="G27" s="74"/>
      <c r="H27" s="74"/>
      <c r="I27" s="74"/>
      <c r="J27" s="74"/>
      <c r="K27" s="76" t="e">
        <f>SUM(K26:K26)</f>
        <v>#DIV/0!</v>
      </c>
      <c r="L27" s="76" t="e">
        <f>SUM(L26:L26)</f>
        <v>#DIV/0!</v>
      </c>
      <c r="M27" s="122" t="e">
        <f>L27/12</f>
        <v>#DIV/0!</v>
      </c>
    </row>
    <row r="29" spans="1:13" x14ac:dyDescent="0.2">
      <c r="A29" s="123" t="s">
        <v>518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124"/>
    </row>
    <row r="30" spans="1:13" x14ac:dyDescent="0.2">
      <c r="A30" s="115" t="s">
        <v>1314</v>
      </c>
      <c r="B30" s="115" t="s">
        <v>21</v>
      </c>
      <c r="C30" s="116">
        <f>IF(ISBLANK(B30),0,IF(ISERROR(VALUE(B30)),VLOOKUP(B30,dagsoorttabel1,2,FALSE)*dagenperjaar1,VALUE(B30)))</f>
        <v>1</v>
      </c>
      <c r="D30" s="115" t="s">
        <v>1217</v>
      </c>
      <c r="E30" s="115" t="s">
        <v>1315</v>
      </c>
      <c r="F30" s="115" t="s">
        <v>1316</v>
      </c>
      <c r="G30" s="117">
        <v>99.2</v>
      </c>
      <c r="H30" s="118">
        <f>'Additioneel werk'!G6</f>
        <v>0</v>
      </c>
      <c r="I30" s="125">
        <f>'Additioneel werk'!H6</f>
        <v>0</v>
      </c>
      <c r="J30" s="120"/>
      <c r="K30" s="121" t="e">
        <f>IF(ISBLANK(I30),0,G30 / ROUND(I30,4) * ROUND(H30,2))</f>
        <v>#DIV/0!</v>
      </c>
      <c r="L30" s="121" t="e">
        <f>C30*K30</f>
        <v>#DIV/0!</v>
      </c>
      <c r="M30" s="121" t="e">
        <f>L30/12</f>
        <v>#DIV/0!</v>
      </c>
    </row>
    <row r="31" spans="1:13" x14ac:dyDescent="0.2">
      <c r="A31" s="126" t="s">
        <v>1324</v>
      </c>
      <c r="B31" s="74"/>
      <c r="C31" s="74"/>
      <c r="D31" s="74"/>
      <c r="E31" s="74"/>
      <c r="F31" s="74"/>
      <c r="G31" s="74"/>
      <c r="H31" s="74"/>
      <c r="I31" s="74"/>
      <c r="J31" s="74"/>
      <c r="K31" s="76" t="e">
        <f>SUM(K30:K30)</f>
        <v>#DIV/0!</v>
      </c>
      <c r="L31" s="76" t="e">
        <f>SUM(L30:L30)</f>
        <v>#DIV/0!</v>
      </c>
      <c r="M31" s="122" t="e">
        <f>L31/12</f>
        <v>#DIV/0!</v>
      </c>
    </row>
    <row r="33" spans="1:13" x14ac:dyDescent="0.2">
      <c r="A33" s="123" t="s">
        <v>525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24"/>
    </row>
    <row r="34" spans="1:13" x14ac:dyDescent="0.2">
      <c r="A34" s="115" t="s">
        <v>1314</v>
      </c>
      <c r="B34" s="115" t="s">
        <v>21</v>
      </c>
      <c r="C34" s="116">
        <f>IF(ISBLANK(B34),0,IF(ISERROR(VALUE(B34)),VLOOKUP(B34,dagsoorttabel1,2,FALSE)*dagenperjaar1,VALUE(B34)))</f>
        <v>1</v>
      </c>
      <c r="D34" s="115" t="s">
        <v>1217</v>
      </c>
      <c r="E34" s="115" t="s">
        <v>1315</v>
      </c>
      <c r="F34" s="115" t="s">
        <v>1316</v>
      </c>
      <c r="G34" s="117">
        <v>31.8</v>
      </c>
      <c r="H34" s="118">
        <f>'Additioneel werk'!G6</f>
        <v>0</v>
      </c>
      <c r="I34" s="125">
        <f>'Additioneel werk'!H6</f>
        <v>0</v>
      </c>
      <c r="J34" s="120"/>
      <c r="K34" s="121" t="e">
        <f>IF(ISBLANK(I34),0,G34 / ROUND(I34,4) * ROUND(H34,2))</f>
        <v>#DIV/0!</v>
      </c>
      <c r="L34" s="121" t="e">
        <f>C34*K34</f>
        <v>#DIV/0!</v>
      </c>
      <c r="M34" s="121" t="e">
        <f>L34/12</f>
        <v>#DIV/0!</v>
      </c>
    </row>
    <row r="35" spans="1:13" x14ac:dyDescent="0.2">
      <c r="A35" s="126" t="s">
        <v>1325</v>
      </c>
      <c r="B35" s="74"/>
      <c r="C35" s="74"/>
      <c r="D35" s="74"/>
      <c r="E35" s="74"/>
      <c r="F35" s="74"/>
      <c r="G35" s="74"/>
      <c r="H35" s="74"/>
      <c r="I35" s="74"/>
      <c r="J35" s="74"/>
      <c r="K35" s="76" t="e">
        <f>SUM(K34:K34)</f>
        <v>#DIV/0!</v>
      </c>
      <c r="L35" s="76" t="e">
        <f>SUM(L34:L34)</f>
        <v>#DIV/0!</v>
      </c>
      <c r="M35" s="122" t="e">
        <f>L35/12</f>
        <v>#DIV/0!</v>
      </c>
    </row>
    <row r="37" spans="1:13" x14ac:dyDescent="0.2">
      <c r="A37" s="123" t="s">
        <v>548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124"/>
    </row>
    <row r="38" spans="1:13" x14ac:dyDescent="0.2">
      <c r="A38" s="115" t="s">
        <v>1314</v>
      </c>
      <c r="B38" s="115" t="s">
        <v>21</v>
      </c>
      <c r="C38" s="116">
        <f>IF(ISBLANK(B38),0,IF(ISERROR(VALUE(B38)),VLOOKUP(B38,dagsoorttabel1,2,FALSE)*dagenperjaar1,VALUE(B38)))</f>
        <v>1</v>
      </c>
      <c r="D38" s="115" t="s">
        <v>1217</v>
      </c>
      <c r="E38" s="115" t="s">
        <v>1315</v>
      </c>
      <c r="F38" s="115" t="s">
        <v>1316</v>
      </c>
      <c r="G38" s="117">
        <v>51</v>
      </c>
      <c r="H38" s="118">
        <f>'Additioneel werk'!G6</f>
        <v>0</v>
      </c>
      <c r="I38" s="125">
        <f>'Additioneel werk'!H6</f>
        <v>0</v>
      </c>
      <c r="J38" s="120"/>
      <c r="K38" s="121" t="e">
        <f>IF(ISBLANK(I38),0,G38 / ROUND(I38,4) * ROUND(H38,2))</f>
        <v>#DIV/0!</v>
      </c>
      <c r="L38" s="121" t="e">
        <f>C38*K38</f>
        <v>#DIV/0!</v>
      </c>
      <c r="M38" s="121" t="e">
        <f>L38/12</f>
        <v>#DIV/0!</v>
      </c>
    </row>
    <row r="39" spans="1:13" x14ac:dyDescent="0.2">
      <c r="A39" s="126" t="s">
        <v>1326</v>
      </c>
      <c r="B39" s="74"/>
      <c r="C39" s="74"/>
      <c r="D39" s="74"/>
      <c r="E39" s="74"/>
      <c r="F39" s="74"/>
      <c r="G39" s="74"/>
      <c r="H39" s="74"/>
      <c r="I39" s="74"/>
      <c r="J39" s="74"/>
      <c r="K39" s="76" t="e">
        <f>SUM(K38:K38)</f>
        <v>#DIV/0!</v>
      </c>
      <c r="L39" s="76" t="e">
        <f>SUM(L38:L38)</f>
        <v>#DIV/0!</v>
      </c>
      <c r="M39" s="122" t="e">
        <f>L39/12</f>
        <v>#DIV/0!</v>
      </c>
    </row>
    <row r="41" spans="1:13" x14ac:dyDescent="0.2">
      <c r="A41" s="123" t="s">
        <v>556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124"/>
    </row>
    <row r="42" spans="1:13" x14ac:dyDescent="0.2">
      <c r="A42" s="115" t="s">
        <v>1314</v>
      </c>
      <c r="B42" s="115" t="s">
        <v>21</v>
      </c>
      <c r="C42" s="116">
        <f>IF(ISBLANK(B42),0,IF(ISERROR(VALUE(B42)),VLOOKUP(B42,dagsoorttabel1,2,FALSE)*dagenperjaar1,VALUE(B42)))</f>
        <v>1</v>
      </c>
      <c r="D42" s="115" t="s">
        <v>1217</v>
      </c>
      <c r="E42" s="115" t="s">
        <v>1315</v>
      </c>
      <c r="F42" s="115" t="s">
        <v>1316</v>
      </c>
      <c r="G42" s="117">
        <v>1727.5000000000002</v>
      </c>
      <c r="H42" s="118">
        <f>'Additioneel werk'!G6</f>
        <v>0</v>
      </c>
      <c r="I42" s="125">
        <f>'Additioneel werk'!H6</f>
        <v>0</v>
      </c>
      <c r="J42" s="120"/>
      <c r="K42" s="121" t="e">
        <f>IF(ISBLANK(I42),0,G42 / ROUND(I42,4) * ROUND(H42,2))</f>
        <v>#DIV/0!</v>
      </c>
      <c r="L42" s="121" t="e">
        <f>C42*K42</f>
        <v>#DIV/0!</v>
      </c>
      <c r="M42" s="121" t="e">
        <f>L42/12</f>
        <v>#DIV/0!</v>
      </c>
    </row>
    <row r="43" spans="1:13" x14ac:dyDescent="0.2">
      <c r="A43" s="126" t="s">
        <v>1327</v>
      </c>
      <c r="B43" s="74"/>
      <c r="C43" s="74"/>
      <c r="D43" s="74"/>
      <c r="E43" s="74"/>
      <c r="F43" s="74"/>
      <c r="G43" s="74"/>
      <c r="H43" s="74"/>
      <c r="I43" s="74"/>
      <c r="J43" s="74"/>
      <c r="K43" s="76" t="e">
        <f>SUM(K42:K42)</f>
        <v>#DIV/0!</v>
      </c>
      <c r="L43" s="76" t="e">
        <f>SUM(L42:L42)</f>
        <v>#DIV/0!</v>
      </c>
      <c r="M43" s="122" t="e">
        <f>L43/12</f>
        <v>#DIV/0!</v>
      </c>
    </row>
    <row r="45" spans="1:13" x14ac:dyDescent="0.2">
      <c r="A45" s="123" t="s">
        <v>873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124"/>
    </row>
    <row r="46" spans="1:13" x14ac:dyDescent="0.2">
      <c r="A46" s="115" t="s">
        <v>1314</v>
      </c>
      <c r="B46" s="115" t="s">
        <v>21</v>
      </c>
      <c r="C46" s="116">
        <f>IF(ISBLANK(B46),0,IF(ISERROR(VALUE(B46)),VLOOKUP(B46,dagsoorttabel1,2,FALSE)*dagenperjaar1,VALUE(B46)))</f>
        <v>1</v>
      </c>
      <c r="D46" s="115" t="s">
        <v>1217</v>
      </c>
      <c r="E46" s="115" t="s">
        <v>1315</v>
      </c>
      <c r="F46" s="115" t="s">
        <v>1316</v>
      </c>
      <c r="G46" s="117">
        <v>60.850000000000009</v>
      </c>
      <c r="H46" s="118">
        <f>'Additioneel werk'!G6</f>
        <v>0</v>
      </c>
      <c r="I46" s="125">
        <f>'Additioneel werk'!H6</f>
        <v>0</v>
      </c>
      <c r="J46" s="120"/>
      <c r="K46" s="121" t="e">
        <f>IF(ISBLANK(I46),0,G46 / ROUND(I46,4) * ROUND(H46,2))</f>
        <v>#DIV/0!</v>
      </c>
      <c r="L46" s="121" t="e">
        <f>C46*K46</f>
        <v>#DIV/0!</v>
      </c>
      <c r="M46" s="121" t="e">
        <f>L46/12</f>
        <v>#DIV/0!</v>
      </c>
    </row>
    <row r="47" spans="1:13" x14ac:dyDescent="0.2">
      <c r="A47" s="126" t="s">
        <v>1328</v>
      </c>
      <c r="B47" s="74"/>
      <c r="C47" s="74"/>
      <c r="D47" s="74"/>
      <c r="E47" s="74"/>
      <c r="F47" s="74"/>
      <c r="G47" s="74"/>
      <c r="H47" s="74"/>
      <c r="I47" s="74"/>
      <c r="J47" s="74"/>
      <c r="K47" s="76" t="e">
        <f>SUM(K46:K46)</f>
        <v>#DIV/0!</v>
      </c>
      <c r="L47" s="76" t="e">
        <f>SUM(L46:L46)</f>
        <v>#DIV/0!</v>
      </c>
      <c r="M47" s="122" t="e">
        <f>L47/12</f>
        <v>#DIV/0!</v>
      </c>
    </row>
    <row r="49" spans="1:13" x14ac:dyDescent="0.2">
      <c r="A49" s="123" t="s">
        <v>902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124"/>
    </row>
    <row r="50" spans="1:13" x14ac:dyDescent="0.2">
      <c r="A50" s="115" t="s">
        <v>1314</v>
      </c>
      <c r="B50" s="115" t="s">
        <v>21</v>
      </c>
      <c r="C50" s="116">
        <f>IF(ISBLANK(B50),0,IF(ISERROR(VALUE(B50)),VLOOKUP(B50,dagsoorttabel1,2,FALSE)*dagenperjaar1,VALUE(B50)))</f>
        <v>1</v>
      </c>
      <c r="D50" s="115" t="s">
        <v>1217</v>
      </c>
      <c r="E50" s="115" t="s">
        <v>1315</v>
      </c>
      <c r="F50" s="115" t="s">
        <v>1316</v>
      </c>
      <c r="G50" s="117">
        <v>77.099999999999994</v>
      </c>
      <c r="H50" s="118">
        <f>'Additioneel werk'!G6</f>
        <v>0</v>
      </c>
      <c r="I50" s="125">
        <f>'Additioneel werk'!H6</f>
        <v>0</v>
      </c>
      <c r="J50" s="120"/>
      <c r="K50" s="121" t="e">
        <f>IF(ISBLANK(I50),0,G50 / ROUND(I50,4) * ROUND(H50,2))</f>
        <v>#DIV/0!</v>
      </c>
      <c r="L50" s="121" t="e">
        <f>C50*K50</f>
        <v>#DIV/0!</v>
      </c>
      <c r="M50" s="121" t="e">
        <f>L50/12</f>
        <v>#DIV/0!</v>
      </c>
    </row>
    <row r="51" spans="1:13" x14ac:dyDescent="0.2">
      <c r="A51" s="126" t="s">
        <v>1329</v>
      </c>
      <c r="B51" s="74"/>
      <c r="C51" s="74"/>
      <c r="D51" s="74"/>
      <c r="E51" s="74"/>
      <c r="F51" s="74"/>
      <c r="G51" s="74"/>
      <c r="H51" s="74"/>
      <c r="I51" s="74"/>
      <c r="J51" s="74"/>
      <c r="K51" s="76" t="e">
        <f>SUM(K50:K50)</f>
        <v>#DIV/0!</v>
      </c>
      <c r="L51" s="76" t="e">
        <f>SUM(L50:L50)</f>
        <v>#DIV/0!</v>
      </c>
      <c r="M51" s="122" t="e">
        <f>L51/12</f>
        <v>#DIV/0!</v>
      </c>
    </row>
    <row r="53" spans="1:13" x14ac:dyDescent="0.2">
      <c r="A53" s="123" t="s">
        <v>907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124"/>
    </row>
    <row r="54" spans="1:13" x14ac:dyDescent="0.2">
      <c r="A54" s="115" t="s">
        <v>1314</v>
      </c>
      <c r="B54" s="115" t="s">
        <v>21</v>
      </c>
      <c r="C54" s="116">
        <f>IF(ISBLANK(B54),0,IF(ISERROR(VALUE(B54)),VLOOKUP(B54,dagsoorttabel1,2,FALSE)*dagenperjaar1,VALUE(B54)))</f>
        <v>1</v>
      </c>
      <c r="D54" s="115" t="s">
        <v>1217</v>
      </c>
      <c r="E54" s="115" t="s">
        <v>1315</v>
      </c>
      <c r="F54" s="115" t="s">
        <v>1316</v>
      </c>
      <c r="G54" s="117">
        <v>79.45</v>
      </c>
      <c r="H54" s="118">
        <f>'Additioneel werk'!G6</f>
        <v>0</v>
      </c>
      <c r="I54" s="125">
        <f>'Additioneel werk'!H6</f>
        <v>0</v>
      </c>
      <c r="J54" s="120"/>
      <c r="K54" s="121" t="e">
        <f>IF(ISBLANK(I54),0,G54 / ROUND(I54,4) * ROUND(H54,2))</f>
        <v>#DIV/0!</v>
      </c>
      <c r="L54" s="121" t="e">
        <f>C54*K54</f>
        <v>#DIV/0!</v>
      </c>
      <c r="M54" s="121" t="e">
        <f>L54/12</f>
        <v>#DIV/0!</v>
      </c>
    </row>
    <row r="55" spans="1:13" x14ac:dyDescent="0.2">
      <c r="A55" s="126" t="s">
        <v>1330</v>
      </c>
      <c r="B55" s="74"/>
      <c r="C55" s="74"/>
      <c r="D55" s="74"/>
      <c r="E55" s="74"/>
      <c r="F55" s="74"/>
      <c r="G55" s="74"/>
      <c r="H55" s="74"/>
      <c r="I55" s="74"/>
      <c r="J55" s="74"/>
      <c r="K55" s="76" t="e">
        <f>SUM(K54:K54)</f>
        <v>#DIV/0!</v>
      </c>
      <c r="L55" s="76" t="e">
        <f>SUM(L54:L54)</f>
        <v>#DIV/0!</v>
      </c>
      <c r="M55" s="122" t="e">
        <f>L55/12</f>
        <v>#DIV/0!</v>
      </c>
    </row>
    <row r="57" spans="1:13" x14ac:dyDescent="0.2">
      <c r="A57" s="123" t="s">
        <v>911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124"/>
    </row>
    <row r="58" spans="1:13" x14ac:dyDescent="0.2">
      <c r="A58" s="115" t="s">
        <v>1314</v>
      </c>
      <c r="B58" s="115" t="s">
        <v>21</v>
      </c>
      <c r="C58" s="116">
        <f>IF(ISBLANK(B58),0,IF(ISERROR(VALUE(B58)),VLOOKUP(B58,dagsoorttabel1,2,FALSE)*dagenperjaar1,VALUE(B58)))</f>
        <v>1</v>
      </c>
      <c r="D58" s="115" t="s">
        <v>1217</v>
      </c>
      <c r="E58" s="115" t="s">
        <v>1315</v>
      </c>
      <c r="F58" s="115" t="s">
        <v>1316</v>
      </c>
      <c r="G58" s="117">
        <v>225.3</v>
      </c>
      <c r="H58" s="118">
        <f>'Additioneel werk'!G6</f>
        <v>0</v>
      </c>
      <c r="I58" s="125">
        <f>'Additioneel werk'!H6</f>
        <v>0</v>
      </c>
      <c r="J58" s="120"/>
      <c r="K58" s="121" t="e">
        <f>IF(ISBLANK(I58),0,G58 / ROUND(I58,4) * ROUND(H58,2))</f>
        <v>#DIV/0!</v>
      </c>
      <c r="L58" s="121" t="e">
        <f>C58*K58</f>
        <v>#DIV/0!</v>
      </c>
      <c r="M58" s="121" t="e">
        <f>L58/12</f>
        <v>#DIV/0!</v>
      </c>
    </row>
    <row r="59" spans="1:13" x14ac:dyDescent="0.2">
      <c r="A59" s="126" t="s">
        <v>1331</v>
      </c>
      <c r="B59" s="74"/>
      <c r="C59" s="74"/>
      <c r="D59" s="74"/>
      <c r="E59" s="74"/>
      <c r="F59" s="74"/>
      <c r="G59" s="74"/>
      <c r="H59" s="74"/>
      <c r="I59" s="74"/>
      <c r="J59" s="74"/>
      <c r="K59" s="76" t="e">
        <f>SUM(K58:K58)</f>
        <v>#DIV/0!</v>
      </c>
      <c r="L59" s="76" t="e">
        <f>SUM(L58:L58)</f>
        <v>#DIV/0!</v>
      </c>
      <c r="M59" s="122" t="e">
        <f>L59/12</f>
        <v>#DIV/0!</v>
      </c>
    </row>
    <row r="61" spans="1:13" x14ac:dyDescent="0.2">
      <c r="A61" s="123" t="s">
        <v>932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124"/>
    </row>
    <row r="62" spans="1:13" x14ac:dyDescent="0.2">
      <c r="A62" s="115" t="s">
        <v>1314</v>
      </c>
      <c r="B62" s="115" t="s">
        <v>21</v>
      </c>
      <c r="C62" s="116">
        <f>IF(ISBLANK(B62),0,IF(ISERROR(VALUE(B62)),VLOOKUP(B62,dagsoorttabel1,2,FALSE)*dagenperjaar1,VALUE(B62)))</f>
        <v>1</v>
      </c>
      <c r="D62" s="115" t="s">
        <v>1217</v>
      </c>
      <c r="E62" s="115" t="s">
        <v>1315</v>
      </c>
      <c r="F62" s="115" t="s">
        <v>1316</v>
      </c>
      <c r="G62" s="117">
        <v>87.749999999999986</v>
      </c>
      <c r="H62" s="118">
        <f>'Additioneel werk'!G6</f>
        <v>0</v>
      </c>
      <c r="I62" s="125">
        <f>'Additioneel werk'!H6</f>
        <v>0</v>
      </c>
      <c r="J62" s="120"/>
      <c r="K62" s="121" t="e">
        <f>IF(ISBLANK(I62),0,G62 / ROUND(I62,4) * ROUND(H62,2))</f>
        <v>#DIV/0!</v>
      </c>
      <c r="L62" s="121" t="e">
        <f>C62*K62</f>
        <v>#DIV/0!</v>
      </c>
      <c r="M62" s="121" t="e">
        <f>L62/12</f>
        <v>#DIV/0!</v>
      </c>
    </row>
    <row r="63" spans="1:13" x14ac:dyDescent="0.2">
      <c r="A63" s="126" t="s">
        <v>1332</v>
      </c>
      <c r="B63" s="74"/>
      <c r="C63" s="74"/>
      <c r="D63" s="74"/>
      <c r="E63" s="74"/>
      <c r="F63" s="74"/>
      <c r="G63" s="74"/>
      <c r="H63" s="74"/>
      <c r="I63" s="74"/>
      <c r="J63" s="74"/>
      <c r="K63" s="76" t="e">
        <f>SUM(K62:K62)</f>
        <v>#DIV/0!</v>
      </c>
      <c r="L63" s="76" t="e">
        <f>SUM(L62:L62)</f>
        <v>#DIV/0!</v>
      </c>
      <c r="M63" s="122" t="e">
        <f>L63/12</f>
        <v>#DIV/0!</v>
      </c>
    </row>
    <row r="65" spans="1:13" x14ac:dyDescent="0.2">
      <c r="A65" s="123" t="s">
        <v>1056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124"/>
    </row>
    <row r="66" spans="1:13" x14ac:dyDescent="0.2">
      <c r="A66" s="115" t="s">
        <v>1314</v>
      </c>
      <c r="B66" s="115" t="s">
        <v>21</v>
      </c>
      <c r="C66" s="116">
        <f>IF(ISBLANK(B66),0,IF(ISERROR(VALUE(B66)),VLOOKUP(B66,dagsoorttabel1,2,FALSE)*dagenperjaar1,VALUE(B66)))</f>
        <v>1</v>
      </c>
      <c r="D66" s="115" t="s">
        <v>1217</v>
      </c>
      <c r="E66" s="115" t="s">
        <v>1315</v>
      </c>
      <c r="F66" s="115" t="s">
        <v>1316</v>
      </c>
      <c r="G66" s="117">
        <v>125.6</v>
      </c>
      <c r="H66" s="118">
        <f>'Additioneel werk'!G6</f>
        <v>0</v>
      </c>
      <c r="I66" s="125">
        <f>'Additioneel werk'!H6</f>
        <v>0</v>
      </c>
      <c r="J66" s="120"/>
      <c r="K66" s="121" t="e">
        <f>IF(ISBLANK(I66),0,G66 / ROUND(I66,4) * ROUND(H66,2))</f>
        <v>#DIV/0!</v>
      </c>
      <c r="L66" s="121" t="e">
        <f>C66*K66</f>
        <v>#DIV/0!</v>
      </c>
      <c r="M66" s="121" t="e">
        <f>L66/12</f>
        <v>#DIV/0!</v>
      </c>
    </row>
    <row r="67" spans="1:13" x14ac:dyDescent="0.2">
      <c r="A67" s="126" t="s">
        <v>1333</v>
      </c>
      <c r="B67" s="74"/>
      <c r="C67" s="74"/>
      <c r="D67" s="74"/>
      <c r="E67" s="74"/>
      <c r="F67" s="74"/>
      <c r="G67" s="74"/>
      <c r="H67" s="74"/>
      <c r="I67" s="74"/>
      <c r="J67" s="74"/>
      <c r="K67" s="76" t="e">
        <f>SUM(K66:K66)</f>
        <v>#DIV/0!</v>
      </c>
      <c r="L67" s="76" t="e">
        <f>SUM(L66:L66)</f>
        <v>#DIV/0!</v>
      </c>
      <c r="M67" s="122" t="e">
        <f>L67/12</f>
        <v>#DIV/0!</v>
      </c>
    </row>
    <row r="69" spans="1:13" x14ac:dyDescent="0.2">
      <c r="A69" s="123" t="s">
        <v>1082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124"/>
    </row>
    <row r="70" spans="1:13" x14ac:dyDescent="0.2">
      <c r="A70" s="115" t="s">
        <v>1314</v>
      </c>
      <c r="B70" s="115" t="s">
        <v>21</v>
      </c>
      <c r="C70" s="116">
        <f>IF(ISBLANK(B70),0,IF(ISERROR(VALUE(B70)),VLOOKUP(B70,dagsoorttabel1,2,FALSE)*dagenperjaar1,VALUE(B70)))</f>
        <v>1</v>
      </c>
      <c r="D70" s="115" t="s">
        <v>1217</v>
      </c>
      <c r="E70" s="115" t="s">
        <v>1315</v>
      </c>
      <c r="F70" s="115" t="s">
        <v>1316</v>
      </c>
      <c r="G70" s="117">
        <v>55.92</v>
      </c>
      <c r="H70" s="118">
        <f>'Additioneel werk'!G6</f>
        <v>0</v>
      </c>
      <c r="I70" s="125">
        <f>'Additioneel werk'!H6</f>
        <v>0</v>
      </c>
      <c r="J70" s="120"/>
      <c r="K70" s="121" t="e">
        <f>IF(ISBLANK(I70),0,G70 / ROUND(I70,4) * ROUND(H70,2))</f>
        <v>#DIV/0!</v>
      </c>
      <c r="L70" s="121" t="e">
        <f>C70*K70</f>
        <v>#DIV/0!</v>
      </c>
      <c r="M70" s="121" t="e">
        <f>L70/12</f>
        <v>#DIV/0!</v>
      </c>
    </row>
    <row r="71" spans="1:13" x14ac:dyDescent="0.2">
      <c r="A71" s="126" t="s">
        <v>1334</v>
      </c>
      <c r="B71" s="74"/>
      <c r="C71" s="74"/>
      <c r="D71" s="74"/>
      <c r="E71" s="74"/>
      <c r="F71" s="74"/>
      <c r="G71" s="74"/>
      <c r="H71" s="74"/>
      <c r="I71" s="74"/>
      <c r="J71" s="74"/>
      <c r="K71" s="76" t="e">
        <f>SUM(K70:K70)</f>
        <v>#DIV/0!</v>
      </c>
      <c r="L71" s="76" t="e">
        <f>SUM(L70:L70)</f>
        <v>#DIV/0!</v>
      </c>
      <c r="M71" s="122" t="e">
        <f>L71/12</f>
        <v>#DIV/0!</v>
      </c>
    </row>
    <row r="73" spans="1:13" x14ac:dyDescent="0.2">
      <c r="A73" s="123" t="s">
        <v>1100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124"/>
    </row>
    <row r="74" spans="1:13" x14ac:dyDescent="0.2">
      <c r="A74" s="115" t="s">
        <v>1314</v>
      </c>
      <c r="B74" s="115" t="s">
        <v>21</v>
      </c>
      <c r="C74" s="116">
        <f>IF(ISBLANK(B74),0,IF(ISERROR(VALUE(B74)),VLOOKUP(B74,dagsoorttabel1,2,FALSE)*dagenperjaar1,VALUE(B74)))</f>
        <v>1</v>
      </c>
      <c r="D74" s="115" t="s">
        <v>1217</v>
      </c>
      <c r="E74" s="115" t="s">
        <v>1315</v>
      </c>
      <c r="F74" s="115" t="s">
        <v>1316</v>
      </c>
      <c r="G74" s="117">
        <v>70.5</v>
      </c>
      <c r="H74" s="118">
        <f>'Additioneel werk'!G6</f>
        <v>0</v>
      </c>
      <c r="I74" s="125">
        <f>'Additioneel werk'!H6</f>
        <v>0</v>
      </c>
      <c r="J74" s="120"/>
      <c r="K74" s="121" t="e">
        <f>IF(ISBLANK(I74),0,G74 / ROUND(I74,4) * ROUND(H74,2))</f>
        <v>#DIV/0!</v>
      </c>
      <c r="L74" s="121" t="e">
        <f>C74*K74</f>
        <v>#DIV/0!</v>
      </c>
      <c r="M74" s="121" t="e">
        <f>L74/12</f>
        <v>#DIV/0!</v>
      </c>
    </row>
    <row r="75" spans="1:13" x14ac:dyDescent="0.2">
      <c r="A75" s="126" t="s">
        <v>1335</v>
      </c>
      <c r="B75" s="74"/>
      <c r="C75" s="74"/>
      <c r="D75" s="74"/>
      <c r="E75" s="74"/>
      <c r="F75" s="74"/>
      <c r="G75" s="74"/>
      <c r="H75" s="74"/>
      <c r="I75" s="74"/>
      <c r="J75" s="74"/>
      <c r="K75" s="76" t="e">
        <f>SUM(K74:K74)</f>
        <v>#DIV/0!</v>
      </c>
      <c r="L75" s="76" t="e">
        <f>SUM(L74:L74)</f>
        <v>#DIV/0!</v>
      </c>
      <c r="M75" s="122" t="e">
        <f>L75/12</f>
        <v>#DIV/0!</v>
      </c>
    </row>
    <row r="77" spans="1:13" x14ac:dyDescent="0.2">
      <c r="A77" s="123" t="s">
        <v>1117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124"/>
    </row>
    <row r="78" spans="1:13" x14ac:dyDescent="0.2">
      <c r="A78" s="115" t="s">
        <v>1314</v>
      </c>
      <c r="B78" s="115" t="s">
        <v>21</v>
      </c>
      <c r="C78" s="116">
        <f>IF(ISBLANK(B78),0,IF(ISERROR(VALUE(B78)),VLOOKUP(B78,dagsoorttabel1,2,FALSE)*dagenperjaar1,VALUE(B78)))</f>
        <v>1</v>
      </c>
      <c r="D78" s="115" t="s">
        <v>1217</v>
      </c>
      <c r="E78" s="115" t="s">
        <v>1315</v>
      </c>
      <c r="F78" s="115" t="s">
        <v>1316</v>
      </c>
      <c r="G78" s="117">
        <v>35.19</v>
      </c>
      <c r="H78" s="118">
        <f>'Additioneel werk'!G6</f>
        <v>0</v>
      </c>
      <c r="I78" s="125">
        <f>'Additioneel werk'!H6</f>
        <v>0</v>
      </c>
      <c r="J78" s="120"/>
      <c r="K78" s="121" t="e">
        <f>IF(ISBLANK(I78),0,G78 / ROUND(I78,4) * ROUND(H78,2))</f>
        <v>#DIV/0!</v>
      </c>
      <c r="L78" s="121" t="e">
        <f>C78*K78</f>
        <v>#DIV/0!</v>
      </c>
      <c r="M78" s="121" t="e">
        <f>L78/12</f>
        <v>#DIV/0!</v>
      </c>
    </row>
    <row r="79" spans="1:13" x14ac:dyDescent="0.2">
      <c r="A79" s="126" t="s">
        <v>1336</v>
      </c>
      <c r="B79" s="74"/>
      <c r="C79" s="74"/>
      <c r="D79" s="74"/>
      <c r="E79" s="74"/>
      <c r="F79" s="74"/>
      <c r="G79" s="74"/>
      <c r="H79" s="74"/>
      <c r="I79" s="74"/>
      <c r="J79" s="74"/>
      <c r="K79" s="76" t="e">
        <f>SUM(K78:K78)</f>
        <v>#DIV/0!</v>
      </c>
      <c r="L79" s="76" t="e">
        <f>SUM(L78:L78)</f>
        <v>#DIV/0!</v>
      </c>
      <c r="M79" s="122" t="e">
        <f>L79/12</f>
        <v>#DIV/0!</v>
      </c>
    </row>
    <row r="81" spans="1:13" x14ac:dyDescent="0.2">
      <c r="A81" s="123" t="s">
        <v>1129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124"/>
    </row>
    <row r="82" spans="1:13" x14ac:dyDescent="0.2">
      <c r="A82" s="115" t="s">
        <v>1314</v>
      </c>
      <c r="B82" s="115" t="s">
        <v>21</v>
      </c>
      <c r="C82" s="116">
        <f>IF(ISBLANK(B82),0,IF(ISERROR(VALUE(B82)),VLOOKUP(B82,dagsoorttabel1,2,FALSE)*dagenperjaar1,VALUE(B82)))</f>
        <v>1</v>
      </c>
      <c r="D82" s="115" t="s">
        <v>1217</v>
      </c>
      <c r="E82" s="115" t="s">
        <v>1315</v>
      </c>
      <c r="F82" s="115" t="s">
        <v>1316</v>
      </c>
      <c r="G82" s="117">
        <v>10.3</v>
      </c>
      <c r="H82" s="118">
        <f>'Additioneel werk'!G6</f>
        <v>0</v>
      </c>
      <c r="I82" s="125">
        <f>'Additioneel werk'!H6</f>
        <v>0</v>
      </c>
      <c r="J82" s="120"/>
      <c r="K82" s="121" t="e">
        <f>IF(ISBLANK(I82),0,G82 / ROUND(I82,4) * ROUND(H82,2))</f>
        <v>#DIV/0!</v>
      </c>
      <c r="L82" s="121" t="e">
        <f>C82*K82</f>
        <v>#DIV/0!</v>
      </c>
      <c r="M82" s="121" t="e">
        <f>L82/12</f>
        <v>#DIV/0!</v>
      </c>
    </row>
    <row r="83" spans="1:13" x14ac:dyDescent="0.2">
      <c r="A83" s="126" t="s">
        <v>1337</v>
      </c>
      <c r="B83" s="74"/>
      <c r="C83" s="74"/>
      <c r="D83" s="74"/>
      <c r="E83" s="74"/>
      <c r="F83" s="74"/>
      <c r="G83" s="74"/>
      <c r="H83" s="74"/>
      <c r="I83" s="74"/>
      <c r="J83" s="74"/>
      <c r="K83" s="76" t="e">
        <f>SUM(K82:K82)</f>
        <v>#DIV/0!</v>
      </c>
      <c r="L83" s="76" t="e">
        <f>SUM(L82:L82)</f>
        <v>#DIV/0!</v>
      </c>
      <c r="M83" s="122" t="e">
        <f>L83/12</f>
        <v>#DIV/0!</v>
      </c>
    </row>
    <row r="85" spans="1:13" x14ac:dyDescent="0.2">
      <c r="A85" s="123" t="s">
        <v>1135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124"/>
    </row>
    <row r="86" spans="1:13" x14ac:dyDescent="0.2">
      <c r="A86" s="115" t="s">
        <v>1314</v>
      </c>
      <c r="B86" s="115" t="s">
        <v>21</v>
      </c>
      <c r="C86" s="116">
        <f>IF(ISBLANK(B86),0,IF(ISERROR(VALUE(B86)),VLOOKUP(B86,dagsoorttabel1,2,FALSE)*dagenperjaar1,VALUE(B86)))</f>
        <v>1</v>
      </c>
      <c r="D86" s="115" t="s">
        <v>1217</v>
      </c>
      <c r="E86" s="115" t="s">
        <v>1315</v>
      </c>
      <c r="F86" s="115" t="s">
        <v>1316</v>
      </c>
      <c r="G86" s="117">
        <v>7.3</v>
      </c>
      <c r="H86" s="118">
        <f>'Additioneel werk'!G6</f>
        <v>0</v>
      </c>
      <c r="I86" s="125">
        <f>'Additioneel werk'!H6</f>
        <v>0</v>
      </c>
      <c r="J86" s="120"/>
      <c r="K86" s="121" t="e">
        <f>IF(ISBLANK(I86),0,G86 / ROUND(I86,4) * ROUND(H86,2))</f>
        <v>#DIV/0!</v>
      </c>
      <c r="L86" s="121" t="e">
        <f>C86*K86</f>
        <v>#DIV/0!</v>
      </c>
      <c r="M86" s="121" t="e">
        <f>L86/12</f>
        <v>#DIV/0!</v>
      </c>
    </row>
    <row r="87" spans="1:13" x14ac:dyDescent="0.2">
      <c r="A87" s="126" t="s">
        <v>1338</v>
      </c>
      <c r="B87" s="74"/>
      <c r="C87" s="74"/>
      <c r="D87" s="74"/>
      <c r="E87" s="74"/>
      <c r="F87" s="74"/>
      <c r="G87" s="74"/>
      <c r="H87" s="74"/>
      <c r="I87" s="74"/>
      <c r="J87" s="74"/>
      <c r="K87" s="76" t="e">
        <f>SUM(K86:K86)</f>
        <v>#DIV/0!</v>
      </c>
      <c r="L87" s="76" t="e">
        <f>SUM(L86:L86)</f>
        <v>#DIV/0!</v>
      </c>
      <c r="M87" s="122" t="e">
        <f>L87/12</f>
        <v>#DIV/0!</v>
      </c>
    </row>
    <row r="89" spans="1:13" x14ac:dyDescent="0.2">
      <c r="A89" s="123" t="s">
        <v>1154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124"/>
    </row>
    <row r="90" spans="1:13" x14ac:dyDescent="0.2">
      <c r="A90" s="115" t="s">
        <v>1314</v>
      </c>
      <c r="B90" s="115" t="s">
        <v>21</v>
      </c>
      <c r="C90" s="116">
        <f>IF(ISBLANK(B90),0,IF(ISERROR(VALUE(B90)),VLOOKUP(B90,dagsoorttabel1,2,FALSE)*dagenperjaar1,VALUE(B90)))</f>
        <v>1</v>
      </c>
      <c r="D90" s="115" t="s">
        <v>1217</v>
      </c>
      <c r="E90" s="115" t="s">
        <v>1315</v>
      </c>
      <c r="F90" s="115" t="s">
        <v>1316</v>
      </c>
      <c r="G90" s="117">
        <v>62.6</v>
      </c>
      <c r="H90" s="118">
        <f>'Additioneel werk'!G6</f>
        <v>0</v>
      </c>
      <c r="I90" s="125">
        <f>'Additioneel werk'!H6</f>
        <v>0</v>
      </c>
      <c r="J90" s="120"/>
      <c r="K90" s="121" t="e">
        <f>IF(ISBLANK(I90),0,G90 / ROUND(I90,4) * ROUND(H90,2))</f>
        <v>#DIV/0!</v>
      </c>
      <c r="L90" s="121" t="e">
        <f>C90*K90</f>
        <v>#DIV/0!</v>
      </c>
      <c r="M90" s="121" t="e">
        <f>L90/12</f>
        <v>#DIV/0!</v>
      </c>
    </row>
    <row r="91" spans="1:13" x14ac:dyDescent="0.2">
      <c r="A91" s="126" t="s">
        <v>1339</v>
      </c>
      <c r="B91" s="74"/>
      <c r="C91" s="74"/>
      <c r="D91" s="74"/>
      <c r="E91" s="74"/>
      <c r="F91" s="74"/>
      <c r="G91" s="74"/>
      <c r="H91" s="74"/>
      <c r="I91" s="74"/>
      <c r="J91" s="74"/>
      <c r="K91" s="76" t="e">
        <f>SUM(K90:K90)</f>
        <v>#DIV/0!</v>
      </c>
      <c r="L91" s="76" t="e">
        <f>SUM(L90:L90)</f>
        <v>#DIV/0!</v>
      </c>
      <c r="M91" s="122" t="e">
        <f>L91/12</f>
        <v>#DIV/0!</v>
      </c>
    </row>
    <row r="93" spans="1:13" x14ac:dyDescent="0.2">
      <c r="A93" s="123" t="s">
        <v>1167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124"/>
    </row>
    <row r="94" spans="1:13" x14ac:dyDescent="0.2">
      <c r="A94" s="115" t="s">
        <v>1314</v>
      </c>
      <c r="B94" s="115" t="s">
        <v>21</v>
      </c>
      <c r="C94" s="116">
        <f>IF(ISBLANK(B94),0,IF(ISERROR(VALUE(B94)),VLOOKUP(B94,dagsoorttabel1,2,FALSE)*dagenperjaar1,VALUE(B94)))</f>
        <v>1</v>
      </c>
      <c r="D94" s="115" t="s">
        <v>1217</v>
      </c>
      <c r="E94" s="115" t="s">
        <v>1315</v>
      </c>
      <c r="F94" s="115" t="s">
        <v>1316</v>
      </c>
      <c r="G94" s="117">
        <v>84.97</v>
      </c>
      <c r="H94" s="118">
        <f>'Additioneel werk'!G6</f>
        <v>0</v>
      </c>
      <c r="I94" s="125">
        <f>'Additioneel werk'!H6</f>
        <v>0</v>
      </c>
      <c r="J94" s="120"/>
      <c r="K94" s="121" t="e">
        <f>IF(ISBLANK(I94),0,G94 / ROUND(I94,4) * ROUND(H94,2))</f>
        <v>#DIV/0!</v>
      </c>
      <c r="L94" s="121" t="e">
        <f>C94*K94</f>
        <v>#DIV/0!</v>
      </c>
      <c r="M94" s="121" t="e">
        <f>L94/12</f>
        <v>#DIV/0!</v>
      </c>
    </row>
    <row r="95" spans="1:13" x14ac:dyDescent="0.2">
      <c r="A95" s="126" t="s">
        <v>1340</v>
      </c>
      <c r="B95" s="74"/>
      <c r="C95" s="74"/>
      <c r="D95" s="74"/>
      <c r="E95" s="74"/>
      <c r="F95" s="74"/>
      <c r="G95" s="74"/>
      <c r="H95" s="74"/>
      <c r="I95" s="74"/>
      <c r="J95" s="74"/>
      <c r="K95" s="76" t="e">
        <f>SUM(K94:K94)</f>
        <v>#DIV/0!</v>
      </c>
      <c r="L95" s="76" t="e">
        <f>SUM(L94:L94)</f>
        <v>#DIV/0!</v>
      </c>
      <c r="M95" s="122" t="e">
        <f>L95/12</f>
        <v>#DIV/0!</v>
      </c>
    </row>
  </sheetData>
  <sheetProtection algorithmName="SHA-512" hashValue="N0SlRnqgSO9KkVfBcYcCq+qG+Z+9GJT5QfarZa5WIiaJ2yRrvTJaFpZd/b9RqQ09VOPjZUTNghsQmapDZUMrhg==" saltValue="NKG6jQ0idaL4hEwaAU6cAg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FD81-B99B-4C68-8244-4A9C7DD174D1}">
  <dimension ref="A1:E9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H  .8: ",tabeltype," afroep incidenteel")</f>
        <v>Bijlage H  .8: Invultabel afroep incidenteel</v>
      </c>
    </row>
    <row r="3" spans="1:5" ht="37.799999999999997" x14ac:dyDescent="0.2">
      <c r="A3" s="44" t="s">
        <v>1307</v>
      </c>
      <c r="B3" s="44" t="s">
        <v>92</v>
      </c>
      <c r="C3" s="44" t="s">
        <v>95</v>
      </c>
      <c r="D3" s="44" t="s">
        <v>1341</v>
      </c>
      <c r="E3" s="44" t="s">
        <v>1312</v>
      </c>
    </row>
    <row r="4" spans="1:5" x14ac:dyDescent="0.2">
      <c r="A4" s="45"/>
      <c r="B4" s="46"/>
      <c r="C4" s="46"/>
      <c r="D4" s="46"/>
      <c r="E4" s="47"/>
    </row>
    <row r="5" spans="1:5" x14ac:dyDescent="0.2">
      <c r="A5" s="48" t="s">
        <v>97</v>
      </c>
      <c r="B5" s="49"/>
      <c r="C5" s="49"/>
      <c r="D5" s="49"/>
      <c r="E5" s="50"/>
    </row>
    <row r="6" spans="1:5" x14ac:dyDescent="0.2">
      <c r="A6" s="51" t="s">
        <v>1342</v>
      </c>
      <c r="B6" s="51" t="s">
        <v>1343</v>
      </c>
      <c r="C6" s="51" t="s">
        <v>1344</v>
      </c>
      <c r="D6" s="51" t="s">
        <v>1345</v>
      </c>
      <c r="E6" s="127"/>
    </row>
    <row r="7" spans="1:5" x14ac:dyDescent="0.2">
      <c r="A7" s="56" t="s">
        <v>1346</v>
      </c>
      <c r="B7" s="56" t="s">
        <v>1343</v>
      </c>
      <c r="C7" s="56" t="s">
        <v>1344</v>
      </c>
      <c r="D7" s="56" t="s">
        <v>1347</v>
      </c>
      <c r="E7" s="128"/>
    </row>
    <row r="8" spans="1:5" x14ac:dyDescent="0.2">
      <c r="A8" s="56" t="s">
        <v>1348</v>
      </c>
      <c r="B8" s="56" t="s">
        <v>1343</v>
      </c>
      <c r="C8" s="56" t="s">
        <v>1344</v>
      </c>
      <c r="D8" s="56" t="s">
        <v>1349</v>
      </c>
      <c r="E8" s="128"/>
    </row>
    <row r="9" spans="1:5" x14ac:dyDescent="0.2">
      <c r="A9" s="56" t="s">
        <v>1350</v>
      </c>
      <c r="B9" s="56" t="s">
        <v>1343</v>
      </c>
      <c r="C9" s="56" t="s">
        <v>1344</v>
      </c>
      <c r="D9" s="56" t="s">
        <v>1351</v>
      </c>
      <c r="E9" s="128"/>
    </row>
    <row r="10" spans="1:5" x14ac:dyDescent="0.2">
      <c r="A10" s="56" t="s">
        <v>1352</v>
      </c>
      <c r="B10" s="56" t="s">
        <v>1353</v>
      </c>
      <c r="C10" s="56" t="s">
        <v>1344</v>
      </c>
      <c r="D10" s="56" t="s">
        <v>1345</v>
      </c>
      <c r="E10" s="128"/>
    </row>
    <row r="11" spans="1:5" x14ac:dyDescent="0.2">
      <c r="A11" s="56" t="s">
        <v>1354</v>
      </c>
      <c r="B11" s="56" t="s">
        <v>1353</v>
      </c>
      <c r="C11" s="56" t="s">
        <v>1344</v>
      </c>
      <c r="D11" s="56" t="s">
        <v>1347</v>
      </c>
      <c r="E11" s="128"/>
    </row>
    <row r="12" spans="1:5" x14ac:dyDescent="0.2">
      <c r="A12" s="56" t="s">
        <v>1355</v>
      </c>
      <c r="B12" s="56" t="s">
        <v>1353</v>
      </c>
      <c r="C12" s="56" t="s">
        <v>1344</v>
      </c>
      <c r="D12" s="56" t="s">
        <v>1349</v>
      </c>
      <c r="E12" s="128"/>
    </row>
    <row r="13" spans="1:5" x14ac:dyDescent="0.2">
      <c r="A13" s="56" t="s">
        <v>1356</v>
      </c>
      <c r="B13" s="56" t="s">
        <v>1353</v>
      </c>
      <c r="C13" s="56" t="s">
        <v>1344</v>
      </c>
      <c r="D13" s="56" t="s">
        <v>1351</v>
      </c>
      <c r="E13" s="128"/>
    </row>
    <row r="14" spans="1:5" x14ac:dyDescent="0.2">
      <c r="A14" s="56" t="s">
        <v>1357</v>
      </c>
      <c r="B14" s="56" t="s">
        <v>1358</v>
      </c>
      <c r="C14" s="56" t="s">
        <v>1344</v>
      </c>
      <c r="D14" s="56" t="s">
        <v>1345</v>
      </c>
      <c r="E14" s="128"/>
    </row>
    <row r="15" spans="1:5" x14ac:dyDescent="0.2">
      <c r="A15" s="56" t="s">
        <v>1359</v>
      </c>
      <c r="B15" s="56" t="s">
        <v>1358</v>
      </c>
      <c r="C15" s="56" t="s">
        <v>1344</v>
      </c>
      <c r="D15" s="56" t="s">
        <v>1347</v>
      </c>
      <c r="E15" s="128"/>
    </row>
    <row r="16" spans="1:5" x14ac:dyDescent="0.2">
      <c r="A16" s="56" t="s">
        <v>1360</v>
      </c>
      <c r="B16" s="56" t="s">
        <v>1358</v>
      </c>
      <c r="C16" s="56" t="s">
        <v>1344</v>
      </c>
      <c r="D16" s="56" t="s">
        <v>1349</v>
      </c>
      <c r="E16" s="128"/>
    </row>
    <row r="17" spans="1:5" x14ac:dyDescent="0.2">
      <c r="A17" s="56" t="s">
        <v>1361</v>
      </c>
      <c r="B17" s="56" t="s">
        <v>1358</v>
      </c>
      <c r="C17" s="56" t="s">
        <v>1344</v>
      </c>
      <c r="D17" s="56" t="s">
        <v>1351</v>
      </c>
      <c r="E17" s="128"/>
    </row>
    <row r="18" spans="1:5" x14ac:dyDescent="0.2">
      <c r="A18" s="56" t="s">
        <v>1362</v>
      </c>
      <c r="B18" s="56" t="s">
        <v>1363</v>
      </c>
      <c r="C18" s="56" t="s">
        <v>1364</v>
      </c>
      <c r="D18" s="56" t="s">
        <v>1365</v>
      </c>
      <c r="E18" s="128"/>
    </row>
    <row r="19" spans="1:5" x14ac:dyDescent="0.2">
      <c r="A19" s="56" t="s">
        <v>1366</v>
      </c>
      <c r="B19" s="56" t="s">
        <v>1363</v>
      </c>
      <c r="C19" s="56" t="s">
        <v>1364</v>
      </c>
      <c r="D19" s="56" t="s">
        <v>1367</v>
      </c>
      <c r="E19" s="128"/>
    </row>
    <row r="20" spans="1:5" x14ac:dyDescent="0.2">
      <c r="A20" s="56" t="s">
        <v>1368</v>
      </c>
      <c r="B20" s="56" t="s">
        <v>1363</v>
      </c>
      <c r="C20" s="56" t="s">
        <v>1364</v>
      </c>
      <c r="D20" s="56" t="s">
        <v>1369</v>
      </c>
      <c r="E20" s="128"/>
    </row>
    <row r="21" spans="1:5" x14ac:dyDescent="0.2">
      <c r="A21" s="56" t="s">
        <v>1370</v>
      </c>
      <c r="B21" s="56" t="s">
        <v>1363</v>
      </c>
      <c r="C21" s="56" t="s">
        <v>1364</v>
      </c>
      <c r="D21" s="56" t="s">
        <v>1371</v>
      </c>
      <c r="E21" s="128"/>
    </row>
    <row r="22" spans="1:5" x14ac:dyDescent="0.2">
      <c r="A22" s="56" t="s">
        <v>1372</v>
      </c>
      <c r="B22" s="56" t="s">
        <v>1373</v>
      </c>
      <c r="C22" s="56" t="s">
        <v>1364</v>
      </c>
      <c r="D22" s="56" t="s">
        <v>1365</v>
      </c>
      <c r="E22" s="128"/>
    </row>
    <row r="23" spans="1:5" x14ac:dyDescent="0.2">
      <c r="A23" s="56" t="s">
        <v>1374</v>
      </c>
      <c r="B23" s="56" t="s">
        <v>1373</v>
      </c>
      <c r="C23" s="56" t="s">
        <v>1364</v>
      </c>
      <c r="D23" s="56" t="s">
        <v>1367</v>
      </c>
      <c r="E23" s="128"/>
    </row>
    <row r="24" spans="1:5" x14ac:dyDescent="0.2">
      <c r="A24" s="56" t="s">
        <v>1375</v>
      </c>
      <c r="B24" s="56" t="s">
        <v>1373</v>
      </c>
      <c r="C24" s="56" t="s">
        <v>1364</v>
      </c>
      <c r="D24" s="56" t="s">
        <v>1369</v>
      </c>
      <c r="E24" s="128"/>
    </row>
    <row r="25" spans="1:5" x14ac:dyDescent="0.2">
      <c r="A25" s="56" t="s">
        <v>1376</v>
      </c>
      <c r="B25" s="56" t="s">
        <v>1373</v>
      </c>
      <c r="C25" s="56" t="s">
        <v>1364</v>
      </c>
      <c r="D25" s="56" t="s">
        <v>1371</v>
      </c>
      <c r="E25" s="128"/>
    </row>
    <row r="26" spans="1:5" x14ac:dyDescent="0.2">
      <c r="A26" s="56" t="s">
        <v>1377</v>
      </c>
      <c r="B26" s="56" t="s">
        <v>1378</v>
      </c>
      <c r="C26" s="56" t="s">
        <v>1364</v>
      </c>
      <c r="D26" s="56" t="s">
        <v>1365</v>
      </c>
      <c r="E26" s="128"/>
    </row>
    <row r="27" spans="1:5" x14ac:dyDescent="0.2">
      <c r="A27" s="56" t="s">
        <v>1379</v>
      </c>
      <c r="B27" s="56" t="s">
        <v>1378</v>
      </c>
      <c r="C27" s="56" t="s">
        <v>1364</v>
      </c>
      <c r="D27" s="56" t="s">
        <v>1367</v>
      </c>
      <c r="E27" s="128"/>
    </row>
    <row r="28" spans="1:5" x14ac:dyDescent="0.2">
      <c r="A28" s="56" t="s">
        <v>1380</v>
      </c>
      <c r="B28" s="56" t="s">
        <v>1378</v>
      </c>
      <c r="C28" s="56" t="s">
        <v>1364</v>
      </c>
      <c r="D28" s="56" t="s">
        <v>1369</v>
      </c>
      <c r="E28" s="128"/>
    </row>
    <row r="29" spans="1:5" x14ac:dyDescent="0.2">
      <c r="A29" s="56" t="s">
        <v>1381</v>
      </c>
      <c r="B29" s="56" t="s">
        <v>1378</v>
      </c>
      <c r="C29" s="56" t="s">
        <v>1364</v>
      </c>
      <c r="D29" s="56" t="s">
        <v>1371</v>
      </c>
      <c r="E29" s="128"/>
    </row>
    <row r="30" spans="1:5" x14ac:dyDescent="0.2">
      <c r="A30" s="56" t="s">
        <v>1382</v>
      </c>
      <c r="B30" s="56" t="s">
        <v>1383</v>
      </c>
      <c r="C30" s="56" t="s">
        <v>1364</v>
      </c>
      <c r="D30" s="56" t="s">
        <v>1365</v>
      </c>
      <c r="E30" s="128"/>
    </row>
    <row r="31" spans="1:5" x14ac:dyDescent="0.2">
      <c r="A31" s="56" t="s">
        <v>1384</v>
      </c>
      <c r="B31" s="56" t="s">
        <v>1383</v>
      </c>
      <c r="C31" s="56" t="s">
        <v>1364</v>
      </c>
      <c r="D31" s="56" t="s">
        <v>1367</v>
      </c>
      <c r="E31" s="128"/>
    </row>
    <row r="32" spans="1:5" x14ac:dyDescent="0.2">
      <c r="A32" s="56" t="s">
        <v>1385</v>
      </c>
      <c r="B32" s="56" t="s">
        <v>1383</v>
      </c>
      <c r="C32" s="56" t="s">
        <v>1364</v>
      </c>
      <c r="D32" s="56" t="s">
        <v>1369</v>
      </c>
      <c r="E32" s="128"/>
    </row>
    <row r="33" spans="1:5" x14ac:dyDescent="0.2">
      <c r="A33" s="56" t="s">
        <v>1386</v>
      </c>
      <c r="B33" s="56" t="s">
        <v>1383</v>
      </c>
      <c r="C33" s="56" t="s">
        <v>1364</v>
      </c>
      <c r="D33" s="56" t="s">
        <v>1371</v>
      </c>
      <c r="E33" s="128"/>
    </row>
    <row r="34" spans="1:5" x14ac:dyDescent="0.2">
      <c r="A34" s="56" t="s">
        <v>1387</v>
      </c>
      <c r="B34" s="56" t="s">
        <v>1388</v>
      </c>
      <c r="C34" s="56" t="s">
        <v>1364</v>
      </c>
      <c r="D34" s="56" t="s">
        <v>1365</v>
      </c>
      <c r="E34" s="128"/>
    </row>
    <row r="35" spans="1:5" x14ac:dyDescent="0.2">
      <c r="A35" s="56" t="s">
        <v>1389</v>
      </c>
      <c r="B35" s="56" t="s">
        <v>1388</v>
      </c>
      <c r="C35" s="56" t="s">
        <v>1364</v>
      </c>
      <c r="D35" s="56" t="s">
        <v>1367</v>
      </c>
      <c r="E35" s="128"/>
    </row>
    <row r="36" spans="1:5" x14ac:dyDescent="0.2">
      <c r="A36" s="56" t="s">
        <v>1390</v>
      </c>
      <c r="B36" s="56" t="s">
        <v>1388</v>
      </c>
      <c r="C36" s="56" t="s">
        <v>1364</v>
      </c>
      <c r="D36" s="56" t="s">
        <v>1369</v>
      </c>
      <c r="E36" s="128"/>
    </row>
    <row r="37" spans="1:5" x14ac:dyDescent="0.2">
      <c r="A37" s="56" t="s">
        <v>1391</v>
      </c>
      <c r="B37" s="56" t="s">
        <v>1388</v>
      </c>
      <c r="C37" s="56" t="s">
        <v>1364</v>
      </c>
      <c r="D37" s="56" t="s">
        <v>1371</v>
      </c>
      <c r="E37" s="128"/>
    </row>
    <row r="38" spans="1:5" x14ac:dyDescent="0.2">
      <c r="A38" s="56" t="s">
        <v>1392</v>
      </c>
      <c r="B38" s="56" t="s">
        <v>1393</v>
      </c>
      <c r="C38" s="56" t="s">
        <v>1364</v>
      </c>
      <c r="D38" s="56" t="s">
        <v>1365</v>
      </c>
      <c r="E38" s="128"/>
    </row>
    <row r="39" spans="1:5" x14ac:dyDescent="0.2">
      <c r="A39" s="56" t="s">
        <v>1394</v>
      </c>
      <c r="B39" s="56" t="s">
        <v>1393</v>
      </c>
      <c r="C39" s="56" t="s">
        <v>1364</v>
      </c>
      <c r="D39" s="56" t="s">
        <v>1367</v>
      </c>
      <c r="E39" s="128"/>
    </row>
    <row r="40" spans="1:5" x14ac:dyDescent="0.2">
      <c r="A40" s="56" t="s">
        <v>1395</v>
      </c>
      <c r="B40" s="56" t="s">
        <v>1393</v>
      </c>
      <c r="C40" s="56" t="s">
        <v>1364</v>
      </c>
      <c r="D40" s="56" t="s">
        <v>1369</v>
      </c>
      <c r="E40" s="128"/>
    </row>
    <row r="41" spans="1:5" x14ac:dyDescent="0.2">
      <c r="A41" s="56" t="s">
        <v>1396</v>
      </c>
      <c r="B41" s="56" t="s">
        <v>1393</v>
      </c>
      <c r="C41" s="56" t="s">
        <v>1364</v>
      </c>
      <c r="D41" s="56" t="s">
        <v>1371</v>
      </c>
      <c r="E41" s="128"/>
    </row>
    <row r="42" spans="1:5" x14ac:dyDescent="0.2">
      <c r="A42" s="56" t="s">
        <v>1397</v>
      </c>
      <c r="B42" s="56" t="s">
        <v>1398</v>
      </c>
      <c r="C42" s="56" t="s">
        <v>1364</v>
      </c>
      <c r="D42" s="56" t="s">
        <v>1365</v>
      </c>
      <c r="E42" s="128"/>
    </row>
    <row r="43" spans="1:5" x14ac:dyDescent="0.2">
      <c r="A43" s="56" t="s">
        <v>1399</v>
      </c>
      <c r="B43" s="56" t="s">
        <v>1398</v>
      </c>
      <c r="C43" s="56" t="s">
        <v>1364</v>
      </c>
      <c r="D43" s="56" t="s">
        <v>1367</v>
      </c>
      <c r="E43" s="128"/>
    </row>
    <row r="44" spans="1:5" x14ac:dyDescent="0.2">
      <c r="A44" s="56" t="s">
        <v>1400</v>
      </c>
      <c r="B44" s="56" t="s">
        <v>1398</v>
      </c>
      <c r="C44" s="56" t="s">
        <v>1364</v>
      </c>
      <c r="D44" s="56" t="s">
        <v>1369</v>
      </c>
      <c r="E44" s="128"/>
    </row>
    <row r="45" spans="1:5" x14ac:dyDescent="0.2">
      <c r="A45" s="56" t="s">
        <v>1401</v>
      </c>
      <c r="B45" s="56" t="s">
        <v>1398</v>
      </c>
      <c r="C45" s="56" t="s">
        <v>1364</v>
      </c>
      <c r="D45" s="56" t="s">
        <v>1371</v>
      </c>
      <c r="E45" s="128"/>
    </row>
    <row r="46" spans="1:5" x14ac:dyDescent="0.2">
      <c r="A46" s="56" t="s">
        <v>1402</v>
      </c>
      <c r="B46" s="56" t="s">
        <v>1403</v>
      </c>
      <c r="C46" s="56" t="s">
        <v>1364</v>
      </c>
      <c r="D46" s="56" t="s">
        <v>35</v>
      </c>
      <c r="E46" s="128"/>
    </row>
    <row r="47" spans="1:5" x14ac:dyDescent="0.2">
      <c r="A47" s="56" t="s">
        <v>1404</v>
      </c>
      <c r="B47" s="56" t="s">
        <v>1405</v>
      </c>
      <c r="C47" s="56" t="s">
        <v>1406</v>
      </c>
      <c r="D47" s="56" t="s">
        <v>35</v>
      </c>
      <c r="E47" s="128"/>
    </row>
    <row r="48" spans="1:5" x14ac:dyDescent="0.2">
      <c r="A48" s="56" t="s">
        <v>1407</v>
      </c>
      <c r="B48" s="56" t="s">
        <v>1408</v>
      </c>
      <c r="C48" s="56" t="s">
        <v>1364</v>
      </c>
      <c r="D48" s="56" t="s">
        <v>1409</v>
      </c>
      <c r="E48" s="128"/>
    </row>
    <row r="49" spans="1:5" x14ac:dyDescent="0.2">
      <c r="A49" s="56" t="s">
        <v>1410</v>
      </c>
      <c r="B49" s="56" t="s">
        <v>1408</v>
      </c>
      <c r="C49" s="56" t="s">
        <v>1364</v>
      </c>
      <c r="D49" s="56" t="s">
        <v>1411</v>
      </c>
      <c r="E49" s="128"/>
    </row>
    <row r="50" spans="1:5" x14ac:dyDescent="0.2">
      <c r="A50" s="56" t="s">
        <v>1412</v>
      </c>
      <c r="B50" s="56" t="s">
        <v>1408</v>
      </c>
      <c r="C50" s="56" t="s">
        <v>1364</v>
      </c>
      <c r="D50" s="56" t="s">
        <v>1413</v>
      </c>
      <c r="E50" s="128"/>
    </row>
    <row r="51" spans="1:5" x14ac:dyDescent="0.2">
      <c r="A51" s="56" t="s">
        <v>1414</v>
      </c>
      <c r="B51" s="56" t="s">
        <v>1408</v>
      </c>
      <c r="C51" s="56" t="s">
        <v>1364</v>
      </c>
      <c r="D51" s="56" t="s">
        <v>1415</v>
      </c>
      <c r="E51" s="128"/>
    </row>
    <row r="52" spans="1:5" x14ac:dyDescent="0.2">
      <c r="A52" s="56" t="s">
        <v>1416</v>
      </c>
      <c r="B52" s="56" t="s">
        <v>1417</v>
      </c>
      <c r="C52" s="56" t="s">
        <v>1364</v>
      </c>
      <c r="D52" s="56" t="s">
        <v>1409</v>
      </c>
      <c r="E52" s="128"/>
    </row>
    <row r="53" spans="1:5" x14ac:dyDescent="0.2">
      <c r="A53" s="56" t="s">
        <v>1418</v>
      </c>
      <c r="B53" s="56" t="s">
        <v>1417</v>
      </c>
      <c r="C53" s="56" t="s">
        <v>1364</v>
      </c>
      <c r="D53" s="56" t="s">
        <v>1411</v>
      </c>
      <c r="E53" s="128"/>
    </row>
    <row r="54" spans="1:5" x14ac:dyDescent="0.2">
      <c r="A54" s="56" t="s">
        <v>1419</v>
      </c>
      <c r="B54" s="56" t="s">
        <v>1417</v>
      </c>
      <c r="C54" s="56" t="s">
        <v>1364</v>
      </c>
      <c r="D54" s="56" t="s">
        <v>1413</v>
      </c>
      <c r="E54" s="128"/>
    </row>
    <row r="55" spans="1:5" x14ac:dyDescent="0.2">
      <c r="A55" s="56" t="s">
        <v>1420</v>
      </c>
      <c r="B55" s="56" t="s">
        <v>1417</v>
      </c>
      <c r="C55" s="56" t="s">
        <v>1364</v>
      </c>
      <c r="D55" s="56" t="s">
        <v>1415</v>
      </c>
      <c r="E55" s="128"/>
    </row>
    <row r="56" spans="1:5" x14ac:dyDescent="0.2">
      <c r="A56" s="56" t="s">
        <v>1421</v>
      </c>
      <c r="B56" s="56" t="s">
        <v>1422</v>
      </c>
      <c r="C56" s="56" t="s">
        <v>1364</v>
      </c>
      <c r="D56" s="56" t="s">
        <v>1409</v>
      </c>
      <c r="E56" s="128"/>
    </row>
    <row r="57" spans="1:5" x14ac:dyDescent="0.2">
      <c r="A57" s="56" t="s">
        <v>1423</v>
      </c>
      <c r="B57" s="56" t="s">
        <v>1422</v>
      </c>
      <c r="C57" s="56" t="s">
        <v>1364</v>
      </c>
      <c r="D57" s="56" t="s">
        <v>1411</v>
      </c>
      <c r="E57" s="128"/>
    </row>
    <row r="58" spans="1:5" x14ac:dyDescent="0.2">
      <c r="A58" s="56" t="s">
        <v>1424</v>
      </c>
      <c r="B58" s="56" t="s">
        <v>1422</v>
      </c>
      <c r="C58" s="56" t="s">
        <v>1364</v>
      </c>
      <c r="D58" s="56" t="s">
        <v>1413</v>
      </c>
      <c r="E58" s="128"/>
    </row>
    <row r="59" spans="1:5" x14ac:dyDescent="0.2">
      <c r="A59" s="56" t="s">
        <v>1425</v>
      </c>
      <c r="B59" s="56" t="s">
        <v>1422</v>
      </c>
      <c r="C59" s="56" t="s">
        <v>1364</v>
      </c>
      <c r="D59" s="56" t="s">
        <v>1415</v>
      </c>
      <c r="E59" s="128"/>
    </row>
    <row r="60" spans="1:5" x14ac:dyDescent="0.2">
      <c r="A60" s="56" t="s">
        <v>1426</v>
      </c>
      <c r="B60" s="56" t="s">
        <v>1427</v>
      </c>
      <c r="C60" s="56" t="s">
        <v>1364</v>
      </c>
      <c r="D60" s="56" t="s">
        <v>1409</v>
      </c>
      <c r="E60" s="128"/>
    </row>
    <row r="61" spans="1:5" x14ac:dyDescent="0.2">
      <c r="A61" s="56" t="s">
        <v>1428</v>
      </c>
      <c r="B61" s="56" t="s">
        <v>1427</v>
      </c>
      <c r="C61" s="56" t="s">
        <v>1364</v>
      </c>
      <c r="D61" s="56" t="s">
        <v>1411</v>
      </c>
      <c r="E61" s="128"/>
    </row>
    <row r="62" spans="1:5" x14ac:dyDescent="0.2">
      <c r="A62" s="56" t="s">
        <v>1429</v>
      </c>
      <c r="B62" s="56" t="s">
        <v>1427</v>
      </c>
      <c r="C62" s="56" t="s">
        <v>1364</v>
      </c>
      <c r="D62" s="56" t="s">
        <v>1413</v>
      </c>
      <c r="E62" s="128"/>
    </row>
    <row r="63" spans="1:5" x14ac:dyDescent="0.2">
      <c r="A63" s="56" t="s">
        <v>1430</v>
      </c>
      <c r="B63" s="56" t="s">
        <v>1427</v>
      </c>
      <c r="C63" s="56" t="s">
        <v>1364</v>
      </c>
      <c r="D63" s="56" t="s">
        <v>1415</v>
      </c>
      <c r="E63" s="128"/>
    </row>
    <row r="64" spans="1:5" x14ac:dyDescent="0.2">
      <c r="A64" s="56" t="s">
        <v>1431</v>
      </c>
      <c r="B64" s="56" t="s">
        <v>1432</v>
      </c>
      <c r="C64" s="56" t="s">
        <v>1364</v>
      </c>
      <c r="D64" s="56" t="s">
        <v>1409</v>
      </c>
      <c r="E64" s="128"/>
    </row>
    <row r="65" spans="1:5" x14ac:dyDescent="0.2">
      <c r="A65" s="56" t="s">
        <v>1433</v>
      </c>
      <c r="B65" s="56" t="s">
        <v>1432</v>
      </c>
      <c r="C65" s="56" t="s">
        <v>1364</v>
      </c>
      <c r="D65" s="56" t="s">
        <v>1411</v>
      </c>
      <c r="E65" s="128"/>
    </row>
    <row r="66" spans="1:5" x14ac:dyDescent="0.2">
      <c r="A66" s="56" t="s">
        <v>1434</v>
      </c>
      <c r="B66" s="56" t="s">
        <v>1432</v>
      </c>
      <c r="C66" s="56" t="s">
        <v>1364</v>
      </c>
      <c r="D66" s="56" t="s">
        <v>1413</v>
      </c>
      <c r="E66" s="128"/>
    </row>
    <row r="67" spans="1:5" x14ac:dyDescent="0.2">
      <c r="A67" s="56" t="s">
        <v>1435</v>
      </c>
      <c r="B67" s="56" t="s">
        <v>1432</v>
      </c>
      <c r="C67" s="56" t="s">
        <v>1364</v>
      </c>
      <c r="D67" s="56" t="s">
        <v>1415</v>
      </c>
      <c r="E67" s="128"/>
    </row>
    <row r="68" spans="1:5" x14ac:dyDescent="0.2">
      <c r="A68" s="56" t="s">
        <v>1436</v>
      </c>
      <c r="B68" s="56" t="s">
        <v>1437</v>
      </c>
      <c r="C68" s="56" t="s">
        <v>1364</v>
      </c>
      <c r="D68" s="56" t="s">
        <v>1409</v>
      </c>
      <c r="E68" s="128"/>
    </row>
    <row r="69" spans="1:5" x14ac:dyDescent="0.2">
      <c r="A69" s="56" t="s">
        <v>1438</v>
      </c>
      <c r="B69" s="56" t="s">
        <v>1437</v>
      </c>
      <c r="C69" s="56" t="s">
        <v>1364</v>
      </c>
      <c r="D69" s="56" t="s">
        <v>1411</v>
      </c>
      <c r="E69" s="128"/>
    </row>
    <row r="70" spans="1:5" x14ac:dyDescent="0.2">
      <c r="A70" s="56" t="s">
        <v>1439</v>
      </c>
      <c r="B70" s="56" t="s">
        <v>1437</v>
      </c>
      <c r="C70" s="56" t="s">
        <v>1364</v>
      </c>
      <c r="D70" s="56" t="s">
        <v>1413</v>
      </c>
      <c r="E70" s="128"/>
    </row>
    <row r="71" spans="1:5" x14ac:dyDescent="0.2">
      <c r="A71" s="56" t="s">
        <v>1440</v>
      </c>
      <c r="B71" s="56" t="s">
        <v>1437</v>
      </c>
      <c r="C71" s="56" t="s">
        <v>1364</v>
      </c>
      <c r="D71" s="56" t="s">
        <v>1415</v>
      </c>
      <c r="E71" s="128"/>
    </row>
    <row r="72" spans="1:5" x14ac:dyDescent="0.2">
      <c r="A72" s="56" t="s">
        <v>1441</v>
      </c>
      <c r="B72" s="56" t="s">
        <v>1442</v>
      </c>
      <c r="C72" s="56" t="s">
        <v>1364</v>
      </c>
      <c r="D72" s="56" t="s">
        <v>1409</v>
      </c>
      <c r="E72" s="128"/>
    </row>
    <row r="73" spans="1:5" x14ac:dyDescent="0.2">
      <c r="A73" s="56" t="s">
        <v>1443</v>
      </c>
      <c r="B73" s="56" t="s">
        <v>1442</v>
      </c>
      <c r="C73" s="56" t="s">
        <v>1364</v>
      </c>
      <c r="D73" s="56" t="s">
        <v>1411</v>
      </c>
      <c r="E73" s="128"/>
    </row>
    <row r="74" spans="1:5" x14ac:dyDescent="0.2">
      <c r="A74" s="56" t="s">
        <v>1444</v>
      </c>
      <c r="B74" s="56" t="s">
        <v>1442</v>
      </c>
      <c r="C74" s="56" t="s">
        <v>1364</v>
      </c>
      <c r="D74" s="56" t="s">
        <v>1413</v>
      </c>
      <c r="E74" s="128"/>
    </row>
    <row r="75" spans="1:5" x14ac:dyDescent="0.2">
      <c r="A75" s="56" t="s">
        <v>1445</v>
      </c>
      <c r="B75" s="56" t="s">
        <v>1442</v>
      </c>
      <c r="C75" s="56" t="s">
        <v>1364</v>
      </c>
      <c r="D75" s="56" t="s">
        <v>1415</v>
      </c>
      <c r="E75" s="128"/>
    </row>
    <row r="76" spans="1:5" x14ac:dyDescent="0.2">
      <c r="A76" s="56" t="s">
        <v>1446</v>
      </c>
      <c r="B76" s="56" t="s">
        <v>1447</v>
      </c>
      <c r="C76" s="56" t="s">
        <v>1364</v>
      </c>
      <c r="D76" s="56" t="s">
        <v>1409</v>
      </c>
      <c r="E76" s="128"/>
    </row>
    <row r="77" spans="1:5" x14ac:dyDescent="0.2">
      <c r="A77" s="56" t="s">
        <v>1448</v>
      </c>
      <c r="B77" s="56" t="s">
        <v>1447</v>
      </c>
      <c r="C77" s="56" t="s">
        <v>1364</v>
      </c>
      <c r="D77" s="56" t="s">
        <v>1411</v>
      </c>
      <c r="E77" s="128"/>
    </row>
    <row r="78" spans="1:5" x14ac:dyDescent="0.2">
      <c r="A78" s="56" t="s">
        <v>1449</v>
      </c>
      <c r="B78" s="56" t="s">
        <v>1447</v>
      </c>
      <c r="C78" s="56" t="s">
        <v>1364</v>
      </c>
      <c r="D78" s="56" t="s">
        <v>1413</v>
      </c>
      <c r="E78" s="128"/>
    </row>
    <row r="79" spans="1:5" x14ac:dyDescent="0.2">
      <c r="A79" s="56" t="s">
        <v>1450</v>
      </c>
      <c r="B79" s="56" t="s">
        <v>1447</v>
      </c>
      <c r="C79" s="56" t="s">
        <v>1364</v>
      </c>
      <c r="D79" s="56" t="s">
        <v>1415</v>
      </c>
      <c r="E79" s="128"/>
    </row>
    <row r="80" spans="1:5" x14ac:dyDescent="0.2">
      <c r="A80" s="56" t="s">
        <v>1451</v>
      </c>
      <c r="B80" s="56" t="s">
        <v>1452</v>
      </c>
      <c r="C80" s="56" t="s">
        <v>1364</v>
      </c>
      <c r="D80" s="56" t="s">
        <v>1409</v>
      </c>
      <c r="E80" s="128"/>
    </row>
    <row r="81" spans="1:5" x14ac:dyDescent="0.2">
      <c r="A81" s="56" t="s">
        <v>1453</v>
      </c>
      <c r="B81" s="56" t="s">
        <v>1452</v>
      </c>
      <c r="C81" s="56" t="s">
        <v>1364</v>
      </c>
      <c r="D81" s="56" t="s">
        <v>1411</v>
      </c>
      <c r="E81" s="128"/>
    </row>
    <row r="82" spans="1:5" x14ac:dyDescent="0.2">
      <c r="A82" s="56" t="s">
        <v>1454</v>
      </c>
      <c r="B82" s="56" t="s">
        <v>1452</v>
      </c>
      <c r="C82" s="56" t="s">
        <v>1364</v>
      </c>
      <c r="D82" s="56" t="s">
        <v>1413</v>
      </c>
      <c r="E82" s="128"/>
    </row>
    <row r="83" spans="1:5" x14ac:dyDescent="0.2">
      <c r="A83" s="56" t="s">
        <v>1455</v>
      </c>
      <c r="B83" s="56" t="s">
        <v>1452</v>
      </c>
      <c r="C83" s="56" t="s">
        <v>1364</v>
      </c>
      <c r="D83" s="56" t="s">
        <v>1415</v>
      </c>
      <c r="E83" s="128"/>
    </row>
    <row r="84" spans="1:5" x14ac:dyDescent="0.2">
      <c r="A84" s="56" t="s">
        <v>1456</v>
      </c>
      <c r="B84" s="56" t="s">
        <v>1457</v>
      </c>
      <c r="C84" s="56" t="s">
        <v>1364</v>
      </c>
      <c r="D84" s="56" t="s">
        <v>1409</v>
      </c>
      <c r="E84" s="128"/>
    </row>
    <row r="85" spans="1:5" x14ac:dyDescent="0.2">
      <c r="A85" s="56" t="s">
        <v>1458</v>
      </c>
      <c r="B85" s="56" t="s">
        <v>1457</v>
      </c>
      <c r="C85" s="56" t="s">
        <v>1364</v>
      </c>
      <c r="D85" s="56" t="s">
        <v>1411</v>
      </c>
      <c r="E85" s="128"/>
    </row>
    <row r="86" spans="1:5" x14ac:dyDescent="0.2">
      <c r="A86" s="56" t="s">
        <v>1459</v>
      </c>
      <c r="B86" s="56" t="s">
        <v>1457</v>
      </c>
      <c r="C86" s="56" t="s">
        <v>1364</v>
      </c>
      <c r="D86" s="56" t="s">
        <v>1413</v>
      </c>
      <c r="E86" s="128"/>
    </row>
    <row r="87" spans="1:5" x14ac:dyDescent="0.2">
      <c r="A87" s="56" t="s">
        <v>1460</v>
      </c>
      <c r="B87" s="56" t="s">
        <v>1457</v>
      </c>
      <c r="C87" s="56" t="s">
        <v>1364</v>
      </c>
      <c r="D87" s="56" t="s">
        <v>1415</v>
      </c>
      <c r="E87" s="128"/>
    </row>
    <row r="88" spans="1:5" x14ac:dyDescent="0.2">
      <c r="A88" s="56" t="s">
        <v>1461</v>
      </c>
      <c r="B88" s="56" t="s">
        <v>1462</v>
      </c>
      <c r="C88" s="56" t="s">
        <v>1344</v>
      </c>
      <c r="D88" s="56" t="s">
        <v>1345</v>
      </c>
      <c r="E88" s="128"/>
    </row>
    <row r="89" spans="1:5" x14ac:dyDescent="0.2">
      <c r="A89" s="56" t="s">
        <v>1463</v>
      </c>
      <c r="B89" s="56" t="s">
        <v>1462</v>
      </c>
      <c r="C89" s="56" t="s">
        <v>1344</v>
      </c>
      <c r="D89" s="56" t="s">
        <v>1347</v>
      </c>
      <c r="E89" s="128"/>
    </row>
    <row r="90" spans="1:5" x14ac:dyDescent="0.2">
      <c r="A90" s="56" t="s">
        <v>1464</v>
      </c>
      <c r="B90" s="56" t="s">
        <v>1462</v>
      </c>
      <c r="C90" s="56" t="s">
        <v>1344</v>
      </c>
      <c r="D90" s="56" t="s">
        <v>1349</v>
      </c>
      <c r="E90" s="128"/>
    </row>
    <row r="91" spans="1:5" x14ac:dyDescent="0.2">
      <c r="A91" s="61" t="s">
        <v>1465</v>
      </c>
      <c r="B91" s="61" t="s">
        <v>1462</v>
      </c>
      <c r="C91" s="61" t="s">
        <v>1344</v>
      </c>
      <c r="D91" s="61" t="s">
        <v>1351</v>
      </c>
      <c r="E91" s="129"/>
    </row>
    <row r="92" spans="1:5" x14ac:dyDescent="0.2">
      <c r="A92" s="73" t="s">
        <v>300</v>
      </c>
      <c r="B92" s="74"/>
      <c r="C92" s="74"/>
      <c r="D92" s="74"/>
      <c r="E92" s="124"/>
    </row>
    <row r="94" spans="1:5" x14ac:dyDescent="0.2">
      <c r="A94" s="73" t="s">
        <v>1466</v>
      </c>
      <c r="B94" s="74"/>
      <c r="C94" s="74"/>
      <c r="D94" s="74"/>
      <c r="E94" s="124"/>
    </row>
  </sheetData>
  <sheetProtection algorithmName="SHA-512" hashValue="ujxgxPvKzgJY0L2udggPRFFCnGqOaekXQKAi1HWXbQ55JhfNe3qQbBf0RCvuwqMnaVSAkuKluKkcWMRveiTnqw==" saltValue="bFXNc9aEv1USFHwV3MqFzQ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6C31-178A-47C3-AFF4-F2AC90C126C5}">
  <dimension ref="A1:L1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H  .9: ",tabeltype," regiewerk")</f>
        <v>Bijlage H  .9: Invultabel regiewerk</v>
      </c>
    </row>
    <row r="3" spans="1:12" ht="37.799999999999997" x14ac:dyDescent="0.2">
      <c r="A3" s="44" t="s">
        <v>1307</v>
      </c>
      <c r="B3" s="44" t="s">
        <v>7</v>
      </c>
      <c r="C3" s="44" t="s">
        <v>1308</v>
      </c>
      <c r="D3" s="44" t="s">
        <v>92</v>
      </c>
      <c r="E3" s="44" t="s">
        <v>95</v>
      </c>
      <c r="F3" s="44" t="s">
        <v>1309</v>
      </c>
      <c r="G3" s="44" t="s">
        <v>1310</v>
      </c>
      <c r="H3" s="44" t="s">
        <v>1311</v>
      </c>
      <c r="I3" s="44" t="s">
        <v>1312</v>
      </c>
      <c r="J3" s="44" t="s">
        <v>1313</v>
      </c>
      <c r="K3" s="44" t="s">
        <v>233</v>
      </c>
      <c r="L3" s="44" t="s">
        <v>1228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1467</v>
      </c>
      <c r="B6" s="51" t="s">
        <v>16</v>
      </c>
      <c r="C6" s="52">
        <f>IF(ISBLANK(B6),0,IF(ISERROR(VALUE(B6)),VLOOKUP(B6,dagsoorttabel1,2,FALSE)*dagenperjaar1,VALUE(B6)))</f>
        <v>10</v>
      </c>
      <c r="D6" s="51" t="s">
        <v>1468</v>
      </c>
      <c r="E6" s="51" t="s">
        <v>1406</v>
      </c>
      <c r="F6" s="130">
        <v>20</v>
      </c>
      <c r="G6" s="131">
        <f>Tariefopbouw2</f>
        <v>0</v>
      </c>
      <c r="H6" s="132"/>
      <c r="I6" s="131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1469</v>
      </c>
      <c r="B7" s="56" t="s">
        <v>16</v>
      </c>
      <c r="C7" s="57">
        <f>IF(ISBLANK(B7),0,IF(ISERROR(VALUE(B7)),VLOOKUP(B7,dagsoorttabel1,2,FALSE)*dagenperjaar1,VALUE(B7)))</f>
        <v>10</v>
      </c>
      <c r="D7" s="56" t="s">
        <v>1470</v>
      </c>
      <c r="E7" s="56" t="s">
        <v>1406</v>
      </c>
      <c r="F7" s="133">
        <v>4</v>
      </c>
      <c r="G7" s="134">
        <f>Tariefopbouw3</f>
        <v>0</v>
      </c>
      <c r="H7" s="135"/>
      <c r="I7" s="134">
        <f>G7</f>
        <v>0</v>
      </c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1471</v>
      </c>
      <c r="B8" s="56" t="s">
        <v>20</v>
      </c>
      <c r="C8" s="57">
        <f>IF(ISBLANK(B8),0,IF(ISERROR(VALUE(B8)),VLOOKUP(B8,dagsoorttabel1,2,FALSE)*dagenperjaar1,VALUE(B8)))</f>
        <v>2</v>
      </c>
      <c r="D8" s="56" t="s">
        <v>1472</v>
      </c>
      <c r="E8" s="56" t="s">
        <v>1406</v>
      </c>
      <c r="F8" s="133">
        <v>10</v>
      </c>
      <c r="G8" s="134">
        <f>Tariefopbouw2</f>
        <v>0</v>
      </c>
      <c r="H8" s="135"/>
      <c r="I8" s="134">
        <f>G8</f>
        <v>0</v>
      </c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61" t="s">
        <v>1473</v>
      </c>
      <c r="B9" s="61" t="s">
        <v>20</v>
      </c>
      <c r="C9" s="62">
        <f>IF(ISBLANK(B9),0,IF(ISERROR(VALUE(B9)),VLOOKUP(B9,dagsoorttabel1,2,FALSE)*dagenperjaar1,VALUE(B9)))</f>
        <v>2</v>
      </c>
      <c r="D9" s="61" t="s">
        <v>1474</v>
      </c>
      <c r="E9" s="61" t="s">
        <v>1406</v>
      </c>
      <c r="F9" s="136">
        <v>8</v>
      </c>
      <c r="G9" s="137">
        <f>Tariefopbouw3</f>
        <v>0</v>
      </c>
      <c r="H9" s="138"/>
      <c r="I9" s="137">
        <f>G9</f>
        <v>0</v>
      </c>
      <c r="J9" s="65">
        <f>IF(ISBLANK(F9),0,F9)*ROUND(I9,2)</f>
        <v>0</v>
      </c>
      <c r="K9" s="65">
        <f>C9*J9</f>
        <v>0</v>
      </c>
      <c r="L9" s="65">
        <f>K9/12</f>
        <v>0</v>
      </c>
    </row>
    <row r="10" spans="1:12" x14ac:dyDescent="0.2">
      <c r="A10" s="73" t="s">
        <v>300</v>
      </c>
      <c r="B10" s="74"/>
      <c r="C10" s="74"/>
      <c r="D10" s="74"/>
      <c r="E10" s="74"/>
      <c r="F10" s="74"/>
      <c r="G10" s="74"/>
      <c r="H10" s="74"/>
      <c r="I10" s="74"/>
      <c r="J10" s="74"/>
      <c r="K10" s="76">
        <f>SUM(K6:K9)</f>
        <v>0</v>
      </c>
      <c r="L10" s="122">
        <f>K10/12</f>
        <v>0</v>
      </c>
    </row>
    <row r="12" spans="1:12" x14ac:dyDescent="0.2">
      <c r="A12" s="73" t="s">
        <v>1475</v>
      </c>
      <c r="B12" s="74"/>
      <c r="C12" s="74"/>
      <c r="D12" s="74"/>
      <c r="E12" s="74"/>
      <c r="F12" s="74"/>
      <c r="G12" s="74"/>
      <c r="H12" s="74"/>
      <c r="I12" s="74"/>
      <c r="J12" s="74"/>
      <c r="K12" s="76">
        <f>prijsjaarregie1</f>
        <v>0</v>
      </c>
      <c r="L12" s="122">
        <f>K12/12</f>
        <v>0</v>
      </c>
    </row>
  </sheetData>
  <sheetProtection algorithmName="SHA-512" hashValue="1sCZVOCPptr3F1YReIxrfkYd/eEVkgI1wCRIhl/+4s5QAsvx9gVaOirmFjlyDsV3EmizJcgfcKgCIczWmWYnDg==" saltValue="cVfHuY5KeKe1K/1NT9+3RA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3005-BF7F-43E5-9452-74AB438C1077}">
  <dimension ref="A1:L5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H  .10: ",tabeltype," glas")</f>
        <v>Bijlage H  .10: Invultabel glas</v>
      </c>
    </row>
    <row r="3" spans="1:12" ht="37.799999999999997" x14ac:dyDescent="0.2">
      <c r="A3" s="44" t="s">
        <v>1307</v>
      </c>
      <c r="B3" s="44" t="s">
        <v>7</v>
      </c>
      <c r="C3" s="44" t="s">
        <v>1308</v>
      </c>
      <c r="D3" s="44" t="s">
        <v>92</v>
      </c>
      <c r="E3" s="44" t="s">
        <v>95</v>
      </c>
      <c r="F3" s="44" t="s">
        <v>1309</v>
      </c>
      <c r="G3" s="44" t="s">
        <v>1310</v>
      </c>
      <c r="H3" s="44" t="s">
        <v>1311</v>
      </c>
      <c r="I3" s="44" t="s">
        <v>1312</v>
      </c>
      <c r="J3" s="44" t="s">
        <v>1313</v>
      </c>
      <c r="K3" s="44" t="s">
        <v>233</v>
      </c>
      <c r="L3" s="44" t="s">
        <v>1228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1476</v>
      </c>
      <c r="B6" s="51" t="s">
        <v>19</v>
      </c>
      <c r="C6" s="52">
        <f>IF(ISBLANK(B6),0,IF(ISERROR(VALUE(B6)),VLOOKUP(B6,dagsoorttabel1,2,FALSE)*dagenperjaar1,VALUE(B6)))</f>
        <v>3</v>
      </c>
      <c r="D6" s="51" t="s">
        <v>1477</v>
      </c>
      <c r="E6" s="51" t="s">
        <v>1364</v>
      </c>
      <c r="F6" s="130">
        <v>3896</v>
      </c>
      <c r="G6" s="131">
        <f>Tariefopbouw4</f>
        <v>0</v>
      </c>
      <c r="H6" s="132"/>
      <c r="I6" s="127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1476</v>
      </c>
      <c r="B7" s="56" t="s">
        <v>18</v>
      </c>
      <c r="C7" s="57">
        <f>IF(ISBLANK(B7),0,IF(ISERROR(VALUE(B7)),VLOOKUP(B7,dagsoorttabel1,2,FALSE)*dagenperjaar1,VALUE(B7)))</f>
        <v>4</v>
      </c>
      <c r="D7" s="56" t="s">
        <v>1477</v>
      </c>
      <c r="E7" s="56" t="s">
        <v>1364</v>
      </c>
      <c r="F7" s="133">
        <v>1499</v>
      </c>
      <c r="G7" s="134">
        <f>Tariefopbouw4</f>
        <v>0</v>
      </c>
      <c r="H7" s="135"/>
      <c r="I7" s="128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56" t="s">
        <v>1478</v>
      </c>
      <c r="B8" s="56" t="s">
        <v>19</v>
      </c>
      <c r="C8" s="57">
        <f>IF(ISBLANK(B8),0,IF(ISERROR(VALUE(B8)),VLOOKUP(B8,dagsoorttabel1,2,FALSE)*dagenperjaar1,VALUE(B8)))</f>
        <v>3</v>
      </c>
      <c r="D8" s="56" t="s">
        <v>1479</v>
      </c>
      <c r="E8" s="56" t="s">
        <v>1364</v>
      </c>
      <c r="F8" s="133">
        <v>3858</v>
      </c>
      <c r="G8" s="134">
        <f>Tariefopbouw4</f>
        <v>0</v>
      </c>
      <c r="H8" s="135"/>
      <c r="I8" s="128"/>
      <c r="J8" s="60">
        <f>IF(ISBLANK(F8),0,F8)*ROUND(I8,2)</f>
        <v>0</v>
      </c>
      <c r="K8" s="60">
        <f>C8*J8</f>
        <v>0</v>
      </c>
      <c r="L8" s="60">
        <f>K8/12</f>
        <v>0</v>
      </c>
    </row>
    <row r="9" spans="1:12" x14ac:dyDescent="0.2">
      <c r="A9" s="56" t="s">
        <v>1478</v>
      </c>
      <c r="B9" s="56" t="s">
        <v>18</v>
      </c>
      <c r="C9" s="57">
        <f>IF(ISBLANK(B9),0,IF(ISERROR(VALUE(B9)),VLOOKUP(B9,dagsoorttabel1,2,FALSE)*dagenperjaar1,VALUE(B9)))</f>
        <v>4</v>
      </c>
      <c r="D9" s="56" t="s">
        <v>1479</v>
      </c>
      <c r="E9" s="56" t="s">
        <v>1364</v>
      </c>
      <c r="F9" s="133">
        <v>1499</v>
      </c>
      <c r="G9" s="134">
        <f>Tariefopbouw4</f>
        <v>0</v>
      </c>
      <c r="H9" s="135"/>
      <c r="I9" s="128"/>
      <c r="J9" s="60">
        <f>IF(ISBLANK(F9),0,F9)*ROUND(I9,2)</f>
        <v>0</v>
      </c>
      <c r="K9" s="60">
        <f>C9*J9</f>
        <v>0</v>
      </c>
      <c r="L9" s="60">
        <f>K9/12</f>
        <v>0</v>
      </c>
    </row>
    <row r="10" spans="1:12" x14ac:dyDescent="0.2">
      <c r="A10" s="56" t="s">
        <v>1480</v>
      </c>
      <c r="B10" s="56" t="s">
        <v>18</v>
      </c>
      <c r="C10" s="57">
        <f>IF(ISBLANK(B10),0,IF(ISERROR(VALUE(B10)),VLOOKUP(B10,dagsoorttabel1,2,FALSE)*dagenperjaar1,VALUE(B10)))</f>
        <v>4</v>
      </c>
      <c r="D10" s="56" t="s">
        <v>1481</v>
      </c>
      <c r="E10" s="56" t="s">
        <v>1364</v>
      </c>
      <c r="F10" s="133">
        <v>1682</v>
      </c>
      <c r="G10" s="134">
        <f>Tariefopbouw4</f>
        <v>0</v>
      </c>
      <c r="H10" s="135"/>
      <c r="I10" s="128"/>
      <c r="J10" s="60">
        <f>IF(ISBLANK(F10),0,F10)*ROUND(I10,2)</f>
        <v>0</v>
      </c>
      <c r="K10" s="60">
        <f>C10*J10</f>
        <v>0</v>
      </c>
      <c r="L10" s="60">
        <f>K10/12</f>
        <v>0</v>
      </c>
    </row>
    <row r="11" spans="1:12" x14ac:dyDescent="0.2">
      <c r="A11" s="56" t="s">
        <v>1482</v>
      </c>
      <c r="B11" s="56" t="s">
        <v>19</v>
      </c>
      <c r="C11" s="57">
        <f>IF(ISBLANK(B11),0,IF(ISERROR(VALUE(B11)),VLOOKUP(B11,dagsoorttabel1,2,FALSE)*dagenperjaar1,VALUE(B11)))</f>
        <v>3</v>
      </c>
      <c r="D11" s="56" t="s">
        <v>1483</v>
      </c>
      <c r="E11" s="56" t="s">
        <v>1364</v>
      </c>
      <c r="F11" s="133">
        <v>13</v>
      </c>
      <c r="G11" s="134">
        <f>Tariefopbouw4</f>
        <v>0</v>
      </c>
      <c r="H11" s="135"/>
      <c r="I11" s="128"/>
      <c r="J11" s="60">
        <f>IF(ISBLANK(F11),0,F11)*ROUND(I11,2)</f>
        <v>0</v>
      </c>
      <c r="K11" s="60">
        <f>C11*J11</f>
        <v>0</v>
      </c>
      <c r="L11" s="60">
        <f>K11/12</f>
        <v>0</v>
      </c>
    </row>
    <row r="12" spans="1:12" x14ac:dyDescent="0.2">
      <c r="A12" s="56" t="s">
        <v>1484</v>
      </c>
      <c r="B12" s="56" t="s">
        <v>19</v>
      </c>
      <c r="C12" s="57">
        <f>IF(ISBLANK(B12),0,IF(ISERROR(VALUE(B12)),VLOOKUP(B12,dagsoorttabel1,2,FALSE)*dagenperjaar1,VALUE(B12)))</f>
        <v>3</v>
      </c>
      <c r="D12" s="56" t="s">
        <v>1485</v>
      </c>
      <c r="E12" s="56" t="s">
        <v>1364</v>
      </c>
      <c r="F12" s="133">
        <v>13</v>
      </c>
      <c r="G12" s="134">
        <f>Tariefopbouw4</f>
        <v>0</v>
      </c>
      <c r="H12" s="135"/>
      <c r="I12" s="128"/>
      <c r="J12" s="60">
        <f>IF(ISBLANK(F12),0,F12)*ROUND(I12,2)</f>
        <v>0</v>
      </c>
      <c r="K12" s="60">
        <f>C12*J12</f>
        <v>0</v>
      </c>
      <c r="L12" s="60">
        <f>K12/12</f>
        <v>0</v>
      </c>
    </row>
    <row r="13" spans="1:12" x14ac:dyDescent="0.2">
      <c r="A13" s="56" t="s">
        <v>1486</v>
      </c>
      <c r="B13" s="56" t="s">
        <v>18</v>
      </c>
      <c r="C13" s="57">
        <f>IF(ISBLANK(B13),0,IF(ISERROR(VALUE(B13)),VLOOKUP(B13,dagsoorttabel1,2,FALSE)*dagenperjaar1,VALUE(B13)))</f>
        <v>4</v>
      </c>
      <c r="D13" s="56" t="s">
        <v>1487</v>
      </c>
      <c r="E13" s="56" t="s">
        <v>1364</v>
      </c>
      <c r="F13" s="133">
        <v>2.5</v>
      </c>
      <c r="G13" s="134">
        <f>Tariefopbouw4</f>
        <v>0</v>
      </c>
      <c r="H13" s="135"/>
      <c r="I13" s="128"/>
      <c r="J13" s="60">
        <f>IF(ISBLANK(F13),0,F13)*ROUND(I13,2)</f>
        <v>0</v>
      </c>
      <c r="K13" s="60">
        <f>C13*J13</f>
        <v>0</v>
      </c>
      <c r="L13" s="60">
        <f>K13/12</f>
        <v>0</v>
      </c>
    </row>
    <row r="14" spans="1:12" x14ac:dyDescent="0.2">
      <c r="A14" s="56" t="s">
        <v>1488</v>
      </c>
      <c r="B14" s="56" t="s">
        <v>18</v>
      </c>
      <c r="C14" s="57">
        <f>IF(ISBLANK(B14),0,IF(ISERROR(VALUE(B14)),VLOOKUP(B14,dagsoorttabel1,2,FALSE)*dagenperjaar1,VALUE(B14)))</f>
        <v>4</v>
      </c>
      <c r="D14" s="56" t="s">
        <v>1489</v>
      </c>
      <c r="E14" s="56" t="s">
        <v>1364</v>
      </c>
      <c r="F14" s="133">
        <v>2.5</v>
      </c>
      <c r="G14" s="134">
        <f>Tariefopbouw4</f>
        <v>0</v>
      </c>
      <c r="H14" s="135"/>
      <c r="I14" s="128"/>
      <c r="J14" s="60">
        <f>IF(ISBLANK(F14),0,F14)*ROUND(I14,2)</f>
        <v>0</v>
      </c>
      <c r="K14" s="60">
        <f>C14*J14</f>
        <v>0</v>
      </c>
      <c r="L14" s="60">
        <f>K14/12</f>
        <v>0</v>
      </c>
    </row>
    <row r="15" spans="1:12" x14ac:dyDescent="0.2">
      <c r="A15" s="56" t="s">
        <v>1490</v>
      </c>
      <c r="B15" s="56" t="s">
        <v>18</v>
      </c>
      <c r="C15" s="57">
        <f>IF(ISBLANK(B15),0,IF(ISERROR(VALUE(B15)),VLOOKUP(B15,dagsoorttabel1,2,FALSE)*dagenperjaar1,VALUE(B15)))</f>
        <v>4</v>
      </c>
      <c r="D15" s="56" t="s">
        <v>1491</v>
      </c>
      <c r="E15" s="56" t="s">
        <v>1364</v>
      </c>
      <c r="F15" s="133">
        <v>52</v>
      </c>
      <c r="G15" s="134">
        <f>Tariefopbouw4</f>
        <v>0</v>
      </c>
      <c r="H15" s="135"/>
      <c r="I15" s="128"/>
      <c r="J15" s="60">
        <f>IF(ISBLANK(F15),0,F15)*ROUND(I15,2)</f>
        <v>0</v>
      </c>
      <c r="K15" s="60">
        <f>C15*J15</f>
        <v>0</v>
      </c>
      <c r="L15" s="60">
        <f>K15/12</f>
        <v>0</v>
      </c>
    </row>
    <row r="16" spans="1:12" x14ac:dyDescent="0.2">
      <c r="A16" s="56" t="s">
        <v>1492</v>
      </c>
      <c r="B16" s="56" t="s">
        <v>18</v>
      </c>
      <c r="C16" s="57">
        <f>IF(ISBLANK(B16),0,IF(ISERROR(VALUE(B16)),VLOOKUP(B16,dagsoorttabel1,2,FALSE)*dagenperjaar1,VALUE(B16)))</f>
        <v>4</v>
      </c>
      <c r="D16" s="56" t="s">
        <v>1493</v>
      </c>
      <c r="E16" s="56" t="s">
        <v>1364</v>
      </c>
      <c r="F16" s="133">
        <v>21</v>
      </c>
      <c r="G16" s="134">
        <f>Tariefopbouw4</f>
        <v>0</v>
      </c>
      <c r="H16" s="135"/>
      <c r="I16" s="128"/>
      <c r="J16" s="60">
        <f>IF(ISBLANK(F16),0,F16)*ROUND(I16,2)</f>
        <v>0</v>
      </c>
      <c r="K16" s="60">
        <f>C16*J16</f>
        <v>0</v>
      </c>
      <c r="L16" s="60">
        <f>K16/12</f>
        <v>0</v>
      </c>
    </row>
    <row r="17" spans="1:12" x14ac:dyDescent="0.2">
      <c r="A17" s="56" t="s">
        <v>1494</v>
      </c>
      <c r="B17" s="56" t="s">
        <v>18</v>
      </c>
      <c r="C17" s="57">
        <f>IF(ISBLANK(B17),0,IF(ISERROR(VALUE(B17)),VLOOKUP(B17,dagsoorttabel1,2,FALSE)*dagenperjaar1,VALUE(B17)))</f>
        <v>4</v>
      </c>
      <c r="D17" s="56" t="s">
        <v>1495</v>
      </c>
      <c r="E17" s="56" t="s">
        <v>1364</v>
      </c>
      <c r="F17" s="133">
        <v>120</v>
      </c>
      <c r="G17" s="134">
        <f>Tariefopbouw4</f>
        <v>0</v>
      </c>
      <c r="H17" s="135"/>
      <c r="I17" s="128"/>
      <c r="J17" s="60">
        <f>IF(ISBLANK(F17),0,F17)*ROUND(I17,2)</f>
        <v>0</v>
      </c>
      <c r="K17" s="60">
        <f>C17*J17</f>
        <v>0</v>
      </c>
      <c r="L17" s="60">
        <f>K17/12</f>
        <v>0</v>
      </c>
    </row>
    <row r="18" spans="1:12" x14ac:dyDescent="0.2">
      <c r="A18" s="56" t="s">
        <v>1496</v>
      </c>
      <c r="B18" s="56" t="s">
        <v>21</v>
      </c>
      <c r="C18" s="57">
        <f>IF(ISBLANK(B18),0,IF(ISERROR(VALUE(B18)),VLOOKUP(B18,dagsoorttabel1,2,FALSE)*dagenperjaar1,VALUE(B18)))</f>
        <v>1</v>
      </c>
      <c r="D18" s="56" t="s">
        <v>1497</v>
      </c>
      <c r="E18" s="56" t="s">
        <v>1364</v>
      </c>
      <c r="F18" s="133">
        <v>2000</v>
      </c>
      <c r="G18" s="134">
        <f>Tariefopbouw4</f>
        <v>0</v>
      </c>
      <c r="H18" s="135"/>
      <c r="I18" s="128"/>
      <c r="J18" s="60">
        <f>IF(ISBLANK(F18),0,F18)*ROUND(I18,2)</f>
        <v>0</v>
      </c>
      <c r="K18" s="60">
        <f>C18*J18</f>
        <v>0</v>
      </c>
      <c r="L18" s="60">
        <f>K18/12</f>
        <v>0</v>
      </c>
    </row>
    <row r="19" spans="1:12" x14ac:dyDescent="0.2">
      <c r="A19" s="56" t="s">
        <v>1498</v>
      </c>
      <c r="B19" s="56" t="s">
        <v>18</v>
      </c>
      <c r="C19" s="57">
        <f>IF(ISBLANK(B19),0,IF(ISERROR(VALUE(B19)),VLOOKUP(B19,dagsoorttabel1,2,FALSE)*dagenperjaar1,VALUE(B19)))</f>
        <v>4</v>
      </c>
      <c r="D19" s="56" t="s">
        <v>1499</v>
      </c>
      <c r="E19" s="56" t="s">
        <v>1500</v>
      </c>
      <c r="F19" s="133">
        <v>1</v>
      </c>
      <c r="G19" s="134">
        <f>Tariefopbouw4</f>
        <v>0</v>
      </c>
      <c r="H19" s="135"/>
      <c r="I19" s="128"/>
      <c r="J19" s="60">
        <f>IF(ISBLANK(F19),1,F19)*ROUND(I19,2)</f>
        <v>0</v>
      </c>
      <c r="K19" s="60">
        <f>C19*J19</f>
        <v>0</v>
      </c>
      <c r="L19" s="60">
        <f>K19/12</f>
        <v>0</v>
      </c>
    </row>
    <row r="20" spans="1:12" x14ac:dyDescent="0.2">
      <c r="A20" s="56" t="s">
        <v>1501</v>
      </c>
      <c r="B20" s="56" t="s">
        <v>18</v>
      </c>
      <c r="C20" s="57">
        <f>IF(ISBLANK(B20),0,IF(ISERROR(VALUE(B20)),VLOOKUP(B20,dagsoorttabel1,2,FALSE)*dagenperjaar1,VALUE(B20)))</f>
        <v>4</v>
      </c>
      <c r="D20" s="56" t="s">
        <v>1502</v>
      </c>
      <c r="E20" s="56" t="s">
        <v>1500</v>
      </c>
      <c r="F20" s="133">
        <v>1</v>
      </c>
      <c r="G20" s="134">
        <f>Tariefopbouw4</f>
        <v>0</v>
      </c>
      <c r="H20" s="135"/>
      <c r="I20" s="128"/>
      <c r="J20" s="60">
        <f>IF(ISBLANK(F20),1,F20)*ROUND(I20,2)</f>
        <v>0</v>
      </c>
      <c r="K20" s="60">
        <f>C20*J20</f>
        <v>0</v>
      </c>
      <c r="L20" s="60">
        <f>K20/12</f>
        <v>0</v>
      </c>
    </row>
    <row r="21" spans="1:12" x14ac:dyDescent="0.2">
      <c r="A21" s="56" t="s">
        <v>1503</v>
      </c>
      <c r="B21" s="56" t="s">
        <v>18</v>
      </c>
      <c r="C21" s="57">
        <f>IF(ISBLANK(B21),0,IF(ISERROR(VALUE(B21)),VLOOKUP(B21,dagsoorttabel1,2,FALSE)*dagenperjaar1,VALUE(B21)))</f>
        <v>4</v>
      </c>
      <c r="D21" s="56" t="s">
        <v>1504</v>
      </c>
      <c r="E21" s="56" t="s">
        <v>1500</v>
      </c>
      <c r="F21" s="133">
        <v>1</v>
      </c>
      <c r="G21" s="134">
        <f>Tariefopbouw4</f>
        <v>0</v>
      </c>
      <c r="H21" s="135"/>
      <c r="I21" s="128"/>
      <c r="J21" s="60">
        <f>IF(ISBLANK(F21),1,F21)*ROUND(I21,2)</f>
        <v>0</v>
      </c>
      <c r="K21" s="60">
        <f>C21*J21</f>
        <v>0</v>
      </c>
      <c r="L21" s="60">
        <f>K21/12</f>
        <v>0</v>
      </c>
    </row>
    <row r="22" spans="1:12" x14ac:dyDescent="0.2">
      <c r="A22" s="56" t="s">
        <v>1505</v>
      </c>
      <c r="B22" s="56" t="s">
        <v>19</v>
      </c>
      <c r="C22" s="57">
        <f>IF(ISBLANK(B22),0,IF(ISERROR(VALUE(B22)),VLOOKUP(B22,dagsoorttabel1,2,FALSE)*dagenperjaar1,VALUE(B22)))</f>
        <v>3</v>
      </c>
      <c r="D22" s="56" t="s">
        <v>1506</v>
      </c>
      <c r="E22" s="56" t="s">
        <v>1500</v>
      </c>
      <c r="F22" s="133">
        <v>1</v>
      </c>
      <c r="G22" s="134">
        <f>Tariefopbouw4</f>
        <v>0</v>
      </c>
      <c r="H22" s="135"/>
      <c r="I22" s="128"/>
      <c r="J22" s="60">
        <f>IF(ISBLANK(F22),1,F22)*ROUND(I22,2)</f>
        <v>0</v>
      </c>
      <c r="K22" s="60">
        <f>C22*J22</f>
        <v>0</v>
      </c>
      <c r="L22" s="60">
        <f>K22/12</f>
        <v>0</v>
      </c>
    </row>
    <row r="23" spans="1:12" x14ac:dyDescent="0.2">
      <c r="A23" s="56" t="s">
        <v>1507</v>
      </c>
      <c r="B23" s="56" t="s">
        <v>19</v>
      </c>
      <c r="C23" s="57">
        <f>IF(ISBLANK(B23),0,IF(ISERROR(VALUE(B23)),VLOOKUP(B23,dagsoorttabel1,2,FALSE)*dagenperjaar1,VALUE(B23)))</f>
        <v>3</v>
      </c>
      <c r="D23" s="56" t="s">
        <v>1508</v>
      </c>
      <c r="E23" s="56" t="s">
        <v>1500</v>
      </c>
      <c r="F23" s="133">
        <v>1</v>
      </c>
      <c r="G23" s="134">
        <f>Tariefopbouw4</f>
        <v>0</v>
      </c>
      <c r="H23" s="135"/>
      <c r="I23" s="128"/>
      <c r="J23" s="60">
        <f>IF(ISBLANK(F23),1,F23)*ROUND(I23,2)</f>
        <v>0</v>
      </c>
      <c r="K23" s="60">
        <f>C23*J23</f>
        <v>0</v>
      </c>
      <c r="L23" s="60">
        <f>K23/12</f>
        <v>0</v>
      </c>
    </row>
    <row r="24" spans="1:12" x14ac:dyDescent="0.2">
      <c r="A24" s="56" t="s">
        <v>1509</v>
      </c>
      <c r="B24" s="56" t="s">
        <v>19</v>
      </c>
      <c r="C24" s="57">
        <f>IF(ISBLANK(B24),0,IF(ISERROR(VALUE(B24)),VLOOKUP(B24,dagsoorttabel1,2,FALSE)*dagenperjaar1,VALUE(B24)))</f>
        <v>3</v>
      </c>
      <c r="D24" s="56" t="s">
        <v>1510</v>
      </c>
      <c r="E24" s="56" t="s">
        <v>1500</v>
      </c>
      <c r="F24" s="133">
        <v>1</v>
      </c>
      <c r="G24" s="134">
        <f>Tariefopbouw4</f>
        <v>0</v>
      </c>
      <c r="H24" s="135"/>
      <c r="I24" s="128"/>
      <c r="J24" s="60">
        <f>IF(ISBLANK(F24),1,F24)*ROUND(I24,2)</f>
        <v>0</v>
      </c>
      <c r="K24" s="60">
        <f>C24*J24</f>
        <v>0</v>
      </c>
      <c r="L24" s="60">
        <f>K24/12</f>
        <v>0</v>
      </c>
    </row>
    <row r="25" spans="1:12" x14ac:dyDescent="0.2">
      <c r="A25" s="56" t="s">
        <v>1511</v>
      </c>
      <c r="B25" s="56" t="s">
        <v>19</v>
      </c>
      <c r="C25" s="57">
        <f>IF(ISBLANK(B25),0,IF(ISERROR(VALUE(B25)),VLOOKUP(B25,dagsoorttabel1,2,FALSE)*dagenperjaar1,VALUE(B25)))</f>
        <v>3</v>
      </c>
      <c r="D25" s="56" t="s">
        <v>1512</v>
      </c>
      <c r="E25" s="56" t="s">
        <v>1500</v>
      </c>
      <c r="F25" s="133">
        <v>1</v>
      </c>
      <c r="G25" s="134">
        <f>Tariefopbouw4</f>
        <v>0</v>
      </c>
      <c r="H25" s="135"/>
      <c r="I25" s="128"/>
      <c r="J25" s="60">
        <f>IF(ISBLANK(F25),1,F25)*ROUND(I25,2)</f>
        <v>0</v>
      </c>
      <c r="K25" s="60">
        <f>C25*J25</f>
        <v>0</v>
      </c>
      <c r="L25" s="60">
        <f>K25/12</f>
        <v>0</v>
      </c>
    </row>
    <row r="26" spans="1:12" x14ac:dyDescent="0.2">
      <c r="A26" s="56" t="s">
        <v>1513</v>
      </c>
      <c r="B26" s="56" t="s">
        <v>19</v>
      </c>
      <c r="C26" s="57">
        <f>IF(ISBLANK(B26),0,IF(ISERROR(VALUE(B26)),VLOOKUP(B26,dagsoorttabel1,2,FALSE)*dagenperjaar1,VALUE(B26)))</f>
        <v>3</v>
      </c>
      <c r="D26" s="56" t="s">
        <v>1514</v>
      </c>
      <c r="E26" s="56" t="s">
        <v>1500</v>
      </c>
      <c r="F26" s="133">
        <v>1</v>
      </c>
      <c r="G26" s="134">
        <f>Tariefopbouw4</f>
        <v>0</v>
      </c>
      <c r="H26" s="135"/>
      <c r="I26" s="128"/>
      <c r="J26" s="60">
        <f>IF(ISBLANK(F26),1,F26)*ROUND(I26,2)</f>
        <v>0</v>
      </c>
      <c r="K26" s="60">
        <f>C26*J26</f>
        <v>0</v>
      </c>
      <c r="L26" s="60">
        <f>K26/12</f>
        <v>0</v>
      </c>
    </row>
    <row r="27" spans="1:12" x14ac:dyDescent="0.2">
      <c r="A27" s="56" t="s">
        <v>1515</v>
      </c>
      <c r="B27" s="56" t="s">
        <v>19</v>
      </c>
      <c r="C27" s="57">
        <f>IF(ISBLANK(B27),0,IF(ISERROR(VALUE(B27)),VLOOKUP(B27,dagsoorttabel1,2,FALSE)*dagenperjaar1,VALUE(B27)))</f>
        <v>3</v>
      </c>
      <c r="D27" s="56" t="s">
        <v>1516</v>
      </c>
      <c r="E27" s="56" t="s">
        <v>1500</v>
      </c>
      <c r="F27" s="133">
        <v>1</v>
      </c>
      <c r="G27" s="134">
        <f>Tariefopbouw4</f>
        <v>0</v>
      </c>
      <c r="H27" s="135"/>
      <c r="I27" s="128"/>
      <c r="J27" s="60">
        <f>IF(ISBLANK(F27),1,F27)*ROUND(I27,2)</f>
        <v>0</v>
      </c>
      <c r="K27" s="60">
        <f>C27*J27</f>
        <v>0</v>
      </c>
      <c r="L27" s="60">
        <f>K27/12</f>
        <v>0</v>
      </c>
    </row>
    <row r="28" spans="1:12" x14ac:dyDescent="0.2">
      <c r="A28" s="56" t="s">
        <v>1517</v>
      </c>
      <c r="B28" s="56" t="s">
        <v>19</v>
      </c>
      <c r="C28" s="57">
        <f>IF(ISBLANK(B28),0,IF(ISERROR(VALUE(B28)),VLOOKUP(B28,dagsoorttabel1,2,FALSE)*dagenperjaar1,VALUE(B28)))</f>
        <v>3</v>
      </c>
      <c r="D28" s="56" t="s">
        <v>1518</v>
      </c>
      <c r="E28" s="56" t="s">
        <v>1500</v>
      </c>
      <c r="F28" s="133">
        <v>1</v>
      </c>
      <c r="G28" s="134">
        <f>Tariefopbouw4</f>
        <v>0</v>
      </c>
      <c r="H28" s="135"/>
      <c r="I28" s="128"/>
      <c r="J28" s="60">
        <f>IF(ISBLANK(F28),1,F28)*ROUND(I28,2)</f>
        <v>0</v>
      </c>
      <c r="K28" s="60">
        <f>C28*J28</f>
        <v>0</v>
      </c>
      <c r="L28" s="60">
        <f>K28/12</f>
        <v>0</v>
      </c>
    </row>
    <row r="29" spans="1:12" x14ac:dyDescent="0.2">
      <c r="A29" s="56" t="s">
        <v>1519</v>
      </c>
      <c r="B29" s="56" t="s">
        <v>19</v>
      </c>
      <c r="C29" s="57">
        <f>IF(ISBLANK(B29),0,IF(ISERROR(VALUE(B29)),VLOOKUP(B29,dagsoorttabel1,2,FALSE)*dagenperjaar1,VALUE(B29)))</f>
        <v>3</v>
      </c>
      <c r="D29" s="56" t="s">
        <v>1520</v>
      </c>
      <c r="E29" s="56" t="s">
        <v>1500</v>
      </c>
      <c r="F29" s="133">
        <v>1</v>
      </c>
      <c r="G29" s="134">
        <f>Tariefopbouw4</f>
        <v>0</v>
      </c>
      <c r="H29" s="135"/>
      <c r="I29" s="128"/>
      <c r="J29" s="60">
        <f>IF(ISBLANK(F29),1,F29)*ROUND(I29,2)</f>
        <v>0</v>
      </c>
      <c r="K29" s="60">
        <f>C29*J29</f>
        <v>0</v>
      </c>
      <c r="L29" s="60">
        <f>K29/12</f>
        <v>0</v>
      </c>
    </row>
    <row r="30" spans="1:12" x14ac:dyDescent="0.2">
      <c r="A30" s="56" t="s">
        <v>1521</v>
      </c>
      <c r="B30" s="56" t="s">
        <v>19</v>
      </c>
      <c r="C30" s="57">
        <f>IF(ISBLANK(B30),0,IF(ISERROR(VALUE(B30)),VLOOKUP(B30,dagsoorttabel1,2,FALSE)*dagenperjaar1,VALUE(B30)))</f>
        <v>3</v>
      </c>
      <c r="D30" s="56" t="s">
        <v>1522</v>
      </c>
      <c r="E30" s="56" t="s">
        <v>1500</v>
      </c>
      <c r="F30" s="133">
        <v>1</v>
      </c>
      <c r="G30" s="134">
        <f>Tariefopbouw4</f>
        <v>0</v>
      </c>
      <c r="H30" s="135"/>
      <c r="I30" s="128"/>
      <c r="J30" s="60">
        <f>IF(ISBLANK(F30),1,F30)*ROUND(I30,2)</f>
        <v>0</v>
      </c>
      <c r="K30" s="60">
        <f>C30*J30</f>
        <v>0</v>
      </c>
      <c r="L30" s="60">
        <f>K30/12</f>
        <v>0</v>
      </c>
    </row>
    <row r="31" spans="1:12" x14ac:dyDescent="0.2">
      <c r="A31" s="56" t="s">
        <v>1523</v>
      </c>
      <c r="B31" s="56" t="s">
        <v>18</v>
      </c>
      <c r="C31" s="57">
        <f>IF(ISBLANK(B31),0,IF(ISERROR(VALUE(B31)),VLOOKUP(B31,dagsoorttabel1,2,FALSE)*dagenperjaar1,VALUE(B31)))</f>
        <v>4</v>
      </c>
      <c r="D31" s="56" t="s">
        <v>1524</v>
      </c>
      <c r="E31" s="56" t="s">
        <v>1500</v>
      </c>
      <c r="F31" s="133">
        <v>1</v>
      </c>
      <c r="G31" s="134">
        <f>Tariefopbouw4</f>
        <v>0</v>
      </c>
      <c r="H31" s="135"/>
      <c r="I31" s="128"/>
      <c r="J31" s="60">
        <f>IF(ISBLANK(F31),1,F31)*ROUND(I31,2)</f>
        <v>0</v>
      </c>
      <c r="K31" s="60">
        <f>C31*J31</f>
        <v>0</v>
      </c>
      <c r="L31" s="60">
        <f>K31/12</f>
        <v>0</v>
      </c>
    </row>
    <row r="32" spans="1:12" x14ac:dyDescent="0.2">
      <c r="A32" s="56" t="s">
        <v>1525</v>
      </c>
      <c r="B32" s="56" t="s">
        <v>19</v>
      </c>
      <c r="C32" s="57">
        <f>IF(ISBLANK(B32),0,IF(ISERROR(VALUE(B32)),VLOOKUP(B32,dagsoorttabel1,2,FALSE)*dagenperjaar1,VALUE(B32)))</f>
        <v>3</v>
      </c>
      <c r="D32" s="56" t="s">
        <v>1526</v>
      </c>
      <c r="E32" s="56" t="s">
        <v>1500</v>
      </c>
      <c r="F32" s="133">
        <v>1</v>
      </c>
      <c r="G32" s="134">
        <f>Tariefopbouw4</f>
        <v>0</v>
      </c>
      <c r="H32" s="135"/>
      <c r="I32" s="128"/>
      <c r="J32" s="60">
        <f>IF(ISBLANK(F32),1,F32)*ROUND(I32,2)</f>
        <v>0</v>
      </c>
      <c r="K32" s="60">
        <f>C32*J32</f>
        <v>0</v>
      </c>
      <c r="L32" s="60">
        <f>K32/12</f>
        <v>0</v>
      </c>
    </row>
    <row r="33" spans="1:12" x14ac:dyDescent="0.2">
      <c r="A33" s="56" t="s">
        <v>1527</v>
      </c>
      <c r="B33" s="56" t="s">
        <v>19</v>
      </c>
      <c r="C33" s="57">
        <f>IF(ISBLANK(B33),0,IF(ISERROR(VALUE(B33)),VLOOKUP(B33,dagsoorttabel1,2,FALSE)*dagenperjaar1,VALUE(B33)))</f>
        <v>3</v>
      </c>
      <c r="D33" s="56" t="s">
        <v>1528</v>
      </c>
      <c r="E33" s="56" t="s">
        <v>1500</v>
      </c>
      <c r="F33" s="133">
        <v>1</v>
      </c>
      <c r="G33" s="134">
        <f>Tariefopbouw4</f>
        <v>0</v>
      </c>
      <c r="H33" s="135"/>
      <c r="I33" s="128"/>
      <c r="J33" s="60">
        <f>IF(ISBLANK(F33),1,F33)*ROUND(I33,2)</f>
        <v>0</v>
      </c>
      <c r="K33" s="60">
        <f>C33*J33</f>
        <v>0</v>
      </c>
      <c r="L33" s="60">
        <f>K33/12</f>
        <v>0</v>
      </c>
    </row>
    <row r="34" spans="1:12" x14ac:dyDescent="0.2">
      <c r="A34" s="56" t="s">
        <v>1529</v>
      </c>
      <c r="B34" s="56" t="s">
        <v>19</v>
      </c>
      <c r="C34" s="57">
        <f>IF(ISBLANK(B34),0,IF(ISERROR(VALUE(B34)),VLOOKUP(B34,dagsoorttabel1,2,FALSE)*dagenperjaar1,VALUE(B34)))</f>
        <v>3</v>
      </c>
      <c r="D34" s="56" t="s">
        <v>1530</v>
      </c>
      <c r="E34" s="56" t="s">
        <v>1500</v>
      </c>
      <c r="F34" s="133">
        <v>1</v>
      </c>
      <c r="G34" s="134">
        <f>Tariefopbouw4</f>
        <v>0</v>
      </c>
      <c r="H34" s="135"/>
      <c r="I34" s="128"/>
      <c r="J34" s="60">
        <f>IF(ISBLANK(F34),1,F34)*ROUND(I34,2)</f>
        <v>0</v>
      </c>
      <c r="K34" s="60">
        <f>C34*J34</f>
        <v>0</v>
      </c>
      <c r="L34" s="60">
        <f>K34/12</f>
        <v>0</v>
      </c>
    </row>
    <row r="35" spans="1:12" x14ac:dyDescent="0.2">
      <c r="A35" s="56" t="s">
        <v>1531</v>
      </c>
      <c r="B35" s="56" t="s">
        <v>19</v>
      </c>
      <c r="C35" s="57">
        <f>IF(ISBLANK(B35),0,IF(ISERROR(VALUE(B35)),VLOOKUP(B35,dagsoorttabel1,2,FALSE)*dagenperjaar1,VALUE(B35)))</f>
        <v>3</v>
      </c>
      <c r="D35" s="56" t="s">
        <v>1532</v>
      </c>
      <c r="E35" s="56" t="s">
        <v>1500</v>
      </c>
      <c r="F35" s="133">
        <v>1</v>
      </c>
      <c r="G35" s="134">
        <f>Tariefopbouw4</f>
        <v>0</v>
      </c>
      <c r="H35" s="135"/>
      <c r="I35" s="128"/>
      <c r="J35" s="60">
        <f>IF(ISBLANK(F35),1,F35)*ROUND(I35,2)</f>
        <v>0</v>
      </c>
      <c r="K35" s="60">
        <f>C35*J35</f>
        <v>0</v>
      </c>
      <c r="L35" s="60">
        <f>K35/12</f>
        <v>0</v>
      </c>
    </row>
    <row r="36" spans="1:12" x14ac:dyDescent="0.2">
      <c r="A36" s="56" t="s">
        <v>1533</v>
      </c>
      <c r="B36" s="56" t="s">
        <v>19</v>
      </c>
      <c r="C36" s="57">
        <f>IF(ISBLANK(B36),0,IF(ISERROR(VALUE(B36)),VLOOKUP(B36,dagsoorttabel1,2,FALSE)*dagenperjaar1,VALUE(B36)))</f>
        <v>3</v>
      </c>
      <c r="D36" s="56" t="s">
        <v>1534</v>
      </c>
      <c r="E36" s="56" t="s">
        <v>1500</v>
      </c>
      <c r="F36" s="133">
        <v>1</v>
      </c>
      <c r="G36" s="134">
        <f>Tariefopbouw4</f>
        <v>0</v>
      </c>
      <c r="H36" s="135"/>
      <c r="I36" s="128"/>
      <c r="J36" s="60">
        <f>IF(ISBLANK(F36),1,F36)*ROUND(I36,2)</f>
        <v>0</v>
      </c>
      <c r="K36" s="60">
        <f>C36*J36</f>
        <v>0</v>
      </c>
      <c r="L36" s="60">
        <f>K36/12</f>
        <v>0</v>
      </c>
    </row>
    <row r="37" spans="1:12" x14ac:dyDescent="0.2">
      <c r="A37" s="56" t="s">
        <v>1535</v>
      </c>
      <c r="B37" s="56" t="s">
        <v>19</v>
      </c>
      <c r="C37" s="57">
        <f>IF(ISBLANK(B37),0,IF(ISERROR(VALUE(B37)),VLOOKUP(B37,dagsoorttabel1,2,FALSE)*dagenperjaar1,VALUE(B37)))</f>
        <v>3</v>
      </c>
      <c r="D37" s="56" t="s">
        <v>1536</v>
      </c>
      <c r="E37" s="56" t="s">
        <v>1500</v>
      </c>
      <c r="F37" s="133">
        <v>1</v>
      </c>
      <c r="G37" s="134">
        <f>Tariefopbouw4</f>
        <v>0</v>
      </c>
      <c r="H37" s="135"/>
      <c r="I37" s="128"/>
      <c r="J37" s="60">
        <f>IF(ISBLANK(F37),1,F37)*ROUND(I37,2)</f>
        <v>0</v>
      </c>
      <c r="K37" s="60">
        <f>C37*J37</f>
        <v>0</v>
      </c>
      <c r="L37" s="60">
        <f>K37/12</f>
        <v>0</v>
      </c>
    </row>
    <row r="38" spans="1:12" x14ac:dyDescent="0.2">
      <c r="A38" s="56" t="s">
        <v>1537</v>
      </c>
      <c r="B38" s="56" t="s">
        <v>19</v>
      </c>
      <c r="C38" s="57">
        <f>IF(ISBLANK(B38),0,IF(ISERROR(VALUE(B38)),VLOOKUP(B38,dagsoorttabel1,2,FALSE)*dagenperjaar1,VALUE(B38)))</f>
        <v>3</v>
      </c>
      <c r="D38" s="56" t="s">
        <v>1538</v>
      </c>
      <c r="E38" s="56" t="s">
        <v>1500</v>
      </c>
      <c r="F38" s="133">
        <v>1</v>
      </c>
      <c r="G38" s="134">
        <f>Tariefopbouw4</f>
        <v>0</v>
      </c>
      <c r="H38" s="135"/>
      <c r="I38" s="128"/>
      <c r="J38" s="60">
        <f>IF(ISBLANK(F38),1,F38)*ROUND(I38,2)</f>
        <v>0</v>
      </c>
      <c r="K38" s="60">
        <f>C38*J38</f>
        <v>0</v>
      </c>
      <c r="L38" s="60">
        <f>K38/12</f>
        <v>0</v>
      </c>
    </row>
    <row r="39" spans="1:12" x14ac:dyDescent="0.2">
      <c r="A39" s="56" t="s">
        <v>1539</v>
      </c>
      <c r="B39" s="56" t="s">
        <v>18</v>
      </c>
      <c r="C39" s="57">
        <f>IF(ISBLANK(B39),0,IF(ISERROR(VALUE(B39)),VLOOKUP(B39,dagsoorttabel1,2,FALSE)*dagenperjaar1,VALUE(B39)))</f>
        <v>4</v>
      </c>
      <c r="D39" s="56" t="s">
        <v>1540</v>
      </c>
      <c r="E39" s="56" t="s">
        <v>1500</v>
      </c>
      <c r="F39" s="133">
        <v>1</v>
      </c>
      <c r="G39" s="134">
        <f>Tariefopbouw4</f>
        <v>0</v>
      </c>
      <c r="H39" s="135"/>
      <c r="I39" s="128"/>
      <c r="J39" s="60">
        <f>IF(ISBLANK(F39),1,F39)*ROUND(I39,2)</f>
        <v>0</v>
      </c>
      <c r="K39" s="60">
        <f>C39*J39</f>
        <v>0</v>
      </c>
      <c r="L39" s="60">
        <f>K39/12</f>
        <v>0</v>
      </c>
    </row>
    <row r="40" spans="1:12" x14ac:dyDescent="0.2">
      <c r="A40" s="56" t="s">
        <v>1541</v>
      </c>
      <c r="B40" s="56" t="s">
        <v>19</v>
      </c>
      <c r="C40" s="57">
        <f>IF(ISBLANK(B40),0,IF(ISERROR(VALUE(B40)),VLOOKUP(B40,dagsoorttabel1,2,FALSE)*dagenperjaar1,VALUE(B40)))</f>
        <v>3</v>
      </c>
      <c r="D40" s="56" t="s">
        <v>1542</v>
      </c>
      <c r="E40" s="56" t="s">
        <v>1500</v>
      </c>
      <c r="F40" s="133">
        <v>1</v>
      </c>
      <c r="G40" s="134">
        <f>Tariefopbouw4</f>
        <v>0</v>
      </c>
      <c r="H40" s="135"/>
      <c r="I40" s="128"/>
      <c r="J40" s="60">
        <f>IF(ISBLANK(F40),1,F40)*ROUND(I40,2)</f>
        <v>0</v>
      </c>
      <c r="K40" s="60">
        <f>C40*J40</f>
        <v>0</v>
      </c>
      <c r="L40" s="60">
        <f>K40/12</f>
        <v>0</v>
      </c>
    </row>
    <row r="41" spans="1:12" x14ac:dyDescent="0.2">
      <c r="A41" s="56" t="s">
        <v>1543</v>
      </c>
      <c r="B41" s="56" t="s">
        <v>19</v>
      </c>
      <c r="C41" s="57">
        <f>IF(ISBLANK(B41),0,IF(ISERROR(VALUE(B41)),VLOOKUP(B41,dagsoorttabel1,2,FALSE)*dagenperjaar1,VALUE(B41)))</f>
        <v>3</v>
      </c>
      <c r="D41" s="56" t="s">
        <v>1544</v>
      </c>
      <c r="E41" s="56" t="s">
        <v>1500</v>
      </c>
      <c r="F41" s="133">
        <v>1</v>
      </c>
      <c r="G41" s="134">
        <f>Tariefopbouw4</f>
        <v>0</v>
      </c>
      <c r="H41" s="135"/>
      <c r="I41" s="128"/>
      <c r="J41" s="60">
        <f>IF(ISBLANK(F41),1,F41)*ROUND(I41,2)</f>
        <v>0</v>
      </c>
      <c r="K41" s="60">
        <f>C41*J41</f>
        <v>0</v>
      </c>
      <c r="L41" s="60">
        <f>K41/12</f>
        <v>0</v>
      </c>
    </row>
    <row r="42" spans="1:12" x14ac:dyDescent="0.2">
      <c r="A42" s="56" t="s">
        <v>1545</v>
      </c>
      <c r="B42" s="56" t="s">
        <v>19</v>
      </c>
      <c r="C42" s="57">
        <f>IF(ISBLANK(B42),0,IF(ISERROR(VALUE(B42)),VLOOKUP(B42,dagsoorttabel1,2,FALSE)*dagenperjaar1,VALUE(B42)))</f>
        <v>3</v>
      </c>
      <c r="D42" s="56" t="s">
        <v>1546</v>
      </c>
      <c r="E42" s="56" t="s">
        <v>1500</v>
      </c>
      <c r="F42" s="133">
        <v>1</v>
      </c>
      <c r="G42" s="134">
        <f>Tariefopbouw4</f>
        <v>0</v>
      </c>
      <c r="H42" s="135"/>
      <c r="I42" s="128"/>
      <c r="J42" s="60">
        <f>IF(ISBLANK(F42),1,F42)*ROUND(I42,2)</f>
        <v>0</v>
      </c>
      <c r="K42" s="60">
        <f>C42*J42</f>
        <v>0</v>
      </c>
      <c r="L42" s="60">
        <f>K42/12</f>
        <v>0</v>
      </c>
    </row>
    <row r="43" spans="1:12" x14ac:dyDescent="0.2">
      <c r="A43" s="56" t="s">
        <v>1547</v>
      </c>
      <c r="B43" s="56" t="s">
        <v>19</v>
      </c>
      <c r="C43" s="57">
        <f>IF(ISBLANK(B43),0,IF(ISERROR(VALUE(B43)),VLOOKUP(B43,dagsoorttabel1,2,FALSE)*dagenperjaar1,VALUE(B43)))</f>
        <v>3</v>
      </c>
      <c r="D43" s="56" t="s">
        <v>1548</v>
      </c>
      <c r="E43" s="56" t="s">
        <v>1500</v>
      </c>
      <c r="F43" s="133">
        <v>1</v>
      </c>
      <c r="G43" s="134">
        <f>Tariefopbouw4</f>
        <v>0</v>
      </c>
      <c r="H43" s="135"/>
      <c r="I43" s="128"/>
      <c r="J43" s="60">
        <f>IF(ISBLANK(F43),1,F43)*ROUND(I43,2)</f>
        <v>0</v>
      </c>
      <c r="K43" s="60">
        <f>C43*J43</f>
        <v>0</v>
      </c>
      <c r="L43" s="60">
        <f>K43/12</f>
        <v>0</v>
      </c>
    </row>
    <row r="44" spans="1:12" x14ac:dyDescent="0.2">
      <c r="A44" s="56" t="s">
        <v>1549</v>
      </c>
      <c r="B44" s="56" t="s">
        <v>19</v>
      </c>
      <c r="C44" s="57">
        <f>IF(ISBLANK(B44),0,IF(ISERROR(VALUE(B44)),VLOOKUP(B44,dagsoorttabel1,2,FALSE)*dagenperjaar1,VALUE(B44)))</f>
        <v>3</v>
      </c>
      <c r="D44" s="56" t="s">
        <v>1550</v>
      </c>
      <c r="E44" s="56" t="s">
        <v>1500</v>
      </c>
      <c r="F44" s="133">
        <v>1</v>
      </c>
      <c r="G44" s="134">
        <f>Tariefopbouw4</f>
        <v>0</v>
      </c>
      <c r="H44" s="135"/>
      <c r="I44" s="128"/>
      <c r="J44" s="60">
        <f>IF(ISBLANK(F44),1,F44)*ROUND(I44,2)</f>
        <v>0</v>
      </c>
      <c r="K44" s="60">
        <f>C44*J44</f>
        <v>0</v>
      </c>
      <c r="L44" s="60">
        <f>K44/12</f>
        <v>0</v>
      </c>
    </row>
    <row r="45" spans="1:12" x14ac:dyDescent="0.2">
      <c r="A45" s="56" t="s">
        <v>1551</v>
      </c>
      <c r="B45" s="56" t="s">
        <v>19</v>
      </c>
      <c r="C45" s="57">
        <f>IF(ISBLANK(B45),0,IF(ISERROR(VALUE(B45)),VLOOKUP(B45,dagsoorttabel1,2,FALSE)*dagenperjaar1,VALUE(B45)))</f>
        <v>3</v>
      </c>
      <c r="D45" s="56" t="s">
        <v>1552</v>
      </c>
      <c r="E45" s="56" t="s">
        <v>1500</v>
      </c>
      <c r="F45" s="133">
        <v>1</v>
      </c>
      <c r="G45" s="134">
        <f>Tariefopbouw4</f>
        <v>0</v>
      </c>
      <c r="H45" s="135"/>
      <c r="I45" s="128"/>
      <c r="J45" s="60">
        <f>IF(ISBLANK(F45),1,F45)*ROUND(I45,2)</f>
        <v>0</v>
      </c>
      <c r="K45" s="60">
        <f>C45*J45</f>
        <v>0</v>
      </c>
      <c r="L45" s="60">
        <f>K45/12</f>
        <v>0</v>
      </c>
    </row>
    <row r="46" spans="1:12" x14ac:dyDescent="0.2">
      <c r="A46" s="56" t="s">
        <v>1553</v>
      </c>
      <c r="B46" s="56" t="s">
        <v>19</v>
      </c>
      <c r="C46" s="57">
        <f>IF(ISBLANK(B46),0,IF(ISERROR(VALUE(B46)),VLOOKUP(B46,dagsoorttabel1,2,FALSE)*dagenperjaar1,VALUE(B46)))</f>
        <v>3</v>
      </c>
      <c r="D46" s="56" t="s">
        <v>1554</v>
      </c>
      <c r="E46" s="56" t="s">
        <v>1500</v>
      </c>
      <c r="F46" s="133">
        <v>1</v>
      </c>
      <c r="G46" s="134">
        <f>Tariefopbouw4</f>
        <v>0</v>
      </c>
      <c r="H46" s="135"/>
      <c r="I46" s="128"/>
      <c r="J46" s="60">
        <f>IF(ISBLANK(F46),1,F46)*ROUND(I46,2)</f>
        <v>0</v>
      </c>
      <c r="K46" s="60">
        <f>C46*J46</f>
        <v>0</v>
      </c>
      <c r="L46" s="60">
        <f>K46/12</f>
        <v>0</v>
      </c>
    </row>
    <row r="47" spans="1:12" x14ac:dyDescent="0.2">
      <c r="A47" s="56" t="s">
        <v>1555</v>
      </c>
      <c r="B47" s="56" t="s">
        <v>19</v>
      </c>
      <c r="C47" s="57">
        <f>IF(ISBLANK(B47),0,IF(ISERROR(VALUE(B47)),VLOOKUP(B47,dagsoorttabel1,2,FALSE)*dagenperjaar1,VALUE(B47)))</f>
        <v>3</v>
      </c>
      <c r="D47" s="56" t="s">
        <v>1556</v>
      </c>
      <c r="E47" s="56" t="s">
        <v>1500</v>
      </c>
      <c r="F47" s="133">
        <v>1</v>
      </c>
      <c r="G47" s="134">
        <f>Tariefopbouw4</f>
        <v>0</v>
      </c>
      <c r="H47" s="135"/>
      <c r="I47" s="128"/>
      <c r="J47" s="60">
        <f>IF(ISBLANK(F47),1,F47)*ROUND(I47,2)</f>
        <v>0</v>
      </c>
      <c r="K47" s="60">
        <f>C47*J47</f>
        <v>0</v>
      </c>
      <c r="L47" s="60">
        <f>K47/12</f>
        <v>0</v>
      </c>
    </row>
    <row r="48" spans="1:12" x14ac:dyDescent="0.2">
      <c r="A48" s="61" t="s">
        <v>1557</v>
      </c>
      <c r="B48" s="61" t="s">
        <v>19</v>
      </c>
      <c r="C48" s="62">
        <f>IF(ISBLANK(B48),0,IF(ISERROR(VALUE(B48)),VLOOKUP(B48,dagsoorttabel1,2,FALSE)*dagenperjaar1,VALUE(B48)))</f>
        <v>3</v>
      </c>
      <c r="D48" s="61" t="s">
        <v>1558</v>
      </c>
      <c r="E48" s="61" t="s">
        <v>1500</v>
      </c>
      <c r="F48" s="136">
        <v>1</v>
      </c>
      <c r="G48" s="137">
        <f>Tariefopbouw4</f>
        <v>0</v>
      </c>
      <c r="H48" s="138"/>
      <c r="I48" s="129"/>
      <c r="J48" s="65">
        <f>IF(ISBLANK(F48),1,F48)*ROUND(I48,2)</f>
        <v>0</v>
      </c>
      <c r="K48" s="65">
        <f>C48*J48</f>
        <v>0</v>
      </c>
      <c r="L48" s="65">
        <f>K48/12</f>
        <v>0</v>
      </c>
    </row>
    <row r="49" spans="1:12" x14ac:dyDescent="0.2">
      <c r="A49" s="73" t="s">
        <v>300</v>
      </c>
      <c r="B49" s="74"/>
      <c r="C49" s="74"/>
      <c r="D49" s="74"/>
      <c r="E49" s="74"/>
      <c r="F49" s="74"/>
      <c r="G49" s="74"/>
      <c r="H49" s="74"/>
      <c r="I49" s="74"/>
      <c r="J49" s="74"/>
      <c r="K49" s="76">
        <f>SUM(K6:K48)</f>
        <v>0</v>
      </c>
      <c r="L49" s="122">
        <f>K49/12</f>
        <v>0</v>
      </c>
    </row>
    <row r="51" spans="1:12" x14ac:dyDescent="0.2">
      <c r="A51" s="73" t="s">
        <v>1559</v>
      </c>
      <c r="B51" s="74"/>
      <c r="C51" s="74"/>
      <c r="D51" s="74"/>
      <c r="E51" s="74"/>
      <c r="F51" s="74"/>
      <c r="G51" s="74"/>
      <c r="H51" s="74"/>
      <c r="I51" s="74"/>
      <c r="J51" s="74"/>
      <c r="K51" s="76">
        <f>prijsjaarglas1</f>
        <v>0</v>
      </c>
      <c r="L51" s="122">
        <f>K51/12</f>
        <v>0</v>
      </c>
    </row>
  </sheetData>
  <sheetProtection algorithmName="SHA-512" hashValue="XE8lJhCwV64ImpQeVDOagZwIXv6m750ZiF1H01coZfrDDpL/7OfC3NBUoQekZ0hdZfXqBkYaQY8nb8FrJictJg==" saltValue="UGtO6WRqB0dp5se+/QURuA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0906-7AE0-4D38-84C0-85A5278102DA}">
  <dimension ref="A1:M222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11.6328125" customWidth="1"/>
    <col min="5" max="5" width="50.6328125" customWidth="1"/>
    <col min="6" max="7" width="14.6328125" customWidth="1"/>
    <col min="8" max="10" width="11.6328125" customWidth="1"/>
    <col min="11" max="11" width="12.6328125" customWidth="1"/>
    <col min="12" max="12" width="14.6328125" customWidth="1"/>
    <col min="13" max="13" width="13.6328125" customWidth="1"/>
  </cols>
  <sheetData>
    <row r="1" spans="1:13" x14ac:dyDescent="0.2">
      <c r="A1" s="1" t="str">
        <f>CONCATENATE("Bijlage H  .11: ",tabeltype," glas per locatie")</f>
        <v>Bijlage H  .11: Invultabel glas per locatie</v>
      </c>
    </row>
    <row r="3" spans="1:13" ht="37.799999999999997" x14ac:dyDescent="0.2">
      <c r="A3" s="44" t="s">
        <v>1307</v>
      </c>
      <c r="B3" s="44" t="s">
        <v>7</v>
      </c>
      <c r="C3" s="44" t="s">
        <v>1308</v>
      </c>
      <c r="D3" s="44" t="s">
        <v>1175</v>
      </c>
      <c r="E3" s="44" t="s">
        <v>92</v>
      </c>
      <c r="F3" s="44" t="s">
        <v>95</v>
      </c>
      <c r="G3" s="44" t="s">
        <v>1309</v>
      </c>
      <c r="H3" s="44" t="s">
        <v>1310</v>
      </c>
      <c r="I3" s="44" t="s">
        <v>1311</v>
      </c>
      <c r="J3" s="44" t="s">
        <v>1312</v>
      </c>
      <c r="K3" s="44" t="s">
        <v>1313</v>
      </c>
      <c r="L3" s="44" t="s">
        <v>233</v>
      </c>
      <c r="M3" s="44" t="s">
        <v>1228</v>
      </c>
    </row>
    <row r="5" spans="1:13" x14ac:dyDescent="0.2">
      <c r="A5" s="123" t="s">
        <v>311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124"/>
    </row>
    <row r="6" spans="1:13" x14ac:dyDescent="0.2">
      <c r="A6" s="51" t="s">
        <v>1476</v>
      </c>
      <c r="B6" s="51" t="s">
        <v>19</v>
      </c>
      <c r="C6" s="52">
        <f>IF(ISBLANK(B6),0,IF(ISERROR(VALUE(B6)),VLOOKUP(B6,dagsoorttabel1,2,FALSE)*dagenperjaar1,VALUE(B6)))</f>
        <v>3</v>
      </c>
      <c r="D6" s="51" t="s">
        <v>1217</v>
      </c>
      <c r="E6" s="51" t="s">
        <v>1477</v>
      </c>
      <c r="F6" s="51" t="s">
        <v>1364</v>
      </c>
      <c r="G6" s="130">
        <v>68</v>
      </c>
      <c r="H6" s="131">
        <f>Glas!G6</f>
        <v>0</v>
      </c>
      <c r="I6" s="132"/>
      <c r="J6" s="131">
        <f>Glas!I6</f>
        <v>0</v>
      </c>
      <c r="K6" s="55">
        <f>IF(ISBLANK(G6),0,G6)*ROUND(J6,2)</f>
        <v>0</v>
      </c>
      <c r="L6" s="55">
        <f>C6*K6</f>
        <v>0</v>
      </c>
      <c r="M6" s="55">
        <f>L6/12</f>
        <v>0</v>
      </c>
    </row>
    <row r="7" spans="1:13" x14ac:dyDescent="0.2">
      <c r="A7" s="56" t="s">
        <v>1478</v>
      </c>
      <c r="B7" s="56" t="s">
        <v>19</v>
      </c>
      <c r="C7" s="57">
        <f>IF(ISBLANK(B7),0,IF(ISERROR(VALUE(B7)),VLOOKUP(B7,dagsoorttabel1,2,FALSE)*dagenperjaar1,VALUE(B7)))</f>
        <v>3</v>
      </c>
      <c r="D7" s="56" t="s">
        <v>1217</v>
      </c>
      <c r="E7" s="56" t="s">
        <v>1479</v>
      </c>
      <c r="F7" s="56" t="s">
        <v>1364</v>
      </c>
      <c r="G7" s="133">
        <v>68</v>
      </c>
      <c r="H7" s="134">
        <f>Glas!G8</f>
        <v>0</v>
      </c>
      <c r="I7" s="135"/>
      <c r="J7" s="134">
        <f>Glas!I8</f>
        <v>0</v>
      </c>
      <c r="K7" s="60">
        <f>IF(ISBLANK(G7),0,G7)*ROUND(J7,2)</f>
        <v>0</v>
      </c>
      <c r="L7" s="60">
        <f>C7*K7</f>
        <v>0</v>
      </c>
      <c r="M7" s="60">
        <f>L7/12</f>
        <v>0</v>
      </c>
    </row>
    <row r="8" spans="1:13" x14ac:dyDescent="0.2">
      <c r="A8" s="56" t="s">
        <v>1482</v>
      </c>
      <c r="B8" s="56" t="s">
        <v>19</v>
      </c>
      <c r="C8" s="57">
        <f>IF(ISBLANK(B8),0,IF(ISERROR(VALUE(B8)),VLOOKUP(B8,dagsoorttabel1,2,FALSE)*dagenperjaar1,VALUE(B8)))</f>
        <v>3</v>
      </c>
      <c r="D8" s="56" t="s">
        <v>1217</v>
      </c>
      <c r="E8" s="56" t="s">
        <v>1483</v>
      </c>
      <c r="F8" s="56" t="s">
        <v>1364</v>
      </c>
      <c r="G8" s="133">
        <v>5</v>
      </c>
      <c r="H8" s="134">
        <f>Glas!G11</f>
        <v>0</v>
      </c>
      <c r="I8" s="135"/>
      <c r="J8" s="134">
        <f>Glas!I11</f>
        <v>0</v>
      </c>
      <c r="K8" s="60">
        <f>IF(ISBLANK(G8),0,G8)*ROUND(J8,2)</f>
        <v>0</v>
      </c>
      <c r="L8" s="60">
        <f>C8*K8</f>
        <v>0</v>
      </c>
      <c r="M8" s="60">
        <f>L8/12</f>
        <v>0</v>
      </c>
    </row>
    <row r="9" spans="1:13" x14ac:dyDescent="0.2">
      <c r="A9" s="61" t="s">
        <v>1484</v>
      </c>
      <c r="B9" s="61" t="s">
        <v>19</v>
      </c>
      <c r="C9" s="62">
        <f>IF(ISBLANK(B9),0,IF(ISERROR(VALUE(B9)),VLOOKUP(B9,dagsoorttabel1,2,FALSE)*dagenperjaar1,VALUE(B9)))</f>
        <v>3</v>
      </c>
      <c r="D9" s="61" t="s">
        <v>1217</v>
      </c>
      <c r="E9" s="61" t="s">
        <v>1485</v>
      </c>
      <c r="F9" s="61" t="s">
        <v>1364</v>
      </c>
      <c r="G9" s="136">
        <v>5</v>
      </c>
      <c r="H9" s="137">
        <f>Glas!G12</f>
        <v>0</v>
      </c>
      <c r="I9" s="138"/>
      <c r="J9" s="137">
        <f>Glas!I12</f>
        <v>0</v>
      </c>
      <c r="K9" s="65">
        <f>IF(ISBLANK(G9),0,G9)*ROUND(J9,2)</f>
        <v>0</v>
      </c>
      <c r="L9" s="65">
        <f>C9*K9</f>
        <v>0</v>
      </c>
      <c r="M9" s="65">
        <f>L9/12</f>
        <v>0</v>
      </c>
    </row>
    <row r="10" spans="1:13" x14ac:dyDescent="0.2">
      <c r="A10" s="126" t="s">
        <v>1560</v>
      </c>
      <c r="B10" s="74"/>
      <c r="C10" s="74"/>
      <c r="D10" s="74"/>
      <c r="E10" s="74"/>
      <c r="F10" s="74"/>
      <c r="G10" s="74"/>
      <c r="H10" s="74"/>
      <c r="I10" s="74"/>
      <c r="J10" s="74"/>
      <c r="K10" s="76">
        <f>SUM(K6:K9)</f>
        <v>0</v>
      </c>
      <c r="L10" s="76">
        <f>SUM(L6:L9)</f>
        <v>0</v>
      </c>
      <c r="M10" s="122">
        <f>L10/12</f>
        <v>0</v>
      </c>
    </row>
    <row r="12" spans="1:13" x14ac:dyDescent="0.2">
      <c r="A12" s="123" t="s">
        <v>357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124"/>
    </row>
    <row r="13" spans="1:13" x14ac:dyDescent="0.2">
      <c r="A13" s="51" t="s">
        <v>1476</v>
      </c>
      <c r="B13" s="51" t="s">
        <v>19</v>
      </c>
      <c r="C13" s="52">
        <f>IF(ISBLANK(B13),0,IF(ISERROR(VALUE(B13)),VLOOKUP(B13,dagsoorttabel1,2,FALSE)*dagenperjaar1,VALUE(B13)))</f>
        <v>3</v>
      </c>
      <c r="D13" s="51" t="s">
        <v>1217</v>
      </c>
      <c r="E13" s="51" t="s">
        <v>1477</v>
      </c>
      <c r="F13" s="51" t="s">
        <v>1364</v>
      </c>
      <c r="G13" s="130">
        <v>77</v>
      </c>
      <c r="H13" s="131">
        <f>Glas!G6</f>
        <v>0</v>
      </c>
      <c r="I13" s="132"/>
      <c r="J13" s="131">
        <f>Glas!I6</f>
        <v>0</v>
      </c>
      <c r="K13" s="55">
        <f>IF(ISBLANK(G13),0,G13)*ROUND(J13,2)</f>
        <v>0</v>
      </c>
      <c r="L13" s="55">
        <f>C13*K13</f>
        <v>0</v>
      </c>
      <c r="M13" s="55">
        <f>L13/12</f>
        <v>0</v>
      </c>
    </row>
    <row r="14" spans="1:13" x14ac:dyDescent="0.2">
      <c r="A14" s="56" t="s">
        <v>1478</v>
      </c>
      <c r="B14" s="56" t="s">
        <v>19</v>
      </c>
      <c r="C14" s="57">
        <f>IF(ISBLANK(B14),0,IF(ISERROR(VALUE(B14)),VLOOKUP(B14,dagsoorttabel1,2,FALSE)*dagenperjaar1,VALUE(B14)))</f>
        <v>3</v>
      </c>
      <c r="D14" s="56" t="s">
        <v>1217</v>
      </c>
      <c r="E14" s="56" t="s">
        <v>1479</v>
      </c>
      <c r="F14" s="56" t="s">
        <v>1364</v>
      </c>
      <c r="G14" s="133">
        <v>77</v>
      </c>
      <c r="H14" s="134">
        <f>Glas!G8</f>
        <v>0</v>
      </c>
      <c r="I14" s="135"/>
      <c r="J14" s="134">
        <f>Glas!I8</f>
        <v>0</v>
      </c>
      <c r="K14" s="60">
        <f>IF(ISBLANK(G14),0,G14)*ROUND(J14,2)</f>
        <v>0</v>
      </c>
      <c r="L14" s="60">
        <f>C14*K14</f>
        <v>0</v>
      </c>
      <c r="M14" s="60">
        <f>L14/12</f>
        <v>0</v>
      </c>
    </row>
    <row r="15" spans="1:13" x14ac:dyDescent="0.2">
      <c r="A15" s="61" t="s">
        <v>1507</v>
      </c>
      <c r="B15" s="61" t="s">
        <v>19</v>
      </c>
      <c r="C15" s="62">
        <f>IF(ISBLANK(B15),0,IF(ISERROR(VALUE(B15)),VLOOKUP(B15,dagsoorttabel1,2,FALSE)*dagenperjaar1,VALUE(B15)))</f>
        <v>3</v>
      </c>
      <c r="D15" s="61" t="s">
        <v>1217</v>
      </c>
      <c r="E15" s="61" t="s">
        <v>1508</v>
      </c>
      <c r="F15" s="61" t="s">
        <v>1500</v>
      </c>
      <c r="G15" s="136">
        <v>1</v>
      </c>
      <c r="H15" s="137">
        <f>Glas!G23</f>
        <v>0</v>
      </c>
      <c r="I15" s="138"/>
      <c r="J15" s="137">
        <f>Glas!I23</f>
        <v>0</v>
      </c>
      <c r="K15" s="65">
        <f>IF(ISBLANK(G15),1,G15)*ROUND(J15,2)</f>
        <v>0</v>
      </c>
      <c r="L15" s="65">
        <f>C15*K15</f>
        <v>0</v>
      </c>
      <c r="M15" s="65">
        <f>L15/12</f>
        <v>0</v>
      </c>
    </row>
    <row r="16" spans="1:13" x14ac:dyDescent="0.2">
      <c r="A16" s="126" t="s">
        <v>1561</v>
      </c>
      <c r="B16" s="74"/>
      <c r="C16" s="74"/>
      <c r="D16" s="74"/>
      <c r="E16" s="74"/>
      <c r="F16" s="74"/>
      <c r="G16" s="74"/>
      <c r="H16" s="74"/>
      <c r="I16" s="74"/>
      <c r="J16" s="74"/>
      <c r="K16" s="76">
        <f>SUM(K13:K15)</f>
        <v>0</v>
      </c>
      <c r="L16" s="76">
        <f>SUM(L13:L15)</f>
        <v>0</v>
      </c>
      <c r="M16" s="122">
        <f>L16/12</f>
        <v>0</v>
      </c>
    </row>
    <row r="18" spans="1:13" x14ac:dyDescent="0.2">
      <c r="A18" s="123" t="s">
        <v>381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124"/>
    </row>
    <row r="19" spans="1:13" x14ac:dyDescent="0.2">
      <c r="A19" s="51" t="s">
        <v>1476</v>
      </c>
      <c r="B19" s="51" t="s">
        <v>19</v>
      </c>
      <c r="C19" s="52">
        <f>IF(ISBLANK(B19),0,IF(ISERROR(VALUE(B19)),VLOOKUP(B19,dagsoorttabel1,2,FALSE)*dagenperjaar1,VALUE(B19)))</f>
        <v>3</v>
      </c>
      <c r="D19" s="51" t="s">
        <v>1217</v>
      </c>
      <c r="E19" s="51" t="s">
        <v>1477</v>
      </c>
      <c r="F19" s="51" t="s">
        <v>1364</v>
      </c>
      <c r="G19" s="130">
        <v>162</v>
      </c>
      <c r="H19" s="131">
        <f>Glas!G6</f>
        <v>0</v>
      </c>
      <c r="I19" s="132"/>
      <c r="J19" s="131">
        <f>Glas!I6</f>
        <v>0</v>
      </c>
      <c r="K19" s="55">
        <f>IF(ISBLANK(G19),0,G19)*ROUND(J19,2)</f>
        <v>0</v>
      </c>
      <c r="L19" s="55">
        <f>C19*K19</f>
        <v>0</v>
      </c>
      <c r="M19" s="55">
        <f>L19/12</f>
        <v>0</v>
      </c>
    </row>
    <row r="20" spans="1:13" x14ac:dyDescent="0.2">
      <c r="A20" s="56" t="s">
        <v>1478</v>
      </c>
      <c r="B20" s="56" t="s">
        <v>19</v>
      </c>
      <c r="C20" s="57">
        <f>IF(ISBLANK(B20),0,IF(ISERROR(VALUE(B20)),VLOOKUP(B20,dagsoorttabel1,2,FALSE)*dagenperjaar1,VALUE(B20)))</f>
        <v>3</v>
      </c>
      <c r="D20" s="56" t="s">
        <v>1217</v>
      </c>
      <c r="E20" s="56" t="s">
        <v>1479</v>
      </c>
      <c r="F20" s="56" t="s">
        <v>1364</v>
      </c>
      <c r="G20" s="133">
        <v>162</v>
      </c>
      <c r="H20" s="134">
        <f>Glas!G8</f>
        <v>0</v>
      </c>
      <c r="I20" s="135"/>
      <c r="J20" s="134">
        <f>Glas!I8</f>
        <v>0</v>
      </c>
      <c r="K20" s="60">
        <f>IF(ISBLANK(G20),0,G20)*ROUND(J20,2)</f>
        <v>0</v>
      </c>
      <c r="L20" s="60">
        <f>C20*K20</f>
        <v>0</v>
      </c>
      <c r="M20" s="60">
        <f>L20/12</f>
        <v>0</v>
      </c>
    </row>
    <row r="21" spans="1:13" x14ac:dyDescent="0.2">
      <c r="A21" s="61" t="s">
        <v>1509</v>
      </c>
      <c r="B21" s="61" t="s">
        <v>19</v>
      </c>
      <c r="C21" s="62">
        <f>IF(ISBLANK(B21),0,IF(ISERROR(VALUE(B21)),VLOOKUP(B21,dagsoorttabel1,2,FALSE)*dagenperjaar1,VALUE(B21)))</f>
        <v>3</v>
      </c>
      <c r="D21" s="61" t="s">
        <v>1217</v>
      </c>
      <c r="E21" s="61" t="s">
        <v>1510</v>
      </c>
      <c r="F21" s="61" t="s">
        <v>1500</v>
      </c>
      <c r="G21" s="136">
        <v>1</v>
      </c>
      <c r="H21" s="137">
        <f>Glas!G24</f>
        <v>0</v>
      </c>
      <c r="I21" s="138"/>
      <c r="J21" s="137">
        <f>Glas!I24</f>
        <v>0</v>
      </c>
      <c r="K21" s="65">
        <f>IF(ISBLANK(G21),1,G21)*ROUND(J21,2)</f>
        <v>0</v>
      </c>
      <c r="L21" s="65">
        <f>C21*K21</f>
        <v>0</v>
      </c>
      <c r="M21" s="65">
        <f>L21/12</f>
        <v>0</v>
      </c>
    </row>
    <row r="22" spans="1:13" x14ac:dyDescent="0.2">
      <c r="A22" s="126" t="s">
        <v>1318</v>
      </c>
      <c r="B22" s="74"/>
      <c r="C22" s="74"/>
      <c r="D22" s="74"/>
      <c r="E22" s="74"/>
      <c r="F22" s="74"/>
      <c r="G22" s="74"/>
      <c r="H22" s="74"/>
      <c r="I22" s="74"/>
      <c r="J22" s="74"/>
      <c r="K22" s="76">
        <f>SUM(K19:K21)</f>
        <v>0</v>
      </c>
      <c r="L22" s="76">
        <f>SUM(L19:L21)</f>
        <v>0</v>
      </c>
      <c r="M22" s="122">
        <f>L22/12</f>
        <v>0</v>
      </c>
    </row>
    <row r="24" spans="1:13" x14ac:dyDescent="0.2">
      <c r="A24" s="123" t="s">
        <v>415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124"/>
    </row>
    <row r="25" spans="1:13" x14ac:dyDescent="0.2">
      <c r="A25" s="51" t="s">
        <v>1476</v>
      </c>
      <c r="B25" s="51" t="s">
        <v>19</v>
      </c>
      <c r="C25" s="52">
        <f>IF(ISBLANK(B25),0,IF(ISERROR(VALUE(B25)),VLOOKUP(B25,dagsoorttabel1,2,FALSE)*dagenperjaar1,VALUE(B25)))</f>
        <v>3</v>
      </c>
      <c r="D25" s="51" t="s">
        <v>1217</v>
      </c>
      <c r="E25" s="51" t="s">
        <v>1477</v>
      </c>
      <c r="F25" s="51" t="s">
        <v>1364</v>
      </c>
      <c r="G25" s="130">
        <v>193</v>
      </c>
      <c r="H25" s="131">
        <f>Glas!G6</f>
        <v>0</v>
      </c>
      <c r="I25" s="132"/>
      <c r="J25" s="131">
        <f>Glas!I6</f>
        <v>0</v>
      </c>
      <c r="K25" s="55">
        <f>IF(ISBLANK(G25),0,G25)*ROUND(J25,2)</f>
        <v>0</v>
      </c>
      <c r="L25" s="55">
        <f>C25*K25</f>
        <v>0</v>
      </c>
      <c r="M25" s="55">
        <f>L25/12</f>
        <v>0</v>
      </c>
    </row>
    <row r="26" spans="1:13" x14ac:dyDescent="0.2">
      <c r="A26" s="56" t="s">
        <v>1478</v>
      </c>
      <c r="B26" s="56" t="s">
        <v>19</v>
      </c>
      <c r="C26" s="57">
        <f>IF(ISBLANK(B26),0,IF(ISERROR(VALUE(B26)),VLOOKUP(B26,dagsoorttabel1,2,FALSE)*dagenperjaar1,VALUE(B26)))</f>
        <v>3</v>
      </c>
      <c r="D26" s="56" t="s">
        <v>1217</v>
      </c>
      <c r="E26" s="56" t="s">
        <v>1479</v>
      </c>
      <c r="F26" s="56" t="s">
        <v>1364</v>
      </c>
      <c r="G26" s="133">
        <v>193</v>
      </c>
      <c r="H26" s="134">
        <f>Glas!G8</f>
        <v>0</v>
      </c>
      <c r="I26" s="135"/>
      <c r="J26" s="134">
        <f>Glas!I8</f>
        <v>0</v>
      </c>
      <c r="K26" s="60">
        <f>IF(ISBLANK(G26),0,G26)*ROUND(J26,2)</f>
        <v>0</v>
      </c>
      <c r="L26" s="60">
        <f>C26*K26</f>
        <v>0</v>
      </c>
      <c r="M26" s="60">
        <f>L26/12</f>
        <v>0</v>
      </c>
    </row>
    <row r="27" spans="1:13" x14ac:dyDescent="0.2">
      <c r="A27" s="61" t="s">
        <v>1511</v>
      </c>
      <c r="B27" s="61" t="s">
        <v>19</v>
      </c>
      <c r="C27" s="62">
        <f>IF(ISBLANK(B27),0,IF(ISERROR(VALUE(B27)),VLOOKUP(B27,dagsoorttabel1,2,FALSE)*dagenperjaar1,VALUE(B27)))</f>
        <v>3</v>
      </c>
      <c r="D27" s="61" t="s">
        <v>1217</v>
      </c>
      <c r="E27" s="61" t="s">
        <v>1512</v>
      </c>
      <c r="F27" s="61" t="s">
        <v>1500</v>
      </c>
      <c r="G27" s="136">
        <v>1</v>
      </c>
      <c r="H27" s="137">
        <f>Glas!G25</f>
        <v>0</v>
      </c>
      <c r="I27" s="138"/>
      <c r="J27" s="137">
        <f>Glas!I25</f>
        <v>0</v>
      </c>
      <c r="K27" s="65">
        <f>IF(ISBLANK(G27),1,G27)*ROUND(J27,2)</f>
        <v>0</v>
      </c>
      <c r="L27" s="65">
        <f>C27*K27</f>
        <v>0</v>
      </c>
      <c r="M27" s="65">
        <f>L27/12</f>
        <v>0</v>
      </c>
    </row>
    <row r="28" spans="1:13" x14ac:dyDescent="0.2">
      <c r="A28" s="126" t="s">
        <v>1319</v>
      </c>
      <c r="B28" s="74"/>
      <c r="C28" s="74"/>
      <c r="D28" s="74"/>
      <c r="E28" s="74"/>
      <c r="F28" s="74"/>
      <c r="G28" s="74"/>
      <c r="H28" s="74"/>
      <c r="I28" s="74"/>
      <c r="J28" s="74"/>
      <c r="K28" s="76">
        <f>SUM(K25:K27)</f>
        <v>0</v>
      </c>
      <c r="L28" s="76">
        <f>SUM(L25:L27)</f>
        <v>0</v>
      </c>
      <c r="M28" s="122">
        <f>L28/12</f>
        <v>0</v>
      </c>
    </row>
    <row r="30" spans="1:13" x14ac:dyDescent="0.2">
      <c r="A30" s="123" t="s">
        <v>445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124"/>
    </row>
    <row r="31" spans="1:13" x14ac:dyDescent="0.2">
      <c r="A31" s="51" t="s">
        <v>1476</v>
      </c>
      <c r="B31" s="51" t="s">
        <v>19</v>
      </c>
      <c r="C31" s="52">
        <f>IF(ISBLANK(B31),0,IF(ISERROR(VALUE(B31)),VLOOKUP(B31,dagsoorttabel1,2,FALSE)*dagenperjaar1,VALUE(B31)))</f>
        <v>3</v>
      </c>
      <c r="D31" s="51" t="s">
        <v>1217</v>
      </c>
      <c r="E31" s="51" t="s">
        <v>1477</v>
      </c>
      <c r="F31" s="51" t="s">
        <v>1364</v>
      </c>
      <c r="G31" s="130">
        <v>77</v>
      </c>
      <c r="H31" s="131">
        <f>Glas!G6</f>
        <v>0</v>
      </c>
      <c r="I31" s="132"/>
      <c r="J31" s="131">
        <f>Glas!I6</f>
        <v>0</v>
      </c>
      <c r="K31" s="55">
        <f>IF(ISBLANK(G31),0,G31)*ROUND(J31,2)</f>
        <v>0</v>
      </c>
      <c r="L31" s="55">
        <f>C31*K31</f>
        <v>0</v>
      </c>
      <c r="M31" s="55">
        <f>L31/12</f>
        <v>0</v>
      </c>
    </row>
    <row r="32" spans="1:13" x14ac:dyDescent="0.2">
      <c r="A32" s="56" t="s">
        <v>1478</v>
      </c>
      <c r="B32" s="56" t="s">
        <v>19</v>
      </c>
      <c r="C32" s="57">
        <f>IF(ISBLANK(B32),0,IF(ISERROR(VALUE(B32)),VLOOKUP(B32,dagsoorttabel1,2,FALSE)*dagenperjaar1,VALUE(B32)))</f>
        <v>3</v>
      </c>
      <c r="D32" s="56" t="s">
        <v>1217</v>
      </c>
      <c r="E32" s="56" t="s">
        <v>1479</v>
      </c>
      <c r="F32" s="56" t="s">
        <v>1364</v>
      </c>
      <c r="G32" s="133">
        <v>77</v>
      </c>
      <c r="H32" s="134">
        <f>Glas!G8</f>
        <v>0</v>
      </c>
      <c r="I32" s="135"/>
      <c r="J32" s="134">
        <f>Glas!I8</f>
        <v>0</v>
      </c>
      <c r="K32" s="60">
        <f>IF(ISBLANK(G32),0,G32)*ROUND(J32,2)</f>
        <v>0</v>
      </c>
      <c r="L32" s="60">
        <f>C32*K32</f>
        <v>0</v>
      </c>
      <c r="M32" s="60">
        <f>L32/12</f>
        <v>0</v>
      </c>
    </row>
    <row r="33" spans="1:13" x14ac:dyDescent="0.2">
      <c r="A33" s="61" t="s">
        <v>1513</v>
      </c>
      <c r="B33" s="61" t="s">
        <v>19</v>
      </c>
      <c r="C33" s="62">
        <f>IF(ISBLANK(B33),0,IF(ISERROR(VALUE(B33)),VLOOKUP(B33,dagsoorttabel1,2,FALSE)*dagenperjaar1,VALUE(B33)))</f>
        <v>3</v>
      </c>
      <c r="D33" s="61" t="s">
        <v>1217</v>
      </c>
      <c r="E33" s="61" t="s">
        <v>1514</v>
      </c>
      <c r="F33" s="61" t="s">
        <v>1500</v>
      </c>
      <c r="G33" s="136">
        <v>1</v>
      </c>
      <c r="H33" s="137">
        <f>Glas!G26</f>
        <v>0</v>
      </c>
      <c r="I33" s="138"/>
      <c r="J33" s="137">
        <f>Glas!I26</f>
        <v>0</v>
      </c>
      <c r="K33" s="65">
        <f>IF(ISBLANK(G33),1,G33)*ROUND(J33,2)</f>
        <v>0</v>
      </c>
      <c r="L33" s="65">
        <f>C33*K33</f>
        <v>0</v>
      </c>
      <c r="M33" s="65">
        <f>L33/12</f>
        <v>0</v>
      </c>
    </row>
    <row r="34" spans="1:13" x14ac:dyDescent="0.2">
      <c r="A34" s="126" t="s">
        <v>1320</v>
      </c>
      <c r="B34" s="74"/>
      <c r="C34" s="74"/>
      <c r="D34" s="74"/>
      <c r="E34" s="74"/>
      <c r="F34" s="74"/>
      <c r="G34" s="74"/>
      <c r="H34" s="74"/>
      <c r="I34" s="74"/>
      <c r="J34" s="74"/>
      <c r="K34" s="76">
        <f>SUM(K31:K33)</f>
        <v>0</v>
      </c>
      <c r="L34" s="76">
        <f>SUM(L31:L33)</f>
        <v>0</v>
      </c>
      <c r="M34" s="122">
        <f>L34/12</f>
        <v>0</v>
      </c>
    </row>
    <row r="36" spans="1:13" x14ac:dyDescent="0.2">
      <c r="A36" s="123" t="s">
        <v>455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124"/>
    </row>
    <row r="37" spans="1:13" x14ac:dyDescent="0.2">
      <c r="A37" s="51" t="s">
        <v>1476</v>
      </c>
      <c r="B37" s="51" t="s">
        <v>19</v>
      </c>
      <c r="C37" s="52">
        <f>IF(ISBLANK(B37),0,IF(ISERROR(VALUE(B37)),VLOOKUP(B37,dagsoorttabel1,2,FALSE)*dagenperjaar1,VALUE(B37)))</f>
        <v>3</v>
      </c>
      <c r="D37" s="51" t="s">
        <v>1217</v>
      </c>
      <c r="E37" s="51" t="s">
        <v>1477</v>
      </c>
      <c r="F37" s="51" t="s">
        <v>1364</v>
      </c>
      <c r="G37" s="130">
        <v>190</v>
      </c>
      <c r="H37" s="131">
        <f>Glas!G6</f>
        <v>0</v>
      </c>
      <c r="I37" s="132"/>
      <c r="J37" s="131">
        <f>Glas!I6</f>
        <v>0</v>
      </c>
      <c r="K37" s="55">
        <f>IF(ISBLANK(G37),0,G37)*ROUND(J37,2)</f>
        <v>0</v>
      </c>
      <c r="L37" s="55">
        <f>C37*K37</f>
        <v>0</v>
      </c>
      <c r="M37" s="55">
        <f>L37/12</f>
        <v>0</v>
      </c>
    </row>
    <row r="38" spans="1:13" x14ac:dyDescent="0.2">
      <c r="A38" s="56" t="s">
        <v>1478</v>
      </c>
      <c r="B38" s="56" t="s">
        <v>19</v>
      </c>
      <c r="C38" s="57">
        <f>IF(ISBLANK(B38),0,IF(ISERROR(VALUE(B38)),VLOOKUP(B38,dagsoorttabel1,2,FALSE)*dagenperjaar1,VALUE(B38)))</f>
        <v>3</v>
      </c>
      <c r="D38" s="56" t="s">
        <v>1217</v>
      </c>
      <c r="E38" s="56" t="s">
        <v>1479</v>
      </c>
      <c r="F38" s="56" t="s">
        <v>1364</v>
      </c>
      <c r="G38" s="133">
        <v>190</v>
      </c>
      <c r="H38" s="134">
        <f>Glas!G8</f>
        <v>0</v>
      </c>
      <c r="I38" s="135"/>
      <c r="J38" s="134">
        <f>Glas!I8</f>
        <v>0</v>
      </c>
      <c r="K38" s="60">
        <f>IF(ISBLANK(G38),0,G38)*ROUND(J38,2)</f>
        <v>0</v>
      </c>
      <c r="L38" s="60">
        <f>C38*K38</f>
        <v>0</v>
      </c>
      <c r="M38" s="60">
        <f>L38/12</f>
        <v>0</v>
      </c>
    </row>
    <row r="39" spans="1:13" x14ac:dyDescent="0.2">
      <c r="A39" s="61" t="s">
        <v>1515</v>
      </c>
      <c r="B39" s="61" t="s">
        <v>19</v>
      </c>
      <c r="C39" s="62">
        <f>IF(ISBLANK(B39),0,IF(ISERROR(VALUE(B39)),VLOOKUP(B39,dagsoorttabel1,2,FALSE)*dagenperjaar1,VALUE(B39)))</f>
        <v>3</v>
      </c>
      <c r="D39" s="61" t="s">
        <v>1217</v>
      </c>
      <c r="E39" s="61" t="s">
        <v>1516</v>
      </c>
      <c r="F39" s="61" t="s">
        <v>1500</v>
      </c>
      <c r="G39" s="136">
        <v>1</v>
      </c>
      <c r="H39" s="137">
        <f>Glas!G27</f>
        <v>0</v>
      </c>
      <c r="I39" s="138"/>
      <c r="J39" s="137">
        <f>Glas!I27</f>
        <v>0</v>
      </c>
      <c r="K39" s="65">
        <f>IF(ISBLANK(G39),1,G39)*ROUND(J39,2)</f>
        <v>0</v>
      </c>
      <c r="L39" s="65">
        <f>C39*K39</f>
        <v>0</v>
      </c>
      <c r="M39" s="65">
        <f>L39/12</f>
        <v>0</v>
      </c>
    </row>
    <row r="40" spans="1:13" x14ac:dyDescent="0.2">
      <c r="A40" s="126" t="s">
        <v>1321</v>
      </c>
      <c r="B40" s="74"/>
      <c r="C40" s="74"/>
      <c r="D40" s="74"/>
      <c r="E40" s="74"/>
      <c r="F40" s="74"/>
      <c r="G40" s="74"/>
      <c r="H40" s="74"/>
      <c r="I40" s="74"/>
      <c r="J40" s="74"/>
      <c r="K40" s="76">
        <f>SUM(K37:K39)</f>
        <v>0</v>
      </c>
      <c r="L40" s="76">
        <f>SUM(L37:L39)</f>
        <v>0</v>
      </c>
      <c r="M40" s="122">
        <f>L40/12</f>
        <v>0</v>
      </c>
    </row>
    <row r="42" spans="1:13" x14ac:dyDescent="0.2">
      <c r="A42" s="123" t="s">
        <v>472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124"/>
    </row>
    <row r="43" spans="1:13" x14ac:dyDescent="0.2">
      <c r="A43" s="51" t="s">
        <v>1476</v>
      </c>
      <c r="B43" s="51" t="s">
        <v>19</v>
      </c>
      <c r="C43" s="52">
        <f>IF(ISBLANK(B43),0,IF(ISERROR(VALUE(B43)),VLOOKUP(B43,dagsoorttabel1,2,FALSE)*dagenperjaar1,VALUE(B43)))</f>
        <v>3</v>
      </c>
      <c r="D43" s="51" t="s">
        <v>1217</v>
      </c>
      <c r="E43" s="51" t="s">
        <v>1477</v>
      </c>
      <c r="F43" s="51" t="s">
        <v>1364</v>
      </c>
      <c r="G43" s="130">
        <v>136</v>
      </c>
      <c r="H43" s="131">
        <f>Glas!G6</f>
        <v>0</v>
      </c>
      <c r="I43" s="132"/>
      <c r="J43" s="131">
        <f>Glas!I6</f>
        <v>0</v>
      </c>
      <c r="K43" s="55">
        <f>IF(ISBLANK(G43),0,G43)*ROUND(J43,2)</f>
        <v>0</v>
      </c>
      <c r="L43" s="55">
        <f>C43*K43</f>
        <v>0</v>
      </c>
      <c r="M43" s="55">
        <f>L43/12</f>
        <v>0</v>
      </c>
    </row>
    <row r="44" spans="1:13" x14ac:dyDescent="0.2">
      <c r="A44" s="56" t="s">
        <v>1478</v>
      </c>
      <c r="B44" s="56" t="s">
        <v>19</v>
      </c>
      <c r="C44" s="57">
        <f>IF(ISBLANK(B44),0,IF(ISERROR(VALUE(B44)),VLOOKUP(B44,dagsoorttabel1,2,FALSE)*dagenperjaar1,VALUE(B44)))</f>
        <v>3</v>
      </c>
      <c r="D44" s="56" t="s">
        <v>1217</v>
      </c>
      <c r="E44" s="56" t="s">
        <v>1479</v>
      </c>
      <c r="F44" s="56" t="s">
        <v>1364</v>
      </c>
      <c r="G44" s="133">
        <v>136</v>
      </c>
      <c r="H44" s="134">
        <f>Glas!G8</f>
        <v>0</v>
      </c>
      <c r="I44" s="135"/>
      <c r="J44" s="134">
        <f>Glas!I8</f>
        <v>0</v>
      </c>
      <c r="K44" s="60">
        <f>IF(ISBLANK(G44),0,G44)*ROUND(J44,2)</f>
        <v>0</v>
      </c>
      <c r="L44" s="60">
        <f>C44*K44</f>
        <v>0</v>
      </c>
      <c r="M44" s="60">
        <f>L44/12</f>
        <v>0</v>
      </c>
    </row>
    <row r="45" spans="1:13" x14ac:dyDescent="0.2">
      <c r="A45" s="61" t="s">
        <v>1517</v>
      </c>
      <c r="B45" s="61" t="s">
        <v>19</v>
      </c>
      <c r="C45" s="62">
        <f>IF(ISBLANK(B45),0,IF(ISERROR(VALUE(B45)),VLOOKUP(B45,dagsoorttabel1,2,FALSE)*dagenperjaar1,VALUE(B45)))</f>
        <v>3</v>
      </c>
      <c r="D45" s="61" t="s">
        <v>1217</v>
      </c>
      <c r="E45" s="61" t="s">
        <v>1518</v>
      </c>
      <c r="F45" s="61" t="s">
        <v>1500</v>
      </c>
      <c r="G45" s="136">
        <v>1</v>
      </c>
      <c r="H45" s="137">
        <f>Glas!G28</f>
        <v>0</v>
      </c>
      <c r="I45" s="138"/>
      <c r="J45" s="137">
        <f>Glas!I28</f>
        <v>0</v>
      </c>
      <c r="K45" s="65">
        <f>IF(ISBLANK(G45),1,G45)*ROUND(J45,2)</f>
        <v>0</v>
      </c>
      <c r="L45" s="65">
        <f>C45*K45</f>
        <v>0</v>
      </c>
      <c r="M45" s="65">
        <f>L45/12</f>
        <v>0</v>
      </c>
    </row>
    <row r="46" spans="1:13" x14ac:dyDescent="0.2">
      <c r="A46" s="126" t="s">
        <v>1562</v>
      </c>
      <c r="B46" s="74"/>
      <c r="C46" s="74"/>
      <c r="D46" s="74"/>
      <c r="E46" s="74"/>
      <c r="F46" s="74"/>
      <c r="G46" s="74"/>
      <c r="H46" s="74"/>
      <c r="I46" s="74"/>
      <c r="J46" s="74"/>
      <c r="K46" s="76">
        <f>SUM(K43:K45)</f>
        <v>0</v>
      </c>
      <c r="L46" s="76">
        <f>SUM(L43:L45)</f>
        <v>0</v>
      </c>
      <c r="M46" s="122">
        <f>L46/12</f>
        <v>0</v>
      </c>
    </row>
    <row r="48" spans="1:13" x14ac:dyDescent="0.2">
      <c r="A48" s="123" t="s">
        <v>496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124"/>
    </row>
    <row r="49" spans="1:13" x14ac:dyDescent="0.2">
      <c r="A49" s="51" t="s">
        <v>1476</v>
      </c>
      <c r="B49" s="51" t="s">
        <v>19</v>
      </c>
      <c r="C49" s="52">
        <f>IF(ISBLANK(B49),0,IF(ISERROR(VALUE(B49)),VLOOKUP(B49,dagsoorttabel1,2,FALSE)*dagenperjaar1,VALUE(B49)))</f>
        <v>3</v>
      </c>
      <c r="D49" s="51" t="s">
        <v>1217</v>
      </c>
      <c r="E49" s="51" t="s">
        <v>1477</v>
      </c>
      <c r="F49" s="51" t="s">
        <v>1364</v>
      </c>
      <c r="G49" s="130">
        <v>220</v>
      </c>
      <c r="H49" s="131">
        <f>Glas!G6</f>
        <v>0</v>
      </c>
      <c r="I49" s="132"/>
      <c r="J49" s="131">
        <f>Glas!I6</f>
        <v>0</v>
      </c>
      <c r="K49" s="55">
        <f>IF(ISBLANK(G49),0,G49)*ROUND(J49,2)</f>
        <v>0</v>
      </c>
      <c r="L49" s="55">
        <f>C49*K49</f>
        <v>0</v>
      </c>
      <c r="M49" s="55">
        <f>L49/12</f>
        <v>0</v>
      </c>
    </row>
    <row r="50" spans="1:13" x14ac:dyDescent="0.2">
      <c r="A50" s="56" t="s">
        <v>1478</v>
      </c>
      <c r="B50" s="56" t="s">
        <v>19</v>
      </c>
      <c r="C50" s="57">
        <f>IF(ISBLANK(B50),0,IF(ISERROR(VALUE(B50)),VLOOKUP(B50,dagsoorttabel1,2,FALSE)*dagenperjaar1,VALUE(B50)))</f>
        <v>3</v>
      </c>
      <c r="D50" s="56" t="s">
        <v>1217</v>
      </c>
      <c r="E50" s="56" t="s">
        <v>1479</v>
      </c>
      <c r="F50" s="56" t="s">
        <v>1364</v>
      </c>
      <c r="G50" s="133">
        <v>182</v>
      </c>
      <c r="H50" s="134">
        <f>Glas!G8</f>
        <v>0</v>
      </c>
      <c r="I50" s="135"/>
      <c r="J50" s="134">
        <f>Glas!I8</f>
        <v>0</v>
      </c>
      <c r="K50" s="60">
        <f>IF(ISBLANK(G50),0,G50)*ROUND(J50,2)</f>
        <v>0</v>
      </c>
      <c r="L50" s="60">
        <f>C50*K50</f>
        <v>0</v>
      </c>
      <c r="M50" s="60">
        <f>L50/12</f>
        <v>0</v>
      </c>
    </row>
    <row r="51" spans="1:13" x14ac:dyDescent="0.2">
      <c r="A51" s="61" t="s">
        <v>1519</v>
      </c>
      <c r="B51" s="61" t="s">
        <v>19</v>
      </c>
      <c r="C51" s="62">
        <f>IF(ISBLANK(B51),0,IF(ISERROR(VALUE(B51)),VLOOKUP(B51,dagsoorttabel1,2,FALSE)*dagenperjaar1,VALUE(B51)))</f>
        <v>3</v>
      </c>
      <c r="D51" s="61" t="s">
        <v>1217</v>
      </c>
      <c r="E51" s="61" t="s">
        <v>1520</v>
      </c>
      <c r="F51" s="61" t="s">
        <v>1500</v>
      </c>
      <c r="G51" s="136">
        <v>1</v>
      </c>
      <c r="H51" s="137">
        <f>Glas!G29</f>
        <v>0</v>
      </c>
      <c r="I51" s="138"/>
      <c r="J51" s="137">
        <f>Glas!I29</f>
        <v>0</v>
      </c>
      <c r="K51" s="65">
        <f>IF(ISBLANK(G51),1,G51)*ROUND(J51,2)</f>
        <v>0</v>
      </c>
      <c r="L51" s="65">
        <f>C51*K51</f>
        <v>0</v>
      </c>
      <c r="M51" s="65">
        <f>L51/12</f>
        <v>0</v>
      </c>
    </row>
    <row r="52" spans="1:13" x14ac:dyDescent="0.2">
      <c r="A52" s="126" t="s">
        <v>1322</v>
      </c>
      <c r="B52" s="74"/>
      <c r="C52" s="74"/>
      <c r="D52" s="74"/>
      <c r="E52" s="74"/>
      <c r="F52" s="74"/>
      <c r="G52" s="74"/>
      <c r="H52" s="74"/>
      <c r="I52" s="74"/>
      <c r="J52" s="74"/>
      <c r="K52" s="76">
        <f>SUM(K49:K51)</f>
        <v>0</v>
      </c>
      <c r="L52" s="76">
        <f>SUM(L49:L51)</f>
        <v>0</v>
      </c>
      <c r="M52" s="122">
        <f>L52/12</f>
        <v>0</v>
      </c>
    </row>
    <row r="54" spans="1:13" x14ac:dyDescent="0.2">
      <c r="A54" s="123" t="s">
        <v>510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124"/>
    </row>
    <row r="55" spans="1:13" x14ac:dyDescent="0.2">
      <c r="A55" s="51" t="s">
        <v>1476</v>
      </c>
      <c r="B55" s="51" t="s">
        <v>19</v>
      </c>
      <c r="C55" s="52">
        <f>IF(ISBLANK(B55),0,IF(ISERROR(VALUE(B55)),VLOOKUP(B55,dagsoorttabel1,2,FALSE)*dagenperjaar1,VALUE(B55)))</f>
        <v>3</v>
      </c>
      <c r="D55" s="51" t="s">
        <v>1217</v>
      </c>
      <c r="E55" s="51" t="s">
        <v>1477</v>
      </c>
      <c r="F55" s="51" t="s">
        <v>1364</v>
      </c>
      <c r="G55" s="130">
        <v>37</v>
      </c>
      <c r="H55" s="131">
        <f>Glas!G6</f>
        <v>0</v>
      </c>
      <c r="I55" s="132"/>
      <c r="J55" s="131">
        <f>Glas!I6</f>
        <v>0</v>
      </c>
      <c r="K55" s="55">
        <f>IF(ISBLANK(G55),0,G55)*ROUND(J55,2)</f>
        <v>0</v>
      </c>
      <c r="L55" s="55">
        <f>C55*K55</f>
        <v>0</v>
      </c>
      <c r="M55" s="55">
        <f>L55/12</f>
        <v>0</v>
      </c>
    </row>
    <row r="56" spans="1:13" x14ac:dyDescent="0.2">
      <c r="A56" s="56" t="s">
        <v>1478</v>
      </c>
      <c r="B56" s="56" t="s">
        <v>19</v>
      </c>
      <c r="C56" s="57">
        <f>IF(ISBLANK(B56),0,IF(ISERROR(VALUE(B56)),VLOOKUP(B56,dagsoorttabel1,2,FALSE)*dagenperjaar1,VALUE(B56)))</f>
        <v>3</v>
      </c>
      <c r="D56" s="56" t="s">
        <v>1217</v>
      </c>
      <c r="E56" s="56" t="s">
        <v>1479</v>
      </c>
      <c r="F56" s="56" t="s">
        <v>1364</v>
      </c>
      <c r="G56" s="133">
        <v>37</v>
      </c>
      <c r="H56" s="134">
        <f>Glas!G8</f>
        <v>0</v>
      </c>
      <c r="I56" s="135"/>
      <c r="J56" s="134">
        <f>Glas!I8</f>
        <v>0</v>
      </c>
      <c r="K56" s="60">
        <f>IF(ISBLANK(G56),0,G56)*ROUND(J56,2)</f>
        <v>0</v>
      </c>
      <c r="L56" s="60">
        <f>C56*K56</f>
        <v>0</v>
      </c>
      <c r="M56" s="60">
        <f>L56/12</f>
        <v>0</v>
      </c>
    </row>
    <row r="57" spans="1:13" x14ac:dyDescent="0.2">
      <c r="A57" s="61" t="s">
        <v>1521</v>
      </c>
      <c r="B57" s="61" t="s">
        <v>19</v>
      </c>
      <c r="C57" s="62">
        <f>IF(ISBLANK(B57),0,IF(ISERROR(VALUE(B57)),VLOOKUP(B57,dagsoorttabel1,2,FALSE)*dagenperjaar1,VALUE(B57)))</f>
        <v>3</v>
      </c>
      <c r="D57" s="61" t="s">
        <v>1217</v>
      </c>
      <c r="E57" s="61" t="s">
        <v>1522</v>
      </c>
      <c r="F57" s="61" t="s">
        <v>1500</v>
      </c>
      <c r="G57" s="136">
        <v>1</v>
      </c>
      <c r="H57" s="137">
        <f>Glas!G30</f>
        <v>0</v>
      </c>
      <c r="I57" s="138"/>
      <c r="J57" s="137">
        <f>Glas!I30</f>
        <v>0</v>
      </c>
      <c r="K57" s="65">
        <f>IF(ISBLANK(G57),1,G57)*ROUND(J57,2)</f>
        <v>0</v>
      </c>
      <c r="L57" s="65">
        <f>C57*K57</f>
        <v>0</v>
      </c>
      <c r="M57" s="65">
        <f>L57/12</f>
        <v>0</v>
      </c>
    </row>
    <row r="58" spans="1:13" x14ac:dyDescent="0.2">
      <c r="A58" s="126" t="s">
        <v>1323</v>
      </c>
      <c r="B58" s="74"/>
      <c r="C58" s="74"/>
      <c r="D58" s="74"/>
      <c r="E58" s="74"/>
      <c r="F58" s="74"/>
      <c r="G58" s="74"/>
      <c r="H58" s="74"/>
      <c r="I58" s="74"/>
      <c r="J58" s="74"/>
      <c r="K58" s="76">
        <f>SUM(K55:K57)</f>
        <v>0</v>
      </c>
      <c r="L58" s="76">
        <f>SUM(L55:L57)</f>
        <v>0</v>
      </c>
      <c r="M58" s="122">
        <f>L58/12</f>
        <v>0</v>
      </c>
    </row>
    <row r="60" spans="1:13" x14ac:dyDescent="0.2">
      <c r="A60" s="123" t="s">
        <v>518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124"/>
    </row>
    <row r="61" spans="1:13" x14ac:dyDescent="0.2">
      <c r="A61" s="51" t="s">
        <v>1476</v>
      </c>
      <c r="B61" s="51" t="s">
        <v>19</v>
      </c>
      <c r="C61" s="52">
        <f>IF(ISBLANK(B61),0,IF(ISERROR(VALUE(B61)),VLOOKUP(B61,dagsoorttabel1,2,FALSE)*dagenperjaar1,VALUE(B61)))</f>
        <v>3</v>
      </c>
      <c r="D61" s="51" t="s">
        <v>1217</v>
      </c>
      <c r="E61" s="51" t="s">
        <v>1477</v>
      </c>
      <c r="F61" s="51" t="s">
        <v>1364</v>
      </c>
      <c r="G61" s="130">
        <v>36</v>
      </c>
      <c r="H61" s="131">
        <f>Glas!G6</f>
        <v>0</v>
      </c>
      <c r="I61" s="132"/>
      <c r="J61" s="131">
        <f>Glas!I6</f>
        <v>0</v>
      </c>
      <c r="K61" s="55">
        <f>IF(ISBLANK(G61),0,G61)*ROUND(J61,2)</f>
        <v>0</v>
      </c>
      <c r="L61" s="55">
        <f>C61*K61</f>
        <v>0</v>
      </c>
      <c r="M61" s="55">
        <f>L61/12</f>
        <v>0</v>
      </c>
    </row>
    <row r="62" spans="1:13" x14ac:dyDescent="0.2">
      <c r="A62" s="61" t="s">
        <v>1478</v>
      </c>
      <c r="B62" s="61" t="s">
        <v>19</v>
      </c>
      <c r="C62" s="62">
        <f>IF(ISBLANK(B62),0,IF(ISERROR(VALUE(B62)),VLOOKUP(B62,dagsoorttabel1,2,FALSE)*dagenperjaar1,VALUE(B62)))</f>
        <v>3</v>
      </c>
      <c r="D62" s="61" t="s">
        <v>1217</v>
      </c>
      <c r="E62" s="61" t="s">
        <v>1479</v>
      </c>
      <c r="F62" s="61" t="s">
        <v>1364</v>
      </c>
      <c r="G62" s="136">
        <v>36</v>
      </c>
      <c r="H62" s="137">
        <f>Glas!G8</f>
        <v>0</v>
      </c>
      <c r="I62" s="138"/>
      <c r="J62" s="137">
        <f>Glas!I8</f>
        <v>0</v>
      </c>
      <c r="K62" s="65">
        <f>IF(ISBLANK(G62),0,G62)*ROUND(J62,2)</f>
        <v>0</v>
      </c>
      <c r="L62" s="65">
        <f>C62*K62</f>
        <v>0</v>
      </c>
      <c r="M62" s="65">
        <f>L62/12</f>
        <v>0</v>
      </c>
    </row>
    <row r="63" spans="1:13" x14ac:dyDescent="0.2">
      <c r="A63" s="126" t="s">
        <v>1324</v>
      </c>
      <c r="B63" s="74"/>
      <c r="C63" s="74"/>
      <c r="D63" s="74"/>
      <c r="E63" s="74"/>
      <c r="F63" s="74"/>
      <c r="G63" s="74"/>
      <c r="H63" s="74"/>
      <c r="I63" s="74"/>
      <c r="J63" s="74"/>
      <c r="K63" s="76">
        <f>SUM(K61:K62)</f>
        <v>0</v>
      </c>
      <c r="L63" s="76">
        <f>SUM(L61:L62)</f>
        <v>0</v>
      </c>
      <c r="M63" s="122">
        <f>L63/12</f>
        <v>0</v>
      </c>
    </row>
    <row r="65" spans="1:13" x14ac:dyDescent="0.2">
      <c r="A65" s="123" t="s">
        <v>525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124"/>
    </row>
    <row r="66" spans="1:13" x14ac:dyDescent="0.2">
      <c r="A66" s="51" t="s">
        <v>1476</v>
      </c>
      <c r="B66" s="51" t="s">
        <v>19</v>
      </c>
      <c r="C66" s="52">
        <f>IF(ISBLANK(B66),0,IF(ISERROR(VALUE(B66)),VLOOKUP(B66,dagsoorttabel1,2,FALSE)*dagenperjaar1,VALUE(B66)))</f>
        <v>3</v>
      </c>
      <c r="D66" s="51" t="s">
        <v>1217</v>
      </c>
      <c r="E66" s="51" t="s">
        <v>1477</v>
      </c>
      <c r="F66" s="51" t="s">
        <v>1364</v>
      </c>
      <c r="G66" s="130">
        <v>51</v>
      </c>
      <c r="H66" s="131">
        <f>Glas!G6</f>
        <v>0</v>
      </c>
      <c r="I66" s="132"/>
      <c r="J66" s="131">
        <f>Glas!I6</f>
        <v>0</v>
      </c>
      <c r="K66" s="55">
        <f>IF(ISBLANK(G66),0,G66)*ROUND(J66,2)</f>
        <v>0</v>
      </c>
      <c r="L66" s="55">
        <f>C66*K66</f>
        <v>0</v>
      </c>
      <c r="M66" s="55">
        <f>L66/12</f>
        <v>0</v>
      </c>
    </row>
    <row r="67" spans="1:13" x14ac:dyDescent="0.2">
      <c r="A67" s="61" t="s">
        <v>1478</v>
      </c>
      <c r="B67" s="61" t="s">
        <v>19</v>
      </c>
      <c r="C67" s="62">
        <f>IF(ISBLANK(B67),0,IF(ISERROR(VALUE(B67)),VLOOKUP(B67,dagsoorttabel1,2,FALSE)*dagenperjaar1,VALUE(B67)))</f>
        <v>3</v>
      </c>
      <c r="D67" s="61" t="s">
        <v>1217</v>
      </c>
      <c r="E67" s="61" t="s">
        <v>1479</v>
      </c>
      <c r="F67" s="61" t="s">
        <v>1364</v>
      </c>
      <c r="G67" s="136">
        <v>51</v>
      </c>
      <c r="H67" s="137">
        <f>Glas!G8</f>
        <v>0</v>
      </c>
      <c r="I67" s="138"/>
      <c r="J67" s="137">
        <f>Glas!I8</f>
        <v>0</v>
      </c>
      <c r="K67" s="65">
        <f>IF(ISBLANK(G67),0,G67)*ROUND(J67,2)</f>
        <v>0</v>
      </c>
      <c r="L67" s="65">
        <f>C67*K67</f>
        <v>0</v>
      </c>
      <c r="M67" s="65">
        <f>L67/12</f>
        <v>0</v>
      </c>
    </row>
    <row r="68" spans="1:13" x14ac:dyDescent="0.2">
      <c r="A68" s="126" t="s">
        <v>1325</v>
      </c>
      <c r="B68" s="74"/>
      <c r="C68" s="74"/>
      <c r="D68" s="74"/>
      <c r="E68" s="74"/>
      <c r="F68" s="74"/>
      <c r="G68" s="74"/>
      <c r="H68" s="74"/>
      <c r="I68" s="74"/>
      <c r="J68" s="74"/>
      <c r="K68" s="76">
        <f>SUM(K66:K67)</f>
        <v>0</v>
      </c>
      <c r="L68" s="76">
        <f>SUM(L66:L67)</f>
        <v>0</v>
      </c>
      <c r="M68" s="122">
        <f>L68/12</f>
        <v>0</v>
      </c>
    </row>
    <row r="70" spans="1:13" x14ac:dyDescent="0.2">
      <c r="A70" s="123" t="s">
        <v>548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124"/>
    </row>
    <row r="71" spans="1:13" x14ac:dyDescent="0.2">
      <c r="A71" s="51" t="s">
        <v>1476</v>
      </c>
      <c r="B71" s="51" t="s">
        <v>19</v>
      </c>
      <c r="C71" s="52">
        <f>IF(ISBLANK(B71),0,IF(ISERROR(VALUE(B71)),VLOOKUP(B71,dagsoorttabel1,2,FALSE)*dagenperjaar1,VALUE(B71)))</f>
        <v>3</v>
      </c>
      <c r="D71" s="51" t="s">
        <v>1217</v>
      </c>
      <c r="E71" s="51" t="s">
        <v>1477</v>
      </c>
      <c r="F71" s="51" t="s">
        <v>1364</v>
      </c>
      <c r="G71" s="130">
        <v>70</v>
      </c>
      <c r="H71" s="131">
        <f>Glas!G6</f>
        <v>0</v>
      </c>
      <c r="I71" s="132"/>
      <c r="J71" s="131">
        <f>Glas!I6</f>
        <v>0</v>
      </c>
      <c r="K71" s="55">
        <f>IF(ISBLANK(G71),0,G71)*ROUND(J71,2)</f>
        <v>0</v>
      </c>
      <c r="L71" s="55">
        <f>C71*K71</f>
        <v>0</v>
      </c>
      <c r="M71" s="55">
        <f>L71/12</f>
        <v>0</v>
      </c>
    </row>
    <row r="72" spans="1:13" x14ac:dyDescent="0.2">
      <c r="A72" s="61" t="s">
        <v>1478</v>
      </c>
      <c r="B72" s="61" t="s">
        <v>19</v>
      </c>
      <c r="C72" s="62">
        <f>IF(ISBLANK(B72),0,IF(ISERROR(VALUE(B72)),VLOOKUP(B72,dagsoorttabel1,2,FALSE)*dagenperjaar1,VALUE(B72)))</f>
        <v>3</v>
      </c>
      <c r="D72" s="61" t="s">
        <v>1217</v>
      </c>
      <c r="E72" s="61" t="s">
        <v>1479</v>
      </c>
      <c r="F72" s="61" t="s">
        <v>1364</v>
      </c>
      <c r="G72" s="136">
        <v>70</v>
      </c>
      <c r="H72" s="137">
        <f>Glas!G8</f>
        <v>0</v>
      </c>
      <c r="I72" s="138"/>
      <c r="J72" s="137">
        <f>Glas!I8</f>
        <v>0</v>
      </c>
      <c r="K72" s="65">
        <f>IF(ISBLANK(G72),0,G72)*ROUND(J72,2)</f>
        <v>0</v>
      </c>
      <c r="L72" s="65">
        <f>C72*K72</f>
        <v>0</v>
      </c>
      <c r="M72" s="65">
        <f>L72/12</f>
        <v>0</v>
      </c>
    </row>
    <row r="73" spans="1:13" x14ac:dyDescent="0.2">
      <c r="A73" s="126" t="s">
        <v>1326</v>
      </c>
      <c r="B73" s="74"/>
      <c r="C73" s="74"/>
      <c r="D73" s="74"/>
      <c r="E73" s="74"/>
      <c r="F73" s="74"/>
      <c r="G73" s="74"/>
      <c r="H73" s="74"/>
      <c r="I73" s="74"/>
      <c r="J73" s="74"/>
      <c r="K73" s="76">
        <f>SUM(K71:K72)</f>
        <v>0</v>
      </c>
      <c r="L73" s="76">
        <f>SUM(L71:L72)</f>
        <v>0</v>
      </c>
      <c r="M73" s="122">
        <f>L73/12</f>
        <v>0</v>
      </c>
    </row>
    <row r="75" spans="1:13" x14ac:dyDescent="0.2">
      <c r="A75" s="123" t="s">
        <v>556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124"/>
    </row>
    <row r="76" spans="1:13" x14ac:dyDescent="0.2">
      <c r="A76" s="51" t="s">
        <v>1476</v>
      </c>
      <c r="B76" s="51" t="s">
        <v>18</v>
      </c>
      <c r="C76" s="52">
        <f>IF(ISBLANK(B76),0,IF(ISERROR(VALUE(B76)),VLOOKUP(B76,dagsoorttabel1,2,FALSE)*dagenperjaar1,VALUE(B76)))</f>
        <v>4</v>
      </c>
      <c r="D76" s="51" t="s">
        <v>1217</v>
      </c>
      <c r="E76" s="51" t="s">
        <v>1477</v>
      </c>
      <c r="F76" s="51" t="s">
        <v>1364</v>
      </c>
      <c r="G76" s="130">
        <v>911</v>
      </c>
      <c r="H76" s="131">
        <f>Glas!G7</f>
        <v>0</v>
      </c>
      <c r="I76" s="132"/>
      <c r="J76" s="131">
        <f>Glas!I7</f>
        <v>0</v>
      </c>
      <c r="K76" s="55">
        <f>IF(ISBLANK(G76),0,G76)*ROUND(J76,2)</f>
        <v>0</v>
      </c>
      <c r="L76" s="55">
        <f>C76*K76</f>
        <v>0</v>
      </c>
      <c r="M76" s="55">
        <f>L76/12</f>
        <v>0</v>
      </c>
    </row>
    <row r="77" spans="1:13" x14ac:dyDescent="0.2">
      <c r="A77" s="56" t="s">
        <v>1478</v>
      </c>
      <c r="B77" s="56" t="s">
        <v>18</v>
      </c>
      <c r="C77" s="57">
        <f>IF(ISBLANK(B77),0,IF(ISERROR(VALUE(B77)),VLOOKUP(B77,dagsoorttabel1,2,FALSE)*dagenperjaar1,VALUE(B77)))</f>
        <v>4</v>
      </c>
      <c r="D77" s="56" t="s">
        <v>1217</v>
      </c>
      <c r="E77" s="56" t="s">
        <v>1479</v>
      </c>
      <c r="F77" s="56" t="s">
        <v>1364</v>
      </c>
      <c r="G77" s="133">
        <v>911</v>
      </c>
      <c r="H77" s="134">
        <f>Glas!G9</f>
        <v>0</v>
      </c>
      <c r="I77" s="135"/>
      <c r="J77" s="134">
        <f>Glas!I9</f>
        <v>0</v>
      </c>
      <c r="K77" s="60">
        <f>IF(ISBLANK(G77),0,G77)*ROUND(J77,2)</f>
        <v>0</v>
      </c>
      <c r="L77" s="60">
        <f>C77*K77</f>
        <v>0</v>
      </c>
      <c r="M77" s="60">
        <f>L77/12</f>
        <v>0</v>
      </c>
    </row>
    <row r="78" spans="1:13" x14ac:dyDescent="0.2">
      <c r="A78" s="56" t="s">
        <v>1480</v>
      </c>
      <c r="B78" s="56" t="s">
        <v>18</v>
      </c>
      <c r="C78" s="57">
        <f>IF(ISBLANK(B78),0,IF(ISERROR(VALUE(B78)),VLOOKUP(B78,dagsoorttabel1,2,FALSE)*dagenperjaar1,VALUE(B78)))</f>
        <v>4</v>
      </c>
      <c r="D78" s="56" t="s">
        <v>1217</v>
      </c>
      <c r="E78" s="56" t="s">
        <v>1481</v>
      </c>
      <c r="F78" s="56" t="s">
        <v>1364</v>
      </c>
      <c r="G78" s="133">
        <v>1397</v>
      </c>
      <c r="H78" s="134">
        <f>Glas!G10</f>
        <v>0</v>
      </c>
      <c r="I78" s="135"/>
      <c r="J78" s="134">
        <f>Glas!I10</f>
        <v>0</v>
      </c>
      <c r="K78" s="60">
        <f>IF(ISBLANK(G78),0,G78)*ROUND(J78,2)</f>
        <v>0</v>
      </c>
      <c r="L78" s="60">
        <f>C78*K78</f>
        <v>0</v>
      </c>
      <c r="M78" s="60">
        <f>L78/12</f>
        <v>0</v>
      </c>
    </row>
    <row r="79" spans="1:13" x14ac:dyDescent="0.2">
      <c r="A79" s="56" t="s">
        <v>1490</v>
      </c>
      <c r="B79" s="56" t="s">
        <v>18</v>
      </c>
      <c r="C79" s="57">
        <f>IF(ISBLANK(B79),0,IF(ISERROR(VALUE(B79)),VLOOKUP(B79,dagsoorttabel1,2,FALSE)*dagenperjaar1,VALUE(B79)))</f>
        <v>4</v>
      </c>
      <c r="D79" s="56" t="s">
        <v>1217</v>
      </c>
      <c r="E79" s="56" t="s">
        <v>1491</v>
      </c>
      <c r="F79" s="56" t="s">
        <v>1364</v>
      </c>
      <c r="G79" s="133">
        <v>52</v>
      </c>
      <c r="H79" s="134">
        <f>Glas!G15</f>
        <v>0</v>
      </c>
      <c r="I79" s="135"/>
      <c r="J79" s="134">
        <f>Glas!I15</f>
        <v>0</v>
      </c>
      <c r="K79" s="60">
        <f>IF(ISBLANK(G79),0,G79)*ROUND(J79,2)</f>
        <v>0</v>
      </c>
      <c r="L79" s="60">
        <f>C79*K79</f>
        <v>0</v>
      </c>
      <c r="M79" s="60">
        <f>L79/12</f>
        <v>0</v>
      </c>
    </row>
    <row r="80" spans="1:13" x14ac:dyDescent="0.2">
      <c r="A80" s="56" t="s">
        <v>1492</v>
      </c>
      <c r="B80" s="56" t="s">
        <v>18</v>
      </c>
      <c r="C80" s="57">
        <f>IF(ISBLANK(B80),0,IF(ISERROR(VALUE(B80)),VLOOKUP(B80,dagsoorttabel1,2,FALSE)*dagenperjaar1,VALUE(B80)))</f>
        <v>4</v>
      </c>
      <c r="D80" s="56" t="s">
        <v>1217</v>
      </c>
      <c r="E80" s="56" t="s">
        <v>1493</v>
      </c>
      <c r="F80" s="56" t="s">
        <v>1364</v>
      </c>
      <c r="G80" s="133">
        <v>21</v>
      </c>
      <c r="H80" s="134">
        <f>Glas!G16</f>
        <v>0</v>
      </c>
      <c r="I80" s="135"/>
      <c r="J80" s="134">
        <f>Glas!I16</f>
        <v>0</v>
      </c>
      <c r="K80" s="60">
        <f>IF(ISBLANK(G80),0,G80)*ROUND(J80,2)</f>
        <v>0</v>
      </c>
      <c r="L80" s="60">
        <f>C80*K80</f>
        <v>0</v>
      </c>
      <c r="M80" s="60">
        <f>L80/12</f>
        <v>0</v>
      </c>
    </row>
    <row r="81" spans="1:13" x14ac:dyDescent="0.2">
      <c r="A81" s="56" t="s">
        <v>1498</v>
      </c>
      <c r="B81" s="56" t="s">
        <v>18</v>
      </c>
      <c r="C81" s="57">
        <f>IF(ISBLANK(B81),0,IF(ISERROR(VALUE(B81)),VLOOKUP(B81,dagsoorttabel1,2,FALSE)*dagenperjaar1,VALUE(B81)))</f>
        <v>4</v>
      </c>
      <c r="D81" s="56" t="s">
        <v>1217</v>
      </c>
      <c r="E81" s="56" t="s">
        <v>1499</v>
      </c>
      <c r="F81" s="56" t="s">
        <v>1500</v>
      </c>
      <c r="G81" s="133">
        <v>1</v>
      </c>
      <c r="H81" s="134">
        <f>Glas!G19</f>
        <v>0</v>
      </c>
      <c r="I81" s="135"/>
      <c r="J81" s="134">
        <f>Glas!I19</f>
        <v>0</v>
      </c>
      <c r="K81" s="60">
        <f>IF(ISBLANK(G81),1,G81)*ROUND(J81,2)</f>
        <v>0</v>
      </c>
      <c r="L81" s="60">
        <f>C81*K81</f>
        <v>0</v>
      </c>
      <c r="M81" s="60">
        <f>L81/12</f>
        <v>0</v>
      </c>
    </row>
    <row r="82" spans="1:13" x14ac:dyDescent="0.2">
      <c r="A82" s="56" t="s">
        <v>1501</v>
      </c>
      <c r="B82" s="56" t="s">
        <v>18</v>
      </c>
      <c r="C82" s="57">
        <f>IF(ISBLANK(B82),0,IF(ISERROR(VALUE(B82)),VLOOKUP(B82,dagsoorttabel1,2,FALSE)*dagenperjaar1,VALUE(B82)))</f>
        <v>4</v>
      </c>
      <c r="D82" s="56" t="s">
        <v>1217</v>
      </c>
      <c r="E82" s="56" t="s">
        <v>1502</v>
      </c>
      <c r="F82" s="56" t="s">
        <v>1500</v>
      </c>
      <c r="G82" s="133">
        <v>1</v>
      </c>
      <c r="H82" s="134">
        <f>Glas!G20</f>
        <v>0</v>
      </c>
      <c r="I82" s="135"/>
      <c r="J82" s="134">
        <f>Glas!I20</f>
        <v>0</v>
      </c>
      <c r="K82" s="60">
        <f>IF(ISBLANK(G82),1,G82)*ROUND(J82,2)</f>
        <v>0</v>
      </c>
      <c r="L82" s="60">
        <f>C82*K82</f>
        <v>0</v>
      </c>
      <c r="M82" s="60">
        <f>L82/12</f>
        <v>0</v>
      </c>
    </row>
    <row r="83" spans="1:13" x14ac:dyDescent="0.2">
      <c r="A83" s="61" t="s">
        <v>1523</v>
      </c>
      <c r="B83" s="61" t="s">
        <v>18</v>
      </c>
      <c r="C83" s="62">
        <f>IF(ISBLANK(B83),0,IF(ISERROR(VALUE(B83)),VLOOKUP(B83,dagsoorttabel1,2,FALSE)*dagenperjaar1,VALUE(B83)))</f>
        <v>4</v>
      </c>
      <c r="D83" s="61" t="s">
        <v>1217</v>
      </c>
      <c r="E83" s="61" t="s">
        <v>1524</v>
      </c>
      <c r="F83" s="61" t="s">
        <v>1500</v>
      </c>
      <c r="G83" s="136">
        <v>1</v>
      </c>
      <c r="H83" s="137">
        <f>Glas!G31</f>
        <v>0</v>
      </c>
      <c r="I83" s="138"/>
      <c r="J83" s="137">
        <f>Glas!I31</f>
        <v>0</v>
      </c>
      <c r="K83" s="65">
        <f>IF(ISBLANK(G83),1,G83)*ROUND(J83,2)</f>
        <v>0</v>
      </c>
      <c r="L83" s="65">
        <f>C83*K83</f>
        <v>0</v>
      </c>
      <c r="M83" s="65">
        <f>L83/12</f>
        <v>0</v>
      </c>
    </row>
    <row r="84" spans="1:13" x14ac:dyDescent="0.2">
      <c r="A84" s="126" t="s">
        <v>1327</v>
      </c>
      <c r="B84" s="74"/>
      <c r="C84" s="74"/>
      <c r="D84" s="74"/>
      <c r="E84" s="74"/>
      <c r="F84" s="74"/>
      <c r="G84" s="74"/>
      <c r="H84" s="74"/>
      <c r="I84" s="74"/>
      <c r="J84" s="74"/>
      <c r="K84" s="76">
        <f>SUM(K76:K83)</f>
        <v>0</v>
      </c>
      <c r="L84" s="76">
        <f>SUM(L76:L83)</f>
        <v>0</v>
      </c>
      <c r="M84" s="122">
        <f>L84/12</f>
        <v>0</v>
      </c>
    </row>
    <row r="86" spans="1:13" x14ac:dyDescent="0.2">
      <c r="A86" s="123" t="s">
        <v>873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124"/>
    </row>
    <row r="87" spans="1:13" x14ac:dyDescent="0.2">
      <c r="A87" s="51" t="s">
        <v>1476</v>
      </c>
      <c r="B87" s="51" t="s">
        <v>19</v>
      </c>
      <c r="C87" s="52">
        <f>IF(ISBLANK(B87),0,IF(ISERROR(VALUE(B87)),VLOOKUP(B87,dagsoorttabel1,2,FALSE)*dagenperjaar1,VALUE(B87)))</f>
        <v>3</v>
      </c>
      <c r="D87" s="51" t="s">
        <v>1217</v>
      </c>
      <c r="E87" s="51" t="s">
        <v>1477</v>
      </c>
      <c r="F87" s="51" t="s">
        <v>1364</v>
      </c>
      <c r="G87" s="130">
        <v>62</v>
      </c>
      <c r="H87" s="131">
        <f>Glas!G6</f>
        <v>0</v>
      </c>
      <c r="I87" s="132"/>
      <c r="J87" s="131">
        <f>Glas!I6</f>
        <v>0</v>
      </c>
      <c r="K87" s="55">
        <f>IF(ISBLANK(G87),0,G87)*ROUND(J87,2)</f>
        <v>0</v>
      </c>
      <c r="L87" s="55">
        <f>C87*K87</f>
        <v>0</v>
      </c>
      <c r="M87" s="55">
        <f>L87/12</f>
        <v>0</v>
      </c>
    </row>
    <row r="88" spans="1:13" x14ac:dyDescent="0.2">
      <c r="A88" s="61" t="s">
        <v>1478</v>
      </c>
      <c r="B88" s="61" t="s">
        <v>19</v>
      </c>
      <c r="C88" s="62">
        <f>IF(ISBLANK(B88),0,IF(ISERROR(VALUE(B88)),VLOOKUP(B88,dagsoorttabel1,2,FALSE)*dagenperjaar1,VALUE(B88)))</f>
        <v>3</v>
      </c>
      <c r="D88" s="61" t="s">
        <v>1217</v>
      </c>
      <c r="E88" s="61" t="s">
        <v>1479</v>
      </c>
      <c r="F88" s="61" t="s">
        <v>1364</v>
      </c>
      <c r="G88" s="136">
        <v>62</v>
      </c>
      <c r="H88" s="137">
        <f>Glas!G8</f>
        <v>0</v>
      </c>
      <c r="I88" s="138"/>
      <c r="J88" s="137">
        <f>Glas!I8</f>
        <v>0</v>
      </c>
      <c r="K88" s="65">
        <f>IF(ISBLANK(G88),0,G88)*ROUND(J88,2)</f>
        <v>0</v>
      </c>
      <c r="L88" s="65">
        <f>C88*K88</f>
        <v>0</v>
      </c>
      <c r="M88" s="65">
        <f>L88/12</f>
        <v>0</v>
      </c>
    </row>
    <row r="89" spans="1:13" x14ac:dyDescent="0.2">
      <c r="A89" s="126" t="s">
        <v>1328</v>
      </c>
      <c r="B89" s="74"/>
      <c r="C89" s="74"/>
      <c r="D89" s="74"/>
      <c r="E89" s="74"/>
      <c r="F89" s="74"/>
      <c r="G89" s="74"/>
      <c r="H89" s="74"/>
      <c r="I89" s="74"/>
      <c r="J89" s="74"/>
      <c r="K89" s="76">
        <f>SUM(K87:K88)</f>
        <v>0</v>
      </c>
      <c r="L89" s="76">
        <f>SUM(L87:L88)</f>
        <v>0</v>
      </c>
      <c r="M89" s="122">
        <f>L89/12</f>
        <v>0</v>
      </c>
    </row>
    <row r="91" spans="1:13" x14ac:dyDescent="0.2">
      <c r="A91" s="123" t="s">
        <v>885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124"/>
    </row>
    <row r="92" spans="1:13" x14ac:dyDescent="0.2">
      <c r="A92" s="51" t="s">
        <v>1476</v>
      </c>
      <c r="B92" s="51" t="s">
        <v>19</v>
      </c>
      <c r="C92" s="52">
        <f>IF(ISBLANK(B92),0,IF(ISERROR(VALUE(B92)),VLOOKUP(B92,dagsoorttabel1,2,FALSE)*dagenperjaar1,VALUE(B92)))</f>
        <v>3</v>
      </c>
      <c r="D92" s="51" t="s">
        <v>1217</v>
      </c>
      <c r="E92" s="51" t="s">
        <v>1477</v>
      </c>
      <c r="F92" s="51" t="s">
        <v>1364</v>
      </c>
      <c r="G92" s="130">
        <v>35</v>
      </c>
      <c r="H92" s="131">
        <f>Glas!G6</f>
        <v>0</v>
      </c>
      <c r="I92" s="132"/>
      <c r="J92" s="131">
        <f>Glas!I6</f>
        <v>0</v>
      </c>
      <c r="K92" s="55">
        <f>IF(ISBLANK(G92),0,G92)*ROUND(J92,2)</f>
        <v>0</v>
      </c>
      <c r="L92" s="55">
        <f>C92*K92</f>
        <v>0</v>
      </c>
      <c r="M92" s="55">
        <f>L92/12</f>
        <v>0</v>
      </c>
    </row>
    <row r="93" spans="1:13" x14ac:dyDescent="0.2">
      <c r="A93" s="56" t="s">
        <v>1478</v>
      </c>
      <c r="B93" s="56" t="s">
        <v>19</v>
      </c>
      <c r="C93" s="57">
        <f>IF(ISBLANK(B93),0,IF(ISERROR(VALUE(B93)),VLOOKUP(B93,dagsoorttabel1,2,FALSE)*dagenperjaar1,VALUE(B93)))</f>
        <v>3</v>
      </c>
      <c r="D93" s="56" t="s">
        <v>1217</v>
      </c>
      <c r="E93" s="56" t="s">
        <v>1479</v>
      </c>
      <c r="F93" s="56" t="s">
        <v>1364</v>
      </c>
      <c r="G93" s="133">
        <v>35</v>
      </c>
      <c r="H93" s="134">
        <f>Glas!G8</f>
        <v>0</v>
      </c>
      <c r="I93" s="135"/>
      <c r="J93" s="134">
        <f>Glas!I8</f>
        <v>0</v>
      </c>
      <c r="K93" s="60">
        <f>IF(ISBLANK(G93),0,G93)*ROUND(J93,2)</f>
        <v>0</v>
      </c>
      <c r="L93" s="60">
        <f>C93*K93</f>
        <v>0</v>
      </c>
      <c r="M93" s="60">
        <f>L93/12</f>
        <v>0</v>
      </c>
    </row>
    <row r="94" spans="1:13" x14ac:dyDescent="0.2">
      <c r="A94" s="61" t="s">
        <v>1525</v>
      </c>
      <c r="B94" s="61" t="s">
        <v>19</v>
      </c>
      <c r="C94" s="62">
        <f>IF(ISBLANK(B94),0,IF(ISERROR(VALUE(B94)),VLOOKUP(B94,dagsoorttabel1,2,FALSE)*dagenperjaar1,VALUE(B94)))</f>
        <v>3</v>
      </c>
      <c r="D94" s="61" t="s">
        <v>1217</v>
      </c>
      <c r="E94" s="61" t="s">
        <v>1526</v>
      </c>
      <c r="F94" s="61" t="s">
        <v>1500</v>
      </c>
      <c r="G94" s="136">
        <v>1</v>
      </c>
      <c r="H94" s="137">
        <f>Glas!G32</f>
        <v>0</v>
      </c>
      <c r="I94" s="138"/>
      <c r="J94" s="137">
        <f>Glas!I32</f>
        <v>0</v>
      </c>
      <c r="K94" s="65">
        <f>IF(ISBLANK(G94),1,G94)*ROUND(J94,2)</f>
        <v>0</v>
      </c>
      <c r="L94" s="65">
        <f>C94*K94</f>
        <v>0</v>
      </c>
      <c r="M94" s="65">
        <f>L94/12</f>
        <v>0</v>
      </c>
    </row>
    <row r="95" spans="1:13" x14ac:dyDescent="0.2">
      <c r="A95" s="126" t="s">
        <v>1563</v>
      </c>
      <c r="B95" s="74"/>
      <c r="C95" s="74"/>
      <c r="D95" s="74"/>
      <c r="E95" s="74"/>
      <c r="F95" s="74"/>
      <c r="G95" s="74"/>
      <c r="H95" s="74"/>
      <c r="I95" s="74"/>
      <c r="J95" s="74"/>
      <c r="K95" s="76">
        <f>SUM(K92:K94)</f>
        <v>0</v>
      </c>
      <c r="L95" s="76">
        <f>SUM(L92:L94)</f>
        <v>0</v>
      </c>
      <c r="M95" s="122">
        <f>L95/12</f>
        <v>0</v>
      </c>
    </row>
    <row r="97" spans="1:13" x14ac:dyDescent="0.2">
      <c r="A97" s="123" t="s">
        <v>890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124"/>
    </row>
    <row r="98" spans="1:13" x14ac:dyDescent="0.2">
      <c r="A98" s="51" t="s">
        <v>1476</v>
      </c>
      <c r="B98" s="51" t="s">
        <v>19</v>
      </c>
      <c r="C98" s="52">
        <f>IF(ISBLANK(B98),0,IF(ISERROR(VALUE(B98)),VLOOKUP(B98,dagsoorttabel1,2,FALSE)*dagenperjaar1,VALUE(B98)))</f>
        <v>3</v>
      </c>
      <c r="D98" s="51" t="s">
        <v>1217</v>
      </c>
      <c r="E98" s="51" t="s">
        <v>1477</v>
      </c>
      <c r="F98" s="51" t="s">
        <v>1364</v>
      </c>
      <c r="G98" s="130">
        <v>212</v>
      </c>
      <c r="H98" s="131">
        <f>Glas!G6</f>
        <v>0</v>
      </c>
      <c r="I98" s="132"/>
      <c r="J98" s="131">
        <f>Glas!I6</f>
        <v>0</v>
      </c>
      <c r="K98" s="55">
        <f>IF(ISBLANK(G98),0,G98)*ROUND(J98,2)</f>
        <v>0</v>
      </c>
      <c r="L98" s="55">
        <f>C98*K98</f>
        <v>0</v>
      </c>
      <c r="M98" s="55">
        <f>L98/12</f>
        <v>0</v>
      </c>
    </row>
    <row r="99" spans="1:13" x14ac:dyDescent="0.2">
      <c r="A99" s="56" t="s">
        <v>1478</v>
      </c>
      <c r="B99" s="56" t="s">
        <v>19</v>
      </c>
      <c r="C99" s="57">
        <f>IF(ISBLANK(B99),0,IF(ISERROR(VALUE(B99)),VLOOKUP(B99,dagsoorttabel1,2,FALSE)*dagenperjaar1,VALUE(B99)))</f>
        <v>3</v>
      </c>
      <c r="D99" s="56" t="s">
        <v>1217</v>
      </c>
      <c r="E99" s="56" t="s">
        <v>1479</v>
      </c>
      <c r="F99" s="56" t="s">
        <v>1364</v>
      </c>
      <c r="G99" s="133">
        <v>212</v>
      </c>
      <c r="H99" s="134">
        <f>Glas!G8</f>
        <v>0</v>
      </c>
      <c r="I99" s="135"/>
      <c r="J99" s="134">
        <f>Glas!I8</f>
        <v>0</v>
      </c>
      <c r="K99" s="60">
        <f>IF(ISBLANK(G99),0,G99)*ROUND(J99,2)</f>
        <v>0</v>
      </c>
      <c r="L99" s="60">
        <f>C99*K99</f>
        <v>0</v>
      </c>
      <c r="M99" s="60">
        <f>L99/12</f>
        <v>0</v>
      </c>
    </row>
    <row r="100" spans="1:13" x14ac:dyDescent="0.2">
      <c r="A100" s="61" t="s">
        <v>1527</v>
      </c>
      <c r="B100" s="61" t="s">
        <v>19</v>
      </c>
      <c r="C100" s="62">
        <f>IF(ISBLANK(B100),0,IF(ISERROR(VALUE(B100)),VLOOKUP(B100,dagsoorttabel1,2,FALSE)*dagenperjaar1,VALUE(B100)))</f>
        <v>3</v>
      </c>
      <c r="D100" s="61" t="s">
        <v>1217</v>
      </c>
      <c r="E100" s="61" t="s">
        <v>1528</v>
      </c>
      <c r="F100" s="61" t="s">
        <v>1500</v>
      </c>
      <c r="G100" s="136">
        <v>1</v>
      </c>
      <c r="H100" s="137">
        <f>Glas!G33</f>
        <v>0</v>
      </c>
      <c r="I100" s="138"/>
      <c r="J100" s="137">
        <f>Glas!I33</f>
        <v>0</v>
      </c>
      <c r="K100" s="65">
        <f>IF(ISBLANK(G100),1,G100)*ROUND(J100,2)</f>
        <v>0</v>
      </c>
      <c r="L100" s="65">
        <f>C100*K100</f>
        <v>0</v>
      </c>
      <c r="M100" s="65">
        <f>L100/12</f>
        <v>0</v>
      </c>
    </row>
    <row r="101" spans="1:13" x14ac:dyDescent="0.2">
      <c r="A101" s="126" t="s">
        <v>1564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6">
        <f>SUM(K98:K100)</f>
        <v>0</v>
      </c>
      <c r="L101" s="76">
        <f>SUM(L98:L100)</f>
        <v>0</v>
      </c>
      <c r="M101" s="122">
        <f>L101/12</f>
        <v>0</v>
      </c>
    </row>
    <row r="103" spans="1:13" x14ac:dyDescent="0.2">
      <c r="A103" s="123" t="s">
        <v>902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124"/>
    </row>
    <row r="104" spans="1:13" x14ac:dyDescent="0.2">
      <c r="A104" s="51" t="s">
        <v>1476</v>
      </c>
      <c r="B104" s="51" t="s">
        <v>19</v>
      </c>
      <c r="C104" s="52">
        <f>IF(ISBLANK(B104),0,IF(ISERROR(VALUE(B104)),VLOOKUP(B104,dagsoorttabel1,2,FALSE)*dagenperjaar1,VALUE(B104)))</f>
        <v>3</v>
      </c>
      <c r="D104" s="51" t="s">
        <v>1217</v>
      </c>
      <c r="E104" s="51" t="s">
        <v>1477</v>
      </c>
      <c r="F104" s="51" t="s">
        <v>1364</v>
      </c>
      <c r="G104" s="130">
        <v>17</v>
      </c>
      <c r="H104" s="131">
        <f>Glas!G6</f>
        <v>0</v>
      </c>
      <c r="I104" s="132"/>
      <c r="J104" s="131">
        <f>Glas!I6</f>
        <v>0</v>
      </c>
      <c r="K104" s="55">
        <f>IF(ISBLANK(G104),0,G104)*ROUND(J104,2)</f>
        <v>0</v>
      </c>
      <c r="L104" s="55">
        <f>C104*K104</f>
        <v>0</v>
      </c>
      <c r="M104" s="55">
        <f>L104/12</f>
        <v>0</v>
      </c>
    </row>
    <row r="105" spans="1:13" x14ac:dyDescent="0.2">
      <c r="A105" s="56" t="s">
        <v>1478</v>
      </c>
      <c r="B105" s="56" t="s">
        <v>19</v>
      </c>
      <c r="C105" s="57">
        <f>IF(ISBLANK(B105),0,IF(ISERROR(VALUE(B105)),VLOOKUP(B105,dagsoorttabel1,2,FALSE)*dagenperjaar1,VALUE(B105)))</f>
        <v>3</v>
      </c>
      <c r="D105" s="56" t="s">
        <v>1217</v>
      </c>
      <c r="E105" s="56" t="s">
        <v>1479</v>
      </c>
      <c r="F105" s="56" t="s">
        <v>1364</v>
      </c>
      <c r="G105" s="133">
        <v>17</v>
      </c>
      <c r="H105" s="134">
        <f>Glas!G8</f>
        <v>0</v>
      </c>
      <c r="I105" s="135"/>
      <c r="J105" s="134">
        <f>Glas!I8</f>
        <v>0</v>
      </c>
      <c r="K105" s="60">
        <f>IF(ISBLANK(G105),0,G105)*ROUND(J105,2)</f>
        <v>0</v>
      </c>
      <c r="L105" s="60">
        <f>C105*K105</f>
        <v>0</v>
      </c>
      <c r="M105" s="60">
        <f>L105/12</f>
        <v>0</v>
      </c>
    </row>
    <row r="106" spans="1:13" x14ac:dyDescent="0.2">
      <c r="A106" s="61" t="s">
        <v>1529</v>
      </c>
      <c r="B106" s="61" t="s">
        <v>19</v>
      </c>
      <c r="C106" s="62">
        <f>IF(ISBLANK(B106),0,IF(ISERROR(VALUE(B106)),VLOOKUP(B106,dagsoorttabel1,2,FALSE)*dagenperjaar1,VALUE(B106)))</f>
        <v>3</v>
      </c>
      <c r="D106" s="61" t="s">
        <v>1217</v>
      </c>
      <c r="E106" s="61" t="s">
        <v>1530</v>
      </c>
      <c r="F106" s="61" t="s">
        <v>1500</v>
      </c>
      <c r="G106" s="136">
        <v>1</v>
      </c>
      <c r="H106" s="137">
        <f>Glas!G34</f>
        <v>0</v>
      </c>
      <c r="I106" s="138"/>
      <c r="J106" s="137">
        <f>Glas!I34</f>
        <v>0</v>
      </c>
      <c r="K106" s="65">
        <f>IF(ISBLANK(G106),1,G106)*ROUND(J106,2)</f>
        <v>0</v>
      </c>
      <c r="L106" s="65">
        <f>C106*K106</f>
        <v>0</v>
      </c>
      <c r="M106" s="65">
        <f>L106/12</f>
        <v>0</v>
      </c>
    </row>
    <row r="107" spans="1:13" x14ac:dyDescent="0.2">
      <c r="A107" s="126" t="s">
        <v>1329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6">
        <f>SUM(K104:K106)</f>
        <v>0</v>
      </c>
      <c r="L107" s="76">
        <f>SUM(L104:L106)</f>
        <v>0</v>
      </c>
      <c r="M107" s="122">
        <f>L107/12</f>
        <v>0</v>
      </c>
    </row>
    <row r="109" spans="1:13" x14ac:dyDescent="0.2">
      <c r="A109" s="123" t="s">
        <v>907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124"/>
    </row>
    <row r="110" spans="1:13" x14ac:dyDescent="0.2">
      <c r="A110" s="51" t="s">
        <v>1476</v>
      </c>
      <c r="B110" s="51" t="s">
        <v>19</v>
      </c>
      <c r="C110" s="52">
        <f>IF(ISBLANK(B110),0,IF(ISERROR(VALUE(B110)),VLOOKUP(B110,dagsoorttabel1,2,FALSE)*dagenperjaar1,VALUE(B110)))</f>
        <v>3</v>
      </c>
      <c r="D110" s="51" t="s">
        <v>1217</v>
      </c>
      <c r="E110" s="51" t="s">
        <v>1477</v>
      </c>
      <c r="F110" s="51" t="s">
        <v>1364</v>
      </c>
      <c r="G110" s="130">
        <v>121</v>
      </c>
      <c r="H110" s="131">
        <f>Glas!G6</f>
        <v>0</v>
      </c>
      <c r="I110" s="132"/>
      <c r="J110" s="131">
        <f>Glas!I6</f>
        <v>0</v>
      </c>
      <c r="K110" s="55">
        <f>IF(ISBLANK(G110),0,G110)*ROUND(J110,2)</f>
        <v>0</v>
      </c>
      <c r="L110" s="55">
        <f>C110*K110</f>
        <v>0</v>
      </c>
      <c r="M110" s="55">
        <f>L110/12</f>
        <v>0</v>
      </c>
    </row>
    <row r="111" spans="1:13" x14ac:dyDescent="0.2">
      <c r="A111" s="56" t="s">
        <v>1478</v>
      </c>
      <c r="B111" s="56" t="s">
        <v>19</v>
      </c>
      <c r="C111" s="57">
        <f>IF(ISBLANK(B111),0,IF(ISERROR(VALUE(B111)),VLOOKUP(B111,dagsoorttabel1,2,FALSE)*dagenperjaar1,VALUE(B111)))</f>
        <v>3</v>
      </c>
      <c r="D111" s="56" t="s">
        <v>1217</v>
      </c>
      <c r="E111" s="56" t="s">
        <v>1479</v>
      </c>
      <c r="F111" s="56" t="s">
        <v>1364</v>
      </c>
      <c r="G111" s="133">
        <v>121</v>
      </c>
      <c r="H111" s="134">
        <f>Glas!G8</f>
        <v>0</v>
      </c>
      <c r="I111" s="135"/>
      <c r="J111" s="134">
        <f>Glas!I8</f>
        <v>0</v>
      </c>
      <c r="K111" s="60">
        <f>IF(ISBLANK(G111),0,G111)*ROUND(J111,2)</f>
        <v>0</v>
      </c>
      <c r="L111" s="60">
        <f>C111*K111</f>
        <v>0</v>
      </c>
      <c r="M111" s="60">
        <f>L111/12</f>
        <v>0</v>
      </c>
    </row>
    <row r="112" spans="1:13" x14ac:dyDescent="0.2">
      <c r="A112" s="61" t="s">
        <v>1531</v>
      </c>
      <c r="B112" s="61" t="s">
        <v>19</v>
      </c>
      <c r="C112" s="62">
        <f>IF(ISBLANK(B112),0,IF(ISERROR(VALUE(B112)),VLOOKUP(B112,dagsoorttabel1,2,FALSE)*dagenperjaar1,VALUE(B112)))</f>
        <v>3</v>
      </c>
      <c r="D112" s="61" t="s">
        <v>1217</v>
      </c>
      <c r="E112" s="61" t="s">
        <v>1532</v>
      </c>
      <c r="F112" s="61" t="s">
        <v>1500</v>
      </c>
      <c r="G112" s="136">
        <v>1</v>
      </c>
      <c r="H112" s="137">
        <f>Glas!G35</f>
        <v>0</v>
      </c>
      <c r="I112" s="138"/>
      <c r="J112" s="137">
        <f>Glas!I35</f>
        <v>0</v>
      </c>
      <c r="K112" s="65">
        <f>IF(ISBLANK(G112),1,G112)*ROUND(J112,2)</f>
        <v>0</v>
      </c>
      <c r="L112" s="65">
        <f>C112*K112</f>
        <v>0</v>
      </c>
      <c r="M112" s="65">
        <f>L112/12</f>
        <v>0</v>
      </c>
    </row>
    <row r="113" spans="1:13" x14ac:dyDescent="0.2">
      <c r="A113" s="126" t="s">
        <v>1330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6">
        <f>SUM(K110:K112)</f>
        <v>0</v>
      </c>
      <c r="L113" s="76">
        <f>SUM(L110:L112)</f>
        <v>0</v>
      </c>
      <c r="M113" s="122">
        <f>L113/12</f>
        <v>0</v>
      </c>
    </row>
    <row r="115" spans="1:13" x14ac:dyDescent="0.2">
      <c r="A115" s="123" t="s">
        <v>911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124"/>
    </row>
    <row r="116" spans="1:13" x14ac:dyDescent="0.2">
      <c r="A116" s="51" t="s">
        <v>1476</v>
      </c>
      <c r="B116" s="51" t="s">
        <v>19</v>
      </c>
      <c r="C116" s="52">
        <f>IF(ISBLANK(B116),0,IF(ISERROR(VALUE(B116)),VLOOKUP(B116,dagsoorttabel1,2,FALSE)*dagenperjaar1,VALUE(B116)))</f>
        <v>3</v>
      </c>
      <c r="D116" s="51" t="s">
        <v>1217</v>
      </c>
      <c r="E116" s="51" t="s">
        <v>1477</v>
      </c>
      <c r="F116" s="51" t="s">
        <v>1364</v>
      </c>
      <c r="G116" s="130">
        <v>138</v>
      </c>
      <c r="H116" s="131">
        <f>Glas!G6</f>
        <v>0</v>
      </c>
      <c r="I116" s="132"/>
      <c r="J116" s="131">
        <f>Glas!I6</f>
        <v>0</v>
      </c>
      <c r="K116" s="55">
        <f>IF(ISBLANK(G116),0,G116)*ROUND(J116,2)</f>
        <v>0</v>
      </c>
      <c r="L116" s="55">
        <f>C116*K116</f>
        <v>0</v>
      </c>
      <c r="M116" s="55">
        <f>L116/12</f>
        <v>0</v>
      </c>
    </row>
    <row r="117" spans="1:13" x14ac:dyDescent="0.2">
      <c r="A117" s="56" t="s">
        <v>1478</v>
      </c>
      <c r="B117" s="56" t="s">
        <v>19</v>
      </c>
      <c r="C117" s="57">
        <f>IF(ISBLANK(B117),0,IF(ISERROR(VALUE(B117)),VLOOKUP(B117,dagsoorttabel1,2,FALSE)*dagenperjaar1,VALUE(B117)))</f>
        <v>3</v>
      </c>
      <c r="D117" s="56" t="s">
        <v>1217</v>
      </c>
      <c r="E117" s="56" t="s">
        <v>1479</v>
      </c>
      <c r="F117" s="56" t="s">
        <v>1364</v>
      </c>
      <c r="G117" s="133">
        <v>138</v>
      </c>
      <c r="H117" s="134">
        <f>Glas!G8</f>
        <v>0</v>
      </c>
      <c r="I117" s="135"/>
      <c r="J117" s="134">
        <f>Glas!I8</f>
        <v>0</v>
      </c>
      <c r="K117" s="60">
        <f>IF(ISBLANK(G117),0,G117)*ROUND(J117,2)</f>
        <v>0</v>
      </c>
      <c r="L117" s="60">
        <f>C117*K117</f>
        <v>0</v>
      </c>
      <c r="M117" s="60">
        <f>L117/12</f>
        <v>0</v>
      </c>
    </row>
    <row r="118" spans="1:13" x14ac:dyDescent="0.2">
      <c r="A118" s="61" t="s">
        <v>1533</v>
      </c>
      <c r="B118" s="61" t="s">
        <v>19</v>
      </c>
      <c r="C118" s="62">
        <f>IF(ISBLANK(B118),0,IF(ISERROR(VALUE(B118)),VLOOKUP(B118,dagsoorttabel1,2,FALSE)*dagenperjaar1,VALUE(B118)))</f>
        <v>3</v>
      </c>
      <c r="D118" s="61" t="s">
        <v>1217</v>
      </c>
      <c r="E118" s="61" t="s">
        <v>1534</v>
      </c>
      <c r="F118" s="61" t="s">
        <v>1500</v>
      </c>
      <c r="G118" s="136">
        <v>1</v>
      </c>
      <c r="H118" s="137">
        <f>Glas!G36</f>
        <v>0</v>
      </c>
      <c r="I118" s="138"/>
      <c r="J118" s="137">
        <f>Glas!I36</f>
        <v>0</v>
      </c>
      <c r="K118" s="65">
        <f>IF(ISBLANK(G118),1,G118)*ROUND(J118,2)</f>
        <v>0</v>
      </c>
      <c r="L118" s="65">
        <f>C118*K118</f>
        <v>0</v>
      </c>
      <c r="M118" s="65">
        <f>L118/12</f>
        <v>0</v>
      </c>
    </row>
    <row r="119" spans="1:13" x14ac:dyDescent="0.2">
      <c r="A119" s="126" t="s">
        <v>1331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6">
        <f>SUM(K116:K118)</f>
        <v>0</v>
      </c>
      <c r="L119" s="76">
        <f>SUM(L116:L118)</f>
        <v>0</v>
      </c>
      <c r="M119" s="122">
        <f>L119/12</f>
        <v>0</v>
      </c>
    </row>
    <row r="121" spans="1:13" x14ac:dyDescent="0.2">
      <c r="A121" s="123" t="s">
        <v>932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124"/>
    </row>
    <row r="122" spans="1:13" x14ac:dyDescent="0.2">
      <c r="A122" s="51" t="s">
        <v>1476</v>
      </c>
      <c r="B122" s="51" t="s">
        <v>19</v>
      </c>
      <c r="C122" s="52">
        <f>IF(ISBLANK(B122),0,IF(ISERROR(VALUE(B122)),VLOOKUP(B122,dagsoorttabel1,2,FALSE)*dagenperjaar1,VALUE(B122)))</f>
        <v>3</v>
      </c>
      <c r="D122" s="51" t="s">
        <v>1217</v>
      </c>
      <c r="E122" s="51" t="s">
        <v>1477</v>
      </c>
      <c r="F122" s="51" t="s">
        <v>1364</v>
      </c>
      <c r="G122" s="130">
        <v>27</v>
      </c>
      <c r="H122" s="131">
        <f>Glas!G6</f>
        <v>0</v>
      </c>
      <c r="I122" s="132"/>
      <c r="J122" s="131">
        <f>Glas!I6</f>
        <v>0</v>
      </c>
      <c r="K122" s="55">
        <f>IF(ISBLANK(G122),0,G122)*ROUND(J122,2)</f>
        <v>0</v>
      </c>
      <c r="L122" s="55">
        <f>C122*K122</f>
        <v>0</v>
      </c>
      <c r="M122" s="55">
        <f>L122/12</f>
        <v>0</v>
      </c>
    </row>
    <row r="123" spans="1:13" x14ac:dyDescent="0.2">
      <c r="A123" s="61" t="s">
        <v>1478</v>
      </c>
      <c r="B123" s="61" t="s">
        <v>19</v>
      </c>
      <c r="C123" s="62">
        <f>IF(ISBLANK(B123),0,IF(ISERROR(VALUE(B123)),VLOOKUP(B123,dagsoorttabel1,2,FALSE)*dagenperjaar1,VALUE(B123)))</f>
        <v>3</v>
      </c>
      <c r="D123" s="61" t="s">
        <v>1217</v>
      </c>
      <c r="E123" s="61" t="s">
        <v>1479</v>
      </c>
      <c r="F123" s="61" t="s">
        <v>1364</v>
      </c>
      <c r="G123" s="136">
        <v>27</v>
      </c>
      <c r="H123" s="137">
        <f>Glas!G8</f>
        <v>0</v>
      </c>
      <c r="I123" s="138"/>
      <c r="J123" s="137">
        <f>Glas!I8</f>
        <v>0</v>
      </c>
      <c r="K123" s="65">
        <f>IF(ISBLANK(G123),0,G123)*ROUND(J123,2)</f>
        <v>0</v>
      </c>
      <c r="L123" s="65">
        <f>C123*K123</f>
        <v>0</v>
      </c>
      <c r="M123" s="65">
        <f>L123/12</f>
        <v>0</v>
      </c>
    </row>
    <row r="124" spans="1:13" x14ac:dyDescent="0.2">
      <c r="A124" s="126" t="s">
        <v>1332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6">
        <f>SUM(K122:K123)</f>
        <v>0</v>
      </c>
      <c r="L124" s="76">
        <f>SUM(L122:L123)</f>
        <v>0</v>
      </c>
      <c r="M124" s="122">
        <f>L124/12</f>
        <v>0</v>
      </c>
    </row>
    <row r="126" spans="1:13" x14ac:dyDescent="0.2">
      <c r="A126" s="123" t="s">
        <v>935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124"/>
    </row>
    <row r="127" spans="1:13" x14ac:dyDescent="0.2">
      <c r="A127" s="51" t="s">
        <v>1476</v>
      </c>
      <c r="B127" s="51" t="s">
        <v>19</v>
      </c>
      <c r="C127" s="52">
        <f>IF(ISBLANK(B127),0,IF(ISERROR(VALUE(B127)),VLOOKUP(B127,dagsoorttabel1,2,FALSE)*dagenperjaar1,VALUE(B127)))</f>
        <v>3</v>
      </c>
      <c r="D127" s="51" t="s">
        <v>1217</v>
      </c>
      <c r="E127" s="51" t="s">
        <v>1477</v>
      </c>
      <c r="F127" s="51" t="s">
        <v>1364</v>
      </c>
      <c r="G127" s="130">
        <v>95</v>
      </c>
      <c r="H127" s="131">
        <f>Glas!G6</f>
        <v>0</v>
      </c>
      <c r="I127" s="132"/>
      <c r="J127" s="131">
        <f>Glas!I6</f>
        <v>0</v>
      </c>
      <c r="K127" s="55">
        <f>IF(ISBLANK(G127),0,G127)*ROUND(J127,2)</f>
        <v>0</v>
      </c>
      <c r="L127" s="55">
        <f>C127*K127</f>
        <v>0</v>
      </c>
      <c r="M127" s="55">
        <f>L127/12</f>
        <v>0</v>
      </c>
    </row>
    <row r="128" spans="1:13" x14ac:dyDescent="0.2">
      <c r="A128" s="56" t="s">
        <v>1478</v>
      </c>
      <c r="B128" s="56" t="s">
        <v>19</v>
      </c>
      <c r="C128" s="57">
        <f>IF(ISBLANK(B128),0,IF(ISERROR(VALUE(B128)),VLOOKUP(B128,dagsoorttabel1,2,FALSE)*dagenperjaar1,VALUE(B128)))</f>
        <v>3</v>
      </c>
      <c r="D128" s="56" t="s">
        <v>1217</v>
      </c>
      <c r="E128" s="56" t="s">
        <v>1479</v>
      </c>
      <c r="F128" s="56" t="s">
        <v>1364</v>
      </c>
      <c r="G128" s="133">
        <v>95</v>
      </c>
      <c r="H128" s="134">
        <f>Glas!G8</f>
        <v>0</v>
      </c>
      <c r="I128" s="135"/>
      <c r="J128" s="134">
        <f>Glas!I8</f>
        <v>0</v>
      </c>
      <c r="K128" s="60">
        <f>IF(ISBLANK(G128),0,G128)*ROUND(J128,2)</f>
        <v>0</v>
      </c>
      <c r="L128" s="60">
        <f>C128*K128</f>
        <v>0</v>
      </c>
      <c r="M128" s="60">
        <f>L128/12</f>
        <v>0</v>
      </c>
    </row>
    <row r="129" spans="1:13" x14ac:dyDescent="0.2">
      <c r="A129" s="61" t="s">
        <v>1535</v>
      </c>
      <c r="B129" s="61" t="s">
        <v>19</v>
      </c>
      <c r="C129" s="62">
        <f>IF(ISBLANK(B129),0,IF(ISERROR(VALUE(B129)),VLOOKUP(B129,dagsoorttabel1,2,FALSE)*dagenperjaar1,VALUE(B129)))</f>
        <v>3</v>
      </c>
      <c r="D129" s="61" t="s">
        <v>1217</v>
      </c>
      <c r="E129" s="61" t="s">
        <v>1536</v>
      </c>
      <c r="F129" s="61" t="s">
        <v>1500</v>
      </c>
      <c r="G129" s="136">
        <v>1</v>
      </c>
      <c r="H129" s="137">
        <f>Glas!G37</f>
        <v>0</v>
      </c>
      <c r="I129" s="138"/>
      <c r="J129" s="137">
        <f>Glas!I37</f>
        <v>0</v>
      </c>
      <c r="K129" s="65">
        <f>IF(ISBLANK(G129),1,G129)*ROUND(J129,2)</f>
        <v>0</v>
      </c>
      <c r="L129" s="65">
        <f>C129*K129</f>
        <v>0</v>
      </c>
      <c r="M129" s="65">
        <f>L129/12</f>
        <v>0</v>
      </c>
    </row>
    <row r="130" spans="1:13" x14ac:dyDescent="0.2">
      <c r="A130" s="126" t="s">
        <v>1565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6">
        <f>SUM(K127:K129)</f>
        <v>0</v>
      </c>
      <c r="L130" s="76">
        <f>SUM(L127:L129)</f>
        <v>0</v>
      </c>
      <c r="M130" s="122">
        <f>L130/12</f>
        <v>0</v>
      </c>
    </row>
    <row r="132" spans="1:13" x14ac:dyDescent="0.2">
      <c r="A132" s="123" t="s">
        <v>946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124"/>
    </row>
    <row r="133" spans="1:13" x14ac:dyDescent="0.2">
      <c r="A133" s="51" t="s">
        <v>1476</v>
      </c>
      <c r="B133" s="51" t="s">
        <v>19</v>
      </c>
      <c r="C133" s="52">
        <f>IF(ISBLANK(B133),0,IF(ISERROR(VALUE(B133)),VLOOKUP(B133,dagsoorttabel1,2,FALSE)*dagenperjaar1,VALUE(B133)))</f>
        <v>3</v>
      </c>
      <c r="D133" s="51" t="s">
        <v>1217</v>
      </c>
      <c r="E133" s="51" t="s">
        <v>1477</v>
      </c>
      <c r="F133" s="51" t="s">
        <v>1364</v>
      </c>
      <c r="G133" s="130">
        <v>90</v>
      </c>
      <c r="H133" s="131">
        <f>Glas!G6</f>
        <v>0</v>
      </c>
      <c r="I133" s="132"/>
      <c r="J133" s="131">
        <f>Glas!I6</f>
        <v>0</v>
      </c>
      <c r="K133" s="55">
        <f>IF(ISBLANK(G133),0,G133)*ROUND(J133,2)</f>
        <v>0</v>
      </c>
      <c r="L133" s="55">
        <f>C133*K133</f>
        <v>0</v>
      </c>
      <c r="M133" s="55">
        <f>L133/12</f>
        <v>0</v>
      </c>
    </row>
    <row r="134" spans="1:13" x14ac:dyDescent="0.2">
      <c r="A134" s="61" t="s">
        <v>1478</v>
      </c>
      <c r="B134" s="61" t="s">
        <v>19</v>
      </c>
      <c r="C134" s="62">
        <f>IF(ISBLANK(B134),0,IF(ISERROR(VALUE(B134)),VLOOKUP(B134,dagsoorttabel1,2,FALSE)*dagenperjaar1,VALUE(B134)))</f>
        <v>3</v>
      </c>
      <c r="D134" s="61" t="s">
        <v>1217</v>
      </c>
      <c r="E134" s="61" t="s">
        <v>1479</v>
      </c>
      <c r="F134" s="61" t="s">
        <v>1364</v>
      </c>
      <c r="G134" s="136">
        <v>90</v>
      </c>
      <c r="H134" s="137">
        <f>Glas!G8</f>
        <v>0</v>
      </c>
      <c r="I134" s="138"/>
      <c r="J134" s="137">
        <f>Glas!I8</f>
        <v>0</v>
      </c>
      <c r="K134" s="65">
        <f>IF(ISBLANK(G134),0,G134)*ROUND(J134,2)</f>
        <v>0</v>
      </c>
      <c r="L134" s="65">
        <f>C134*K134</f>
        <v>0</v>
      </c>
      <c r="M134" s="65">
        <f>L134/12</f>
        <v>0</v>
      </c>
    </row>
    <row r="135" spans="1:13" x14ac:dyDescent="0.2">
      <c r="A135" s="126" t="s">
        <v>1566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6">
        <f>SUM(K133:K134)</f>
        <v>0</v>
      </c>
      <c r="L135" s="76">
        <f>SUM(L133:L134)</f>
        <v>0</v>
      </c>
      <c r="M135" s="122">
        <f>L135/12</f>
        <v>0</v>
      </c>
    </row>
    <row r="137" spans="1:13" x14ac:dyDescent="0.2">
      <c r="A137" s="123" t="s">
        <v>949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124"/>
    </row>
    <row r="138" spans="1:13" x14ac:dyDescent="0.2">
      <c r="A138" s="51" t="s">
        <v>1476</v>
      </c>
      <c r="B138" s="51" t="s">
        <v>19</v>
      </c>
      <c r="C138" s="52">
        <f>IF(ISBLANK(B138),0,IF(ISERROR(VALUE(B138)),VLOOKUP(B138,dagsoorttabel1,2,FALSE)*dagenperjaar1,VALUE(B138)))</f>
        <v>3</v>
      </c>
      <c r="D138" s="51" t="s">
        <v>1217</v>
      </c>
      <c r="E138" s="51" t="s">
        <v>1477</v>
      </c>
      <c r="F138" s="51" t="s">
        <v>1364</v>
      </c>
      <c r="G138" s="130">
        <v>136</v>
      </c>
      <c r="H138" s="131">
        <f>Glas!G6</f>
        <v>0</v>
      </c>
      <c r="I138" s="132"/>
      <c r="J138" s="131">
        <f>Glas!I6</f>
        <v>0</v>
      </c>
      <c r="K138" s="55">
        <f>IF(ISBLANK(G138),0,G138)*ROUND(J138,2)</f>
        <v>0</v>
      </c>
      <c r="L138" s="55">
        <f>C138*K138</f>
        <v>0</v>
      </c>
      <c r="M138" s="55">
        <f>L138/12</f>
        <v>0</v>
      </c>
    </row>
    <row r="139" spans="1:13" x14ac:dyDescent="0.2">
      <c r="A139" s="56" t="s">
        <v>1478</v>
      </c>
      <c r="B139" s="56" t="s">
        <v>19</v>
      </c>
      <c r="C139" s="57">
        <f>IF(ISBLANK(B139),0,IF(ISERROR(VALUE(B139)),VLOOKUP(B139,dagsoorttabel1,2,FALSE)*dagenperjaar1,VALUE(B139)))</f>
        <v>3</v>
      </c>
      <c r="D139" s="56" t="s">
        <v>1217</v>
      </c>
      <c r="E139" s="56" t="s">
        <v>1479</v>
      </c>
      <c r="F139" s="56" t="s">
        <v>1364</v>
      </c>
      <c r="G139" s="133">
        <v>136</v>
      </c>
      <c r="H139" s="134">
        <f>Glas!G8</f>
        <v>0</v>
      </c>
      <c r="I139" s="135"/>
      <c r="J139" s="134">
        <f>Glas!I8</f>
        <v>0</v>
      </c>
      <c r="K139" s="60">
        <f>IF(ISBLANK(G139),0,G139)*ROUND(J139,2)</f>
        <v>0</v>
      </c>
      <c r="L139" s="60">
        <f>C139*K139</f>
        <v>0</v>
      </c>
      <c r="M139" s="60">
        <f>L139/12</f>
        <v>0</v>
      </c>
    </row>
    <row r="140" spans="1:13" x14ac:dyDescent="0.2">
      <c r="A140" s="61" t="s">
        <v>1537</v>
      </c>
      <c r="B140" s="61" t="s">
        <v>19</v>
      </c>
      <c r="C140" s="62">
        <f>IF(ISBLANK(B140),0,IF(ISERROR(VALUE(B140)),VLOOKUP(B140,dagsoorttabel1,2,FALSE)*dagenperjaar1,VALUE(B140)))</f>
        <v>3</v>
      </c>
      <c r="D140" s="61" t="s">
        <v>1217</v>
      </c>
      <c r="E140" s="61" t="s">
        <v>1538</v>
      </c>
      <c r="F140" s="61" t="s">
        <v>1500</v>
      </c>
      <c r="G140" s="136">
        <v>1</v>
      </c>
      <c r="H140" s="137">
        <f>Glas!G38</f>
        <v>0</v>
      </c>
      <c r="I140" s="138"/>
      <c r="J140" s="137">
        <f>Glas!I38</f>
        <v>0</v>
      </c>
      <c r="K140" s="65">
        <f>IF(ISBLANK(G140),1,G140)*ROUND(J140,2)</f>
        <v>0</v>
      </c>
      <c r="L140" s="65">
        <f>C140*K140</f>
        <v>0</v>
      </c>
      <c r="M140" s="65">
        <f>L140/12</f>
        <v>0</v>
      </c>
    </row>
    <row r="141" spans="1:13" x14ac:dyDescent="0.2">
      <c r="A141" s="126" t="s">
        <v>1567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6">
        <f>SUM(K138:K140)</f>
        <v>0</v>
      </c>
      <c r="L141" s="76">
        <f>SUM(L138:L140)</f>
        <v>0</v>
      </c>
      <c r="M141" s="122">
        <f>L141/12</f>
        <v>0</v>
      </c>
    </row>
    <row r="143" spans="1:13" x14ac:dyDescent="0.2">
      <c r="A143" s="123" t="s">
        <v>961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124"/>
    </row>
    <row r="144" spans="1:13" x14ac:dyDescent="0.2">
      <c r="A144" s="51" t="s">
        <v>1476</v>
      </c>
      <c r="B144" s="51" t="s">
        <v>18</v>
      </c>
      <c r="C144" s="52">
        <f>IF(ISBLANK(B144),0,IF(ISERROR(VALUE(B144)),VLOOKUP(B144,dagsoorttabel1,2,FALSE)*dagenperjaar1,VALUE(B144)))</f>
        <v>4</v>
      </c>
      <c r="D144" s="51" t="s">
        <v>1217</v>
      </c>
      <c r="E144" s="51" t="s">
        <v>1477</v>
      </c>
      <c r="F144" s="51" t="s">
        <v>1364</v>
      </c>
      <c r="G144" s="130">
        <v>588</v>
      </c>
      <c r="H144" s="131">
        <f>Glas!G7</f>
        <v>0</v>
      </c>
      <c r="I144" s="132"/>
      <c r="J144" s="131">
        <f>Glas!I7</f>
        <v>0</v>
      </c>
      <c r="K144" s="55">
        <f>IF(ISBLANK(G144),0,G144)*ROUND(J144,2)</f>
        <v>0</v>
      </c>
      <c r="L144" s="55">
        <f>C144*K144</f>
        <v>0</v>
      </c>
      <c r="M144" s="55">
        <f>L144/12</f>
        <v>0</v>
      </c>
    </row>
    <row r="145" spans="1:13" x14ac:dyDescent="0.2">
      <c r="A145" s="56" t="s">
        <v>1478</v>
      </c>
      <c r="B145" s="56" t="s">
        <v>18</v>
      </c>
      <c r="C145" s="57">
        <f>IF(ISBLANK(B145),0,IF(ISERROR(VALUE(B145)),VLOOKUP(B145,dagsoorttabel1,2,FALSE)*dagenperjaar1,VALUE(B145)))</f>
        <v>4</v>
      </c>
      <c r="D145" s="56" t="s">
        <v>1217</v>
      </c>
      <c r="E145" s="56" t="s">
        <v>1479</v>
      </c>
      <c r="F145" s="56" t="s">
        <v>1364</v>
      </c>
      <c r="G145" s="133">
        <v>588</v>
      </c>
      <c r="H145" s="134">
        <f>Glas!G9</f>
        <v>0</v>
      </c>
      <c r="I145" s="135"/>
      <c r="J145" s="134">
        <f>Glas!I9</f>
        <v>0</v>
      </c>
      <c r="K145" s="60">
        <f>IF(ISBLANK(G145),0,G145)*ROUND(J145,2)</f>
        <v>0</v>
      </c>
      <c r="L145" s="60">
        <f>C145*K145</f>
        <v>0</v>
      </c>
      <c r="M145" s="60">
        <f>L145/12</f>
        <v>0</v>
      </c>
    </row>
    <row r="146" spans="1:13" x14ac:dyDescent="0.2">
      <c r="A146" s="56" t="s">
        <v>1480</v>
      </c>
      <c r="B146" s="56" t="s">
        <v>18</v>
      </c>
      <c r="C146" s="57">
        <f>IF(ISBLANK(B146),0,IF(ISERROR(VALUE(B146)),VLOOKUP(B146,dagsoorttabel1,2,FALSE)*dagenperjaar1,VALUE(B146)))</f>
        <v>4</v>
      </c>
      <c r="D146" s="56" t="s">
        <v>1217</v>
      </c>
      <c r="E146" s="56" t="s">
        <v>1481</v>
      </c>
      <c r="F146" s="56" t="s">
        <v>1364</v>
      </c>
      <c r="G146" s="133">
        <v>285</v>
      </c>
      <c r="H146" s="134">
        <f>Glas!G10</f>
        <v>0</v>
      </c>
      <c r="I146" s="135"/>
      <c r="J146" s="134">
        <f>Glas!I10</f>
        <v>0</v>
      </c>
      <c r="K146" s="60">
        <f>IF(ISBLANK(G146),0,G146)*ROUND(J146,2)</f>
        <v>0</v>
      </c>
      <c r="L146" s="60">
        <f>C146*K146</f>
        <v>0</v>
      </c>
      <c r="M146" s="60">
        <f>L146/12</f>
        <v>0</v>
      </c>
    </row>
    <row r="147" spans="1:13" x14ac:dyDescent="0.2">
      <c r="A147" s="56" t="s">
        <v>1486</v>
      </c>
      <c r="B147" s="56" t="s">
        <v>18</v>
      </c>
      <c r="C147" s="57">
        <f>IF(ISBLANK(B147),0,IF(ISERROR(VALUE(B147)),VLOOKUP(B147,dagsoorttabel1,2,FALSE)*dagenperjaar1,VALUE(B147)))</f>
        <v>4</v>
      </c>
      <c r="D147" s="56" t="s">
        <v>1217</v>
      </c>
      <c r="E147" s="56" t="s">
        <v>1487</v>
      </c>
      <c r="F147" s="56" t="s">
        <v>1364</v>
      </c>
      <c r="G147" s="133">
        <v>2.5</v>
      </c>
      <c r="H147" s="134">
        <f>Glas!G13</f>
        <v>0</v>
      </c>
      <c r="I147" s="135"/>
      <c r="J147" s="134">
        <f>Glas!I13</f>
        <v>0</v>
      </c>
      <c r="K147" s="60">
        <f>IF(ISBLANK(G147),0,G147)*ROUND(J147,2)</f>
        <v>0</v>
      </c>
      <c r="L147" s="60">
        <f>C147*K147</f>
        <v>0</v>
      </c>
      <c r="M147" s="60">
        <f>L147/12</f>
        <v>0</v>
      </c>
    </row>
    <row r="148" spans="1:13" x14ac:dyDescent="0.2">
      <c r="A148" s="56" t="s">
        <v>1488</v>
      </c>
      <c r="B148" s="56" t="s">
        <v>18</v>
      </c>
      <c r="C148" s="57">
        <f>IF(ISBLANK(B148),0,IF(ISERROR(VALUE(B148)),VLOOKUP(B148,dagsoorttabel1,2,FALSE)*dagenperjaar1,VALUE(B148)))</f>
        <v>4</v>
      </c>
      <c r="D148" s="56" t="s">
        <v>1217</v>
      </c>
      <c r="E148" s="56" t="s">
        <v>1489</v>
      </c>
      <c r="F148" s="56" t="s">
        <v>1364</v>
      </c>
      <c r="G148" s="133">
        <v>2.5</v>
      </c>
      <c r="H148" s="134">
        <f>Glas!G14</f>
        <v>0</v>
      </c>
      <c r="I148" s="135"/>
      <c r="J148" s="134">
        <f>Glas!I14</f>
        <v>0</v>
      </c>
      <c r="K148" s="60">
        <f>IF(ISBLANK(G148),0,G148)*ROUND(J148,2)</f>
        <v>0</v>
      </c>
      <c r="L148" s="60">
        <f>C148*K148</f>
        <v>0</v>
      </c>
      <c r="M148" s="60">
        <f>L148/12</f>
        <v>0</v>
      </c>
    </row>
    <row r="149" spans="1:13" x14ac:dyDescent="0.2">
      <c r="A149" s="56" t="s">
        <v>1494</v>
      </c>
      <c r="B149" s="56" t="s">
        <v>18</v>
      </c>
      <c r="C149" s="57">
        <f>IF(ISBLANK(B149),0,IF(ISERROR(VALUE(B149)),VLOOKUP(B149,dagsoorttabel1,2,FALSE)*dagenperjaar1,VALUE(B149)))</f>
        <v>4</v>
      </c>
      <c r="D149" s="56" t="s">
        <v>1217</v>
      </c>
      <c r="E149" s="56" t="s">
        <v>1495</v>
      </c>
      <c r="F149" s="56" t="s">
        <v>1364</v>
      </c>
      <c r="G149" s="133">
        <v>120</v>
      </c>
      <c r="H149" s="134">
        <f>Glas!G17</f>
        <v>0</v>
      </c>
      <c r="I149" s="135"/>
      <c r="J149" s="134">
        <f>Glas!I17</f>
        <v>0</v>
      </c>
      <c r="K149" s="60">
        <f>IF(ISBLANK(G149),0,G149)*ROUND(J149,2)</f>
        <v>0</v>
      </c>
      <c r="L149" s="60">
        <f>C149*K149</f>
        <v>0</v>
      </c>
      <c r="M149" s="60">
        <f>L149/12</f>
        <v>0</v>
      </c>
    </row>
    <row r="150" spans="1:13" x14ac:dyDescent="0.2">
      <c r="A150" s="56" t="s">
        <v>1503</v>
      </c>
      <c r="B150" s="56" t="s">
        <v>18</v>
      </c>
      <c r="C150" s="57">
        <f>IF(ISBLANK(B150),0,IF(ISERROR(VALUE(B150)),VLOOKUP(B150,dagsoorttabel1,2,FALSE)*dagenperjaar1,VALUE(B150)))</f>
        <v>4</v>
      </c>
      <c r="D150" s="56" t="s">
        <v>1217</v>
      </c>
      <c r="E150" s="56" t="s">
        <v>1504</v>
      </c>
      <c r="F150" s="56" t="s">
        <v>1500</v>
      </c>
      <c r="G150" s="133">
        <v>1</v>
      </c>
      <c r="H150" s="134">
        <f>Glas!G21</f>
        <v>0</v>
      </c>
      <c r="I150" s="135"/>
      <c r="J150" s="134">
        <f>Glas!I21</f>
        <v>0</v>
      </c>
      <c r="K150" s="60">
        <f>IF(ISBLANK(G150),1,G150)*ROUND(J150,2)</f>
        <v>0</v>
      </c>
      <c r="L150" s="60">
        <f>C150*K150</f>
        <v>0</v>
      </c>
      <c r="M150" s="60">
        <f>L150/12</f>
        <v>0</v>
      </c>
    </row>
    <row r="151" spans="1:13" x14ac:dyDescent="0.2">
      <c r="A151" s="61" t="s">
        <v>1539</v>
      </c>
      <c r="B151" s="61" t="s">
        <v>18</v>
      </c>
      <c r="C151" s="62">
        <f>IF(ISBLANK(B151),0,IF(ISERROR(VALUE(B151)),VLOOKUP(B151,dagsoorttabel1,2,FALSE)*dagenperjaar1,VALUE(B151)))</f>
        <v>4</v>
      </c>
      <c r="D151" s="61" t="s">
        <v>1217</v>
      </c>
      <c r="E151" s="61" t="s">
        <v>1540</v>
      </c>
      <c r="F151" s="61" t="s">
        <v>1500</v>
      </c>
      <c r="G151" s="136">
        <v>1</v>
      </c>
      <c r="H151" s="137">
        <f>Glas!G39</f>
        <v>0</v>
      </c>
      <c r="I151" s="138"/>
      <c r="J151" s="137">
        <f>Glas!I39</f>
        <v>0</v>
      </c>
      <c r="K151" s="65">
        <f>IF(ISBLANK(G151),1,G151)*ROUND(J151,2)</f>
        <v>0</v>
      </c>
      <c r="L151" s="65">
        <f>C151*K151</f>
        <v>0</v>
      </c>
      <c r="M151" s="65">
        <f>L151/12</f>
        <v>0</v>
      </c>
    </row>
    <row r="152" spans="1:13" x14ac:dyDescent="0.2">
      <c r="A152" s="126" t="s">
        <v>1568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6">
        <f>SUM(K144:K151)</f>
        <v>0</v>
      </c>
      <c r="L152" s="76">
        <f>SUM(L144:L151)</f>
        <v>0</v>
      </c>
      <c r="M152" s="122">
        <f>L152/12</f>
        <v>0</v>
      </c>
    </row>
    <row r="154" spans="1:13" x14ac:dyDescent="0.2">
      <c r="A154" s="123" t="s">
        <v>1056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124"/>
    </row>
    <row r="155" spans="1:13" x14ac:dyDescent="0.2">
      <c r="A155" s="51" t="s">
        <v>1476</v>
      </c>
      <c r="B155" s="51" t="s">
        <v>19</v>
      </c>
      <c r="C155" s="52">
        <f>IF(ISBLANK(B155),0,IF(ISERROR(VALUE(B155)),VLOOKUP(B155,dagsoorttabel1,2,FALSE)*dagenperjaar1,VALUE(B155)))</f>
        <v>3</v>
      </c>
      <c r="D155" s="51" t="s">
        <v>1217</v>
      </c>
      <c r="E155" s="51" t="s">
        <v>1477</v>
      </c>
      <c r="F155" s="51" t="s">
        <v>1364</v>
      </c>
      <c r="G155" s="130">
        <v>70</v>
      </c>
      <c r="H155" s="131">
        <f>Glas!G6</f>
        <v>0</v>
      </c>
      <c r="I155" s="132"/>
      <c r="J155" s="131">
        <f>Glas!I6</f>
        <v>0</v>
      </c>
      <c r="K155" s="55">
        <f>IF(ISBLANK(G155),0,G155)*ROUND(J155,2)</f>
        <v>0</v>
      </c>
      <c r="L155" s="55">
        <f>C155*K155</f>
        <v>0</v>
      </c>
      <c r="M155" s="55">
        <f>L155/12</f>
        <v>0</v>
      </c>
    </row>
    <row r="156" spans="1:13" x14ac:dyDescent="0.2">
      <c r="A156" s="61" t="s">
        <v>1478</v>
      </c>
      <c r="B156" s="61" t="s">
        <v>19</v>
      </c>
      <c r="C156" s="62">
        <f>IF(ISBLANK(B156),0,IF(ISERROR(VALUE(B156)),VLOOKUP(B156,dagsoorttabel1,2,FALSE)*dagenperjaar1,VALUE(B156)))</f>
        <v>3</v>
      </c>
      <c r="D156" s="61" t="s">
        <v>1217</v>
      </c>
      <c r="E156" s="61" t="s">
        <v>1479</v>
      </c>
      <c r="F156" s="61" t="s">
        <v>1364</v>
      </c>
      <c r="G156" s="136">
        <v>70</v>
      </c>
      <c r="H156" s="137">
        <f>Glas!G8</f>
        <v>0</v>
      </c>
      <c r="I156" s="138"/>
      <c r="J156" s="137">
        <f>Glas!I8</f>
        <v>0</v>
      </c>
      <c r="K156" s="65">
        <f>IF(ISBLANK(G156),0,G156)*ROUND(J156,2)</f>
        <v>0</v>
      </c>
      <c r="L156" s="65">
        <f>C156*K156</f>
        <v>0</v>
      </c>
      <c r="M156" s="65">
        <f>L156/12</f>
        <v>0</v>
      </c>
    </row>
    <row r="157" spans="1:13" x14ac:dyDescent="0.2">
      <c r="A157" s="126" t="s">
        <v>1333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6">
        <f>SUM(K155:K156)</f>
        <v>0</v>
      </c>
      <c r="L157" s="76">
        <f>SUM(L155:L156)</f>
        <v>0</v>
      </c>
      <c r="M157" s="122">
        <f>L157/12</f>
        <v>0</v>
      </c>
    </row>
    <row r="159" spans="1:13" x14ac:dyDescent="0.2">
      <c r="A159" s="123" t="s">
        <v>1062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124"/>
    </row>
    <row r="160" spans="1:13" x14ac:dyDescent="0.2">
      <c r="A160" s="51" t="s">
        <v>1476</v>
      </c>
      <c r="B160" s="51" t="s">
        <v>19</v>
      </c>
      <c r="C160" s="52">
        <f>IF(ISBLANK(B160),0,IF(ISERROR(VALUE(B160)),VLOOKUP(B160,dagsoorttabel1,2,FALSE)*dagenperjaar1,VALUE(B160)))</f>
        <v>3</v>
      </c>
      <c r="D160" s="51" t="s">
        <v>1217</v>
      </c>
      <c r="E160" s="51" t="s">
        <v>1477</v>
      </c>
      <c r="F160" s="51" t="s">
        <v>1364</v>
      </c>
      <c r="G160" s="130">
        <v>72</v>
      </c>
      <c r="H160" s="131">
        <f>Glas!G6</f>
        <v>0</v>
      </c>
      <c r="I160" s="132"/>
      <c r="J160" s="131">
        <f>Glas!I6</f>
        <v>0</v>
      </c>
      <c r="K160" s="55">
        <f>IF(ISBLANK(G160),0,G160)*ROUND(J160,2)</f>
        <v>0</v>
      </c>
      <c r="L160" s="55">
        <f>C160*K160</f>
        <v>0</v>
      </c>
      <c r="M160" s="55">
        <f>L160/12</f>
        <v>0</v>
      </c>
    </row>
    <row r="161" spans="1:13" x14ac:dyDescent="0.2">
      <c r="A161" s="56" t="s">
        <v>1478</v>
      </c>
      <c r="B161" s="56" t="s">
        <v>19</v>
      </c>
      <c r="C161" s="57">
        <f>IF(ISBLANK(B161),0,IF(ISERROR(VALUE(B161)),VLOOKUP(B161,dagsoorttabel1,2,FALSE)*dagenperjaar1,VALUE(B161)))</f>
        <v>3</v>
      </c>
      <c r="D161" s="56" t="s">
        <v>1217</v>
      </c>
      <c r="E161" s="56" t="s">
        <v>1479</v>
      </c>
      <c r="F161" s="56" t="s">
        <v>1364</v>
      </c>
      <c r="G161" s="133">
        <v>72</v>
      </c>
      <c r="H161" s="134">
        <f>Glas!G8</f>
        <v>0</v>
      </c>
      <c r="I161" s="135"/>
      <c r="J161" s="134">
        <f>Glas!I8</f>
        <v>0</v>
      </c>
      <c r="K161" s="60">
        <f>IF(ISBLANK(G161),0,G161)*ROUND(J161,2)</f>
        <v>0</v>
      </c>
      <c r="L161" s="60">
        <f>C161*K161</f>
        <v>0</v>
      </c>
      <c r="M161" s="60">
        <f>L161/12</f>
        <v>0</v>
      </c>
    </row>
    <row r="162" spans="1:13" x14ac:dyDescent="0.2">
      <c r="A162" s="61" t="s">
        <v>1541</v>
      </c>
      <c r="B162" s="61" t="s">
        <v>19</v>
      </c>
      <c r="C162" s="62">
        <f>IF(ISBLANK(B162),0,IF(ISERROR(VALUE(B162)),VLOOKUP(B162,dagsoorttabel1,2,FALSE)*dagenperjaar1,VALUE(B162)))</f>
        <v>3</v>
      </c>
      <c r="D162" s="61" t="s">
        <v>1217</v>
      </c>
      <c r="E162" s="61" t="s">
        <v>1542</v>
      </c>
      <c r="F162" s="61" t="s">
        <v>1500</v>
      </c>
      <c r="G162" s="136">
        <v>1</v>
      </c>
      <c r="H162" s="137">
        <f>Glas!G40</f>
        <v>0</v>
      </c>
      <c r="I162" s="138"/>
      <c r="J162" s="137">
        <f>Glas!I40</f>
        <v>0</v>
      </c>
      <c r="K162" s="65">
        <f>IF(ISBLANK(G162),1,G162)*ROUND(J162,2)</f>
        <v>0</v>
      </c>
      <c r="L162" s="65">
        <f>C162*K162</f>
        <v>0</v>
      </c>
      <c r="M162" s="65">
        <f>L162/12</f>
        <v>0</v>
      </c>
    </row>
    <row r="163" spans="1:13" x14ac:dyDescent="0.2">
      <c r="A163" s="126" t="s">
        <v>1569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6">
        <f>SUM(K160:K162)</f>
        <v>0</v>
      </c>
      <c r="L163" s="76">
        <f>SUM(L160:L162)</f>
        <v>0</v>
      </c>
      <c r="M163" s="122">
        <f>L163/12</f>
        <v>0</v>
      </c>
    </row>
    <row r="165" spans="1:13" x14ac:dyDescent="0.2">
      <c r="A165" s="123" t="s">
        <v>1082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124"/>
    </row>
    <row r="166" spans="1:13" x14ac:dyDescent="0.2">
      <c r="A166" s="51" t="s">
        <v>1476</v>
      </c>
      <c r="B166" s="51" t="s">
        <v>19</v>
      </c>
      <c r="C166" s="52">
        <f>IF(ISBLANK(B166),0,IF(ISERROR(VALUE(B166)),VLOOKUP(B166,dagsoorttabel1,2,FALSE)*dagenperjaar1,VALUE(B166)))</f>
        <v>3</v>
      </c>
      <c r="D166" s="51" t="s">
        <v>1217</v>
      </c>
      <c r="E166" s="51" t="s">
        <v>1477</v>
      </c>
      <c r="F166" s="51" t="s">
        <v>1364</v>
      </c>
      <c r="G166" s="130">
        <v>436</v>
      </c>
      <c r="H166" s="131">
        <f>Glas!G6</f>
        <v>0</v>
      </c>
      <c r="I166" s="132"/>
      <c r="J166" s="131">
        <f>Glas!I6</f>
        <v>0</v>
      </c>
      <c r="K166" s="55">
        <f>IF(ISBLANK(G166),0,G166)*ROUND(J166,2)</f>
        <v>0</v>
      </c>
      <c r="L166" s="55">
        <f>C166*K166</f>
        <v>0</v>
      </c>
      <c r="M166" s="55">
        <f>L166/12</f>
        <v>0</v>
      </c>
    </row>
    <row r="167" spans="1:13" x14ac:dyDescent="0.2">
      <c r="A167" s="56" t="s">
        <v>1478</v>
      </c>
      <c r="B167" s="56" t="s">
        <v>19</v>
      </c>
      <c r="C167" s="57">
        <f>IF(ISBLANK(B167),0,IF(ISERROR(VALUE(B167)),VLOOKUP(B167,dagsoorttabel1,2,FALSE)*dagenperjaar1,VALUE(B167)))</f>
        <v>3</v>
      </c>
      <c r="D167" s="56" t="s">
        <v>1217</v>
      </c>
      <c r="E167" s="56" t="s">
        <v>1479</v>
      </c>
      <c r="F167" s="56" t="s">
        <v>1364</v>
      </c>
      <c r="G167" s="133">
        <v>436</v>
      </c>
      <c r="H167" s="134">
        <f>Glas!G8</f>
        <v>0</v>
      </c>
      <c r="I167" s="135"/>
      <c r="J167" s="134">
        <f>Glas!I8</f>
        <v>0</v>
      </c>
      <c r="K167" s="60">
        <f>IF(ISBLANK(G167),0,G167)*ROUND(J167,2)</f>
        <v>0</v>
      </c>
      <c r="L167" s="60">
        <f>C167*K167</f>
        <v>0</v>
      </c>
      <c r="M167" s="60">
        <f>L167/12</f>
        <v>0</v>
      </c>
    </row>
    <row r="168" spans="1:13" x14ac:dyDescent="0.2">
      <c r="A168" s="56" t="s">
        <v>1482</v>
      </c>
      <c r="B168" s="56" t="s">
        <v>19</v>
      </c>
      <c r="C168" s="57">
        <f>IF(ISBLANK(B168),0,IF(ISERROR(VALUE(B168)),VLOOKUP(B168,dagsoorttabel1,2,FALSE)*dagenperjaar1,VALUE(B168)))</f>
        <v>3</v>
      </c>
      <c r="D168" s="56" t="s">
        <v>1217</v>
      </c>
      <c r="E168" s="56" t="s">
        <v>1483</v>
      </c>
      <c r="F168" s="56" t="s">
        <v>1364</v>
      </c>
      <c r="G168" s="133">
        <v>8</v>
      </c>
      <c r="H168" s="134">
        <f>Glas!G11</f>
        <v>0</v>
      </c>
      <c r="I168" s="135"/>
      <c r="J168" s="134">
        <f>Glas!I11</f>
        <v>0</v>
      </c>
      <c r="K168" s="60">
        <f>IF(ISBLANK(G168),0,G168)*ROUND(J168,2)</f>
        <v>0</v>
      </c>
      <c r="L168" s="60">
        <f>C168*K168</f>
        <v>0</v>
      </c>
      <c r="M168" s="60">
        <f>L168/12</f>
        <v>0</v>
      </c>
    </row>
    <row r="169" spans="1:13" x14ac:dyDescent="0.2">
      <c r="A169" s="56" t="s">
        <v>1484</v>
      </c>
      <c r="B169" s="56" t="s">
        <v>19</v>
      </c>
      <c r="C169" s="57">
        <f>IF(ISBLANK(B169),0,IF(ISERROR(VALUE(B169)),VLOOKUP(B169,dagsoorttabel1,2,FALSE)*dagenperjaar1,VALUE(B169)))</f>
        <v>3</v>
      </c>
      <c r="D169" s="56" t="s">
        <v>1217</v>
      </c>
      <c r="E169" s="56" t="s">
        <v>1485</v>
      </c>
      <c r="F169" s="56" t="s">
        <v>1364</v>
      </c>
      <c r="G169" s="133">
        <v>8</v>
      </c>
      <c r="H169" s="134">
        <f>Glas!G12</f>
        <v>0</v>
      </c>
      <c r="I169" s="135"/>
      <c r="J169" s="134">
        <f>Glas!I12</f>
        <v>0</v>
      </c>
      <c r="K169" s="60">
        <f>IF(ISBLANK(G169),0,G169)*ROUND(J169,2)</f>
        <v>0</v>
      </c>
      <c r="L169" s="60">
        <f>C169*K169</f>
        <v>0</v>
      </c>
      <c r="M169" s="60">
        <f>L169/12</f>
        <v>0</v>
      </c>
    </row>
    <row r="170" spans="1:13" x14ac:dyDescent="0.2">
      <c r="A170" s="56" t="s">
        <v>1505</v>
      </c>
      <c r="B170" s="56" t="s">
        <v>19</v>
      </c>
      <c r="C170" s="57">
        <f>IF(ISBLANK(B170),0,IF(ISERROR(VALUE(B170)),VLOOKUP(B170,dagsoorttabel1,2,FALSE)*dagenperjaar1,VALUE(B170)))</f>
        <v>3</v>
      </c>
      <c r="D170" s="56" t="s">
        <v>1217</v>
      </c>
      <c r="E170" s="56" t="s">
        <v>1506</v>
      </c>
      <c r="F170" s="56" t="s">
        <v>1500</v>
      </c>
      <c r="G170" s="133">
        <v>1</v>
      </c>
      <c r="H170" s="134">
        <f>Glas!G22</f>
        <v>0</v>
      </c>
      <c r="I170" s="135"/>
      <c r="J170" s="134">
        <f>Glas!I22</f>
        <v>0</v>
      </c>
      <c r="K170" s="60">
        <f>IF(ISBLANK(G170),1,G170)*ROUND(J170,2)</f>
        <v>0</v>
      </c>
      <c r="L170" s="60">
        <f>C170*K170</f>
        <v>0</v>
      </c>
      <c r="M170" s="60">
        <f>L170/12</f>
        <v>0</v>
      </c>
    </row>
    <row r="171" spans="1:13" x14ac:dyDescent="0.2">
      <c r="A171" s="61" t="s">
        <v>1543</v>
      </c>
      <c r="B171" s="61" t="s">
        <v>19</v>
      </c>
      <c r="C171" s="62">
        <f>IF(ISBLANK(B171),0,IF(ISERROR(VALUE(B171)),VLOOKUP(B171,dagsoorttabel1,2,FALSE)*dagenperjaar1,VALUE(B171)))</f>
        <v>3</v>
      </c>
      <c r="D171" s="61" t="s">
        <v>1217</v>
      </c>
      <c r="E171" s="61" t="s">
        <v>1544</v>
      </c>
      <c r="F171" s="61" t="s">
        <v>1500</v>
      </c>
      <c r="G171" s="136">
        <v>1</v>
      </c>
      <c r="H171" s="137">
        <f>Glas!G41</f>
        <v>0</v>
      </c>
      <c r="I171" s="138"/>
      <c r="J171" s="137">
        <f>Glas!I41</f>
        <v>0</v>
      </c>
      <c r="K171" s="65">
        <f>IF(ISBLANK(G171),1,G171)*ROUND(J171,2)</f>
        <v>0</v>
      </c>
      <c r="L171" s="65">
        <f>C171*K171</f>
        <v>0</v>
      </c>
      <c r="M171" s="65">
        <f>L171/12</f>
        <v>0</v>
      </c>
    </row>
    <row r="172" spans="1:13" x14ac:dyDescent="0.2">
      <c r="A172" s="126" t="s">
        <v>1334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6">
        <f>SUM(K166:K171)</f>
        <v>0</v>
      </c>
      <c r="L172" s="76">
        <f>SUM(L166:L171)</f>
        <v>0</v>
      </c>
      <c r="M172" s="122">
        <f>L172/12</f>
        <v>0</v>
      </c>
    </row>
    <row r="174" spans="1:13" x14ac:dyDescent="0.2">
      <c r="A174" s="123" t="s">
        <v>1100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124"/>
    </row>
    <row r="175" spans="1:13" x14ac:dyDescent="0.2">
      <c r="A175" s="51" t="s">
        <v>1476</v>
      </c>
      <c r="B175" s="51" t="s">
        <v>19</v>
      </c>
      <c r="C175" s="52">
        <f>IF(ISBLANK(B175),0,IF(ISERROR(VALUE(B175)),VLOOKUP(B175,dagsoorttabel1,2,FALSE)*dagenperjaar1,VALUE(B175)))</f>
        <v>3</v>
      </c>
      <c r="D175" s="51" t="s">
        <v>1217</v>
      </c>
      <c r="E175" s="51" t="s">
        <v>1477</v>
      </c>
      <c r="F175" s="51" t="s">
        <v>1364</v>
      </c>
      <c r="G175" s="130">
        <v>69</v>
      </c>
      <c r="H175" s="131">
        <f>Glas!G6</f>
        <v>0</v>
      </c>
      <c r="I175" s="132"/>
      <c r="J175" s="131">
        <f>Glas!I6</f>
        <v>0</v>
      </c>
      <c r="K175" s="55">
        <f>IF(ISBLANK(G175),0,G175)*ROUND(J175,2)</f>
        <v>0</v>
      </c>
      <c r="L175" s="55">
        <f>C175*K175</f>
        <v>0</v>
      </c>
      <c r="M175" s="55">
        <f>L175/12</f>
        <v>0</v>
      </c>
    </row>
    <row r="176" spans="1:13" x14ac:dyDescent="0.2">
      <c r="A176" s="56" t="s">
        <v>1478</v>
      </c>
      <c r="B176" s="56" t="s">
        <v>19</v>
      </c>
      <c r="C176" s="57">
        <f>IF(ISBLANK(B176),0,IF(ISERROR(VALUE(B176)),VLOOKUP(B176,dagsoorttabel1,2,FALSE)*dagenperjaar1,VALUE(B176)))</f>
        <v>3</v>
      </c>
      <c r="D176" s="56" t="s">
        <v>1217</v>
      </c>
      <c r="E176" s="56" t="s">
        <v>1479</v>
      </c>
      <c r="F176" s="56" t="s">
        <v>1364</v>
      </c>
      <c r="G176" s="133">
        <v>69</v>
      </c>
      <c r="H176" s="134">
        <f>Glas!G8</f>
        <v>0</v>
      </c>
      <c r="I176" s="135"/>
      <c r="J176" s="134">
        <f>Glas!I8</f>
        <v>0</v>
      </c>
      <c r="K176" s="60">
        <f>IF(ISBLANK(G176),0,G176)*ROUND(J176,2)</f>
        <v>0</v>
      </c>
      <c r="L176" s="60">
        <f>C176*K176</f>
        <v>0</v>
      </c>
      <c r="M176" s="60">
        <f>L176/12</f>
        <v>0</v>
      </c>
    </row>
    <row r="177" spans="1:13" x14ac:dyDescent="0.2">
      <c r="A177" s="61" t="s">
        <v>1545</v>
      </c>
      <c r="B177" s="61" t="s">
        <v>19</v>
      </c>
      <c r="C177" s="62">
        <f>IF(ISBLANK(B177),0,IF(ISERROR(VALUE(B177)),VLOOKUP(B177,dagsoorttabel1,2,FALSE)*dagenperjaar1,VALUE(B177)))</f>
        <v>3</v>
      </c>
      <c r="D177" s="61" t="s">
        <v>1217</v>
      </c>
      <c r="E177" s="61" t="s">
        <v>1546</v>
      </c>
      <c r="F177" s="61" t="s">
        <v>1500</v>
      </c>
      <c r="G177" s="136">
        <v>1</v>
      </c>
      <c r="H177" s="137">
        <f>Glas!G42</f>
        <v>0</v>
      </c>
      <c r="I177" s="138"/>
      <c r="J177" s="137">
        <f>Glas!I42</f>
        <v>0</v>
      </c>
      <c r="K177" s="65">
        <f>IF(ISBLANK(G177),1,G177)*ROUND(J177,2)</f>
        <v>0</v>
      </c>
      <c r="L177" s="65">
        <f>C177*K177</f>
        <v>0</v>
      </c>
      <c r="M177" s="65">
        <f>L177/12</f>
        <v>0</v>
      </c>
    </row>
    <row r="178" spans="1:13" x14ac:dyDescent="0.2">
      <c r="A178" s="126" t="s">
        <v>1335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6">
        <f>SUM(K175:K177)</f>
        <v>0</v>
      </c>
      <c r="L178" s="76">
        <f>SUM(L175:L177)</f>
        <v>0</v>
      </c>
      <c r="M178" s="122">
        <f>L178/12</f>
        <v>0</v>
      </c>
    </row>
    <row r="180" spans="1:13" x14ac:dyDescent="0.2">
      <c r="A180" s="123" t="s">
        <v>1107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124"/>
    </row>
    <row r="181" spans="1:13" x14ac:dyDescent="0.2">
      <c r="A181" s="51" t="s">
        <v>1476</v>
      </c>
      <c r="B181" s="51" t="s">
        <v>19</v>
      </c>
      <c r="C181" s="52">
        <f>IF(ISBLANK(B181),0,IF(ISERROR(VALUE(B181)),VLOOKUP(B181,dagsoorttabel1,2,FALSE)*dagenperjaar1,VALUE(B181)))</f>
        <v>3</v>
      </c>
      <c r="D181" s="51" t="s">
        <v>1217</v>
      </c>
      <c r="E181" s="51" t="s">
        <v>1477</v>
      </c>
      <c r="F181" s="51" t="s">
        <v>1364</v>
      </c>
      <c r="G181" s="130">
        <v>216</v>
      </c>
      <c r="H181" s="131">
        <f>Glas!G6</f>
        <v>0</v>
      </c>
      <c r="I181" s="132"/>
      <c r="J181" s="131">
        <f>Glas!I6</f>
        <v>0</v>
      </c>
      <c r="K181" s="55">
        <f>IF(ISBLANK(G181),0,G181)*ROUND(J181,2)</f>
        <v>0</v>
      </c>
      <c r="L181" s="55">
        <f>C181*K181</f>
        <v>0</v>
      </c>
      <c r="M181" s="55">
        <f>L181/12</f>
        <v>0</v>
      </c>
    </row>
    <row r="182" spans="1:13" x14ac:dyDescent="0.2">
      <c r="A182" s="56" t="s">
        <v>1478</v>
      </c>
      <c r="B182" s="56" t="s">
        <v>19</v>
      </c>
      <c r="C182" s="57">
        <f>IF(ISBLANK(B182),0,IF(ISERROR(VALUE(B182)),VLOOKUP(B182,dagsoorttabel1,2,FALSE)*dagenperjaar1,VALUE(B182)))</f>
        <v>3</v>
      </c>
      <c r="D182" s="56" t="s">
        <v>1217</v>
      </c>
      <c r="E182" s="56" t="s">
        <v>1479</v>
      </c>
      <c r="F182" s="56" t="s">
        <v>1364</v>
      </c>
      <c r="G182" s="133">
        <v>216</v>
      </c>
      <c r="H182" s="134">
        <f>Glas!G8</f>
        <v>0</v>
      </c>
      <c r="I182" s="135"/>
      <c r="J182" s="134">
        <f>Glas!I8</f>
        <v>0</v>
      </c>
      <c r="K182" s="60">
        <f>IF(ISBLANK(G182),0,G182)*ROUND(J182,2)</f>
        <v>0</v>
      </c>
      <c r="L182" s="60">
        <f>C182*K182</f>
        <v>0</v>
      </c>
      <c r="M182" s="60">
        <f>L182/12</f>
        <v>0</v>
      </c>
    </row>
    <row r="183" spans="1:13" x14ac:dyDescent="0.2">
      <c r="A183" s="61" t="s">
        <v>1547</v>
      </c>
      <c r="B183" s="61" t="s">
        <v>19</v>
      </c>
      <c r="C183" s="62">
        <f>IF(ISBLANK(B183),0,IF(ISERROR(VALUE(B183)),VLOOKUP(B183,dagsoorttabel1,2,FALSE)*dagenperjaar1,VALUE(B183)))</f>
        <v>3</v>
      </c>
      <c r="D183" s="61" t="s">
        <v>1217</v>
      </c>
      <c r="E183" s="61" t="s">
        <v>1548</v>
      </c>
      <c r="F183" s="61" t="s">
        <v>1500</v>
      </c>
      <c r="G183" s="136">
        <v>1</v>
      </c>
      <c r="H183" s="137">
        <f>Glas!G43</f>
        <v>0</v>
      </c>
      <c r="I183" s="138"/>
      <c r="J183" s="137">
        <f>Glas!I43</f>
        <v>0</v>
      </c>
      <c r="K183" s="65">
        <f>IF(ISBLANK(G183),1,G183)*ROUND(J183,2)</f>
        <v>0</v>
      </c>
      <c r="L183" s="65">
        <f>C183*K183</f>
        <v>0</v>
      </c>
      <c r="M183" s="65">
        <f>L183/12</f>
        <v>0</v>
      </c>
    </row>
    <row r="184" spans="1:13" x14ac:dyDescent="0.2">
      <c r="A184" s="126" t="s">
        <v>1570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6">
        <f>SUM(K181:K183)</f>
        <v>0</v>
      </c>
      <c r="L184" s="76">
        <f>SUM(L181:L183)</f>
        <v>0</v>
      </c>
      <c r="M184" s="122">
        <f>L184/12</f>
        <v>0</v>
      </c>
    </row>
    <row r="186" spans="1:13" x14ac:dyDescent="0.2">
      <c r="A186" s="123" t="s">
        <v>1117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124"/>
    </row>
    <row r="187" spans="1:13" x14ac:dyDescent="0.2">
      <c r="A187" s="51" t="s">
        <v>1476</v>
      </c>
      <c r="B187" s="51" t="s">
        <v>19</v>
      </c>
      <c r="C187" s="52">
        <f>IF(ISBLANK(B187),0,IF(ISERROR(VALUE(B187)),VLOOKUP(B187,dagsoorttabel1,2,FALSE)*dagenperjaar1,VALUE(B187)))</f>
        <v>3</v>
      </c>
      <c r="D187" s="51" t="s">
        <v>1217</v>
      </c>
      <c r="E187" s="51" t="s">
        <v>1477</v>
      </c>
      <c r="F187" s="51" t="s">
        <v>1364</v>
      </c>
      <c r="G187" s="130">
        <v>51</v>
      </c>
      <c r="H187" s="131">
        <f>Glas!G6</f>
        <v>0</v>
      </c>
      <c r="I187" s="132"/>
      <c r="J187" s="131">
        <f>Glas!I6</f>
        <v>0</v>
      </c>
      <c r="K187" s="55">
        <f>IF(ISBLANK(G187),0,G187)*ROUND(J187,2)</f>
        <v>0</v>
      </c>
      <c r="L187" s="55">
        <f>C187*K187</f>
        <v>0</v>
      </c>
      <c r="M187" s="55">
        <f>L187/12</f>
        <v>0</v>
      </c>
    </row>
    <row r="188" spans="1:13" x14ac:dyDescent="0.2">
      <c r="A188" s="56" t="s">
        <v>1478</v>
      </c>
      <c r="B188" s="56" t="s">
        <v>19</v>
      </c>
      <c r="C188" s="57">
        <f>IF(ISBLANK(B188),0,IF(ISERROR(VALUE(B188)),VLOOKUP(B188,dagsoorttabel1,2,FALSE)*dagenperjaar1,VALUE(B188)))</f>
        <v>3</v>
      </c>
      <c r="D188" s="56" t="s">
        <v>1217</v>
      </c>
      <c r="E188" s="56" t="s">
        <v>1479</v>
      </c>
      <c r="F188" s="56" t="s">
        <v>1364</v>
      </c>
      <c r="G188" s="133">
        <v>51</v>
      </c>
      <c r="H188" s="134">
        <f>Glas!G8</f>
        <v>0</v>
      </c>
      <c r="I188" s="135"/>
      <c r="J188" s="134">
        <f>Glas!I8</f>
        <v>0</v>
      </c>
      <c r="K188" s="60">
        <f>IF(ISBLANK(G188),0,G188)*ROUND(J188,2)</f>
        <v>0</v>
      </c>
      <c r="L188" s="60">
        <f>C188*K188</f>
        <v>0</v>
      </c>
      <c r="M188" s="60">
        <f>L188/12</f>
        <v>0</v>
      </c>
    </row>
    <row r="189" spans="1:13" x14ac:dyDescent="0.2">
      <c r="A189" s="61" t="s">
        <v>1549</v>
      </c>
      <c r="B189" s="61" t="s">
        <v>19</v>
      </c>
      <c r="C189" s="62">
        <f>IF(ISBLANK(B189),0,IF(ISERROR(VALUE(B189)),VLOOKUP(B189,dagsoorttabel1,2,FALSE)*dagenperjaar1,VALUE(B189)))</f>
        <v>3</v>
      </c>
      <c r="D189" s="61" t="s">
        <v>1217</v>
      </c>
      <c r="E189" s="61" t="s">
        <v>1550</v>
      </c>
      <c r="F189" s="61" t="s">
        <v>1500</v>
      </c>
      <c r="G189" s="136">
        <v>1</v>
      </c>
      <c r="H189" s="137">
        <f>Glas!G44</f>
        <v>0</v>
      </c>
      <c r="I189" s="138"/>
      <c r="J189" s="137">
        <f>Glas!I44</f>
        <v>0</v>
      </c>
      <c r="K189" s="65">
        <f>IF(ISBLANK(G189),1,G189)*ROUND(J189,2)</f>
        <v>0</v>
      </c>
      <c r="L189" s="65">
        <f>C189*K189</f>
        <v>0</v>
      </c>
      <c r="M189" s="65">
        <f>L189/12</f>
        <v>0</v>
      </c>
    </row>
    <row r="190" spans="1:13" x14ac:dyDescent="0.2">
      <c r="A190" s="126" t="s">
        <v>1336</v>
      </c>
      <c r="B190" s="74"/>
      <c r="C190" s="74"/>
      <c r="D190" s="74"/>
      <c r="E190" s="74"/>
      <c r="F190" s="74"/>
      <c r="G190" s="74"/>
      <c r="H190" s="74"/>
      <c r="I190" s="74"/>
      <c r="J190" s="74"/>
      <c r="K190" s="76">
        <f>SUM(K187:K189)</f>
        <v>0</v>
      </c>
      <c r="L190" s="76">
        <f>SUM(L187:L189)</f>
        <v>0</v>
      </c>
      <c r="M190" s="122">
        <f>L190/12</f>
        <v>0</v>
      </c>
    </row>
    <row r="192" spans="1:13" x14ac:dyDescent="0.2">
      <c r="A192" s="123" t="s">
        <v>1126</v>
      </c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124"/>
    </row>
    <row r="193" spans="1:13" x14ac:dyDescent="0.2">
      <c r="A193" s="51" t="s">
        <v>1476</v>
      </c>
      <c r="B193" s="51" t="s">
        <v>19</v>
      </c>
      <c r="C193" s="52">
        <f>IF(ISBLANK(B193),0,IF(ISERROR(VALUE(B193)),VLOOKUP(B193,dagsoorttabel1,2,FALSE)*dagenperjaar1,VALUE(B193)))</f>
        <v>3</v>
      </c>
      <c r="D193" s="51" t="s">
        <v>1217</v>
      </c>
      <c r="E193" s="51" t="s">
        <v>1477</v>
      </c>
      <c r="F193" s="51" t="s">
        <v>1364</v>
      </c>
      <c r="G193" s="130">
        <v>99</v>
      </c>
      <c r="H193" s="131">
        <f>Glas!G6</f>
        <v>0</v>
      </c>
      <c r="I193" s="132"/>
      <c r="J193" s="131">
        <f>Glas!I6</f>
        <v>0</v>
      </c>
      <c r="K193" s="55">
        <f>IF(ISBLANK(G193),0,G193)*ROUND(J193,2)</f>
        <v>0</v>
      </c>
      <c r="L193" s="55">
        <f>C193*K193</f>
        <v>0</v>
      </c>
      <c r="M193" s="55">
        <f>L193/12</f>
        <v>0</v>
      </c>
    </row>
    <row r="194" spans="1:13" x14ac:dyDescent="0.2">
      <c r="A194" s="61" t="s">
        <v>1478</v>
      </c>
      <c r="B194" s="61" t="s">
        <v>19</v>
      </c>
      <c r="C194" s="62">
        <f>IF(ISBLANK(B194),0,IF(ISERROR(VALUE(B194)),VLOOKUP(B194,dagsoorttabel1,2,FALSE)*dagenperjaar1,VALUE(B194)))</f>
        <v>3</v>
      </c>
      <c r="D194" s="61" t="s">
        <v>1217</v>
      </c>
      <c r="E194" s="61" t="s">
        <v>1479</v>
      </c>
      <c r="F194" s="61" t="s">
        <v>1364</v>
      </c>
      <c r="G194" s="136">
        <v>99</v>
      </c>
      <c r="H194" s="137">
        <f>Glas!G8</f>
        <v>0</v>
      </c>
      <c r="I194" s="138"/>
      <c r="J194" s="137">
        <f>Glas!I8</f>
        <v>0</v>
      </c>
      <c r="K194" s="65">
        <f>IF(ISBLANK(G194),0,G194)*ROUND(J194,2)</f>
        <v>0</v>
      </c>
      <c r="L194" s="65">
        <f>C194*K194</f>
        <v>0</v>
      </c>
      <c r="M194" s="65">
        <f>L194/12</f>
        <v>0</v>
      </c>
    </row>
    <row r="195" spans="1:13" x14ac:dyDescent="0.2">
      <c r="A195" s="126" t="s">
        <v>1571</v>
      </c>
      <c r="B195" s="74"/>
      <c r="C195" s="74"/>
      <c r="D195" s="74"/>
      <c r="E195" s="74"/>
      <c r="F195" s="74"/>
      <c r="G195" s="74"/>
      <c r="H195" s="74"/>
      <c r="I195" s="74"/>
      <c r="J195" s="74"/>
      <c r="K195" s="76">
        <f>SUM(K193:K194)</f>
        <v>0</v>
      </c>
      <c r="L195" s="76">
        <f>SUM(L193:L194)</f>
        <v>0</v>
      </c>
      <c r="M195" s="122">
        <f>L195/12</f>
        <v>0</v>
      </c>
    </row>
    <row r="197" spans="1:13" x14ac:dyDescent="0.2">
      <c r="A197" s="123" t="s">
        <v>1129</v>
      </c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124"/>
    </row>
    <row r="198" spans="1:13" x14ac:dyDescent="0.2">
      <c r="A198" s="51" t="s">
        <v>1476</v>
      </c>
      <c r="B198" s="51" t="s">
        <v>19</v>
      </c>
      <c r="C198" s="52">
        <f>IF(ISBLANK(B198),0,IF(ISERROR(VALUE(B198)),VLOOKUP(B198,dagsoorttabel1,2,FALSE)*dagenperjaar1,VALUE(B198)))</f>
        <v>3</v>
      </c>
      <c r="D198" s="51" t="s">
        <v>1217</v>
      </c>
      <c r="E198" s="51" t="s">
        <v>1477</v>
      </c>
      <c r="F198" s="51" t="s">
        <v>1364</v>
      </c>
      <c r="G198" s="130">
        <v>16</v>
      </c>
      <c r="H198" s="131">
        <f>Glas!G6</f>
        <v>0</v>
      </c>
      <c r="I198" s="132"/>
      <c r="J198" s="131">
        <f>Glas!I6</f>
        <v>0</v>
      </c>
      <c r="K198" s="55">
        <f>IF(ISBLANK(G198),0,G198)*ROUND(J198,2)</f>
        <v>0</v>
      </c>
      <c r="L198" s="55">
        <f>C198*K198</f>
        <v>0</v>
      </c>
      <c r="M198" s="55">
        <f>L198/12</f>
        <v>0</v>
      </c>
    </row>
    <row r="199" spans="1:13" x14ac:dyDescent="0.2">
      <c r="A199" s="56" t="s">
        <v>1478</v>
      </c>
      <c r="B199" s="56" t="s">
        <v>19</v>
      </c>
      <c r="C199" s="57">
        <f>IF(ISBLANK(B199),0,IF(ISERROR(VALUE(B199)),VLOOKUP(B199,dagsoorttabel1,2,FALSE)*dagenperjaar1,VALUE(B199)))</f>
        <v>3</v>
      </c>
      <c r="D199" s="56" t="s">
        <v>1217</v>
      </c>
      <c r="E199" s="56" t="s">
        <v>1479</v>
      </c>
      <c r="F199" s="56" t="s">
        <v>1364</v>
      </c>
      <c r="G199" s="133">
        <v>16</v>
      </c>
      <c r="H199" s="134">
        <f>Glas!G8</f>
        <v>0</v>
      </c>
      <c r="I199" s="135"/>
      <c r="J199" s="134">
        <f>Glas!I8</f>
        <v>0</v>
      </c>
      <c r="K199" s="60">
        <f>IF(ISBLANK(G199),0,G199)*ROUND(J199,2)</f>
        <v>0</v>
      </c>
      <c r="L199" s="60">
        <f>C199*K199</f>
        <v>0</v>
      </c>
      <c r="M199" s="60">
        <f>L199/12</f>
        <v>0</v>
      </c>
    </row>
    <row r="200" spans="1:13" x14ac:dyDescent="0.2">
      <c r="A200" s="61" t="s">
        <v>1551</v>
      </c>
      <c r="B200" s="61" t="s">
        <v>19</v>
      </c>
      <c r="C200" s="62">
        <f>IF(ISBLANK(B200),0,IF(ISERROR(VALUE(B200)),VLOOKUP(B200,dagsoorttabel1,2,FALSE)*dagenperjaar1,VALUE(B200)))</f>
        <v>3</v>
      </c>
      <c r="D200" s="61" t="s">
        <v>1217</v>
      </c>
      <c r="E200" s="61" t="s">
        <v>1552</v>
      </c>
      <c r="F200" s="61" t="s">
        <v>1500</v>
      </c>
      <c r="G200" s="136">
        <v>1</v>
      </c>
      <c r="H200" s="137">
        <f>Glas!G45</f>
        <v>0</v>
      </c>
      <c r="I200" s="138"/>
      <c r="J200" s="137">
        <f>Glas!I45</f>
        <v>0</v>
      </c>
      <c r="K200" s="65">
        <f>IF(ISBLANK(G200),1,G200)*ROUND(J200,2)</f>
        <v>0</v>
      </c>
      <c r="L200" s="65">
        <f>C200*K200</f>
        <v>0</v>
      </c>
      <c r="M200" s="65">
        <f>L200/12</f>
        <v>0</v>
      </c>
    </row>
    <row r="201" spans="1:13" x14ac:dyDescent="0.2">
      <c r="A201" s="126" t="s">
        <v>1337</v>
      </c>
      <c r="B201" s="74"/>
      <c r="C201" s="74"/>
      <c r="D201" s="74"/>
      <c r="E201" s="74"/>
      <c r="F201" s="74"/>
      <c r="G201" s="74"/>
      <c r="H201" s="74"/>
      <c r="I201" s="74"/>
      <c r="J201" s="74"/>
      <c r="K201" s="76">
        <f>SUM(K198:K200)</f>
        <v>0</v>
      </c>
      <c r="L201" s="76">
        <f>SUM(L198:L200)</f>
        <v>0</v>
      </c>
      <c r="M201" s="122">
        <f>L201/12</f>
        <v>0</v>
      </c>
    </row>
    <row r="203" spans="1:13" x14ac:dyDescent="0.2">
      <c r="A203" s="123" t="s">
        <v>1135</v>
      </c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124"/>
    </row>
    <row r="204" spans="1:13" x14ac:dyDescent="0.2">
      <c r="A204" s="115" t="s">
        <v>1553</v>
      </c>
      <c r="B204" s="115" t="s">
        <v>19</v>
      </c>
      <c r="C204" s="116">
        <f>IF(ISBLANK(B204),0,IF(ISERROR(VALUE(B204)),VLOOKUP(B204,dagsoorttabel1,2,FALSE)*dagenperjaar1,VALUE(B204)))</f>
        <v>3</v>
      </c>
      <c r="D204" s="115" t="s">
        <v>1217</v>
      </c>
      <c r="E204" s="115" t="s">
        <v>1554</v>
      </c>
      <c r="F204" s="115" t="s">
        <v>1500</v>
      </c>
      <c r="G204" s="117">
        <v>1</v>
      </c>
      <c r="H204" s="118">
        <f>Glas!G46</f>
        <v>0</v>
      </c>
      <c r="I204" s="139"/>
      <c r="J204" s="118">
        <f>Glas!I46</f>
        <v>0</v>
      </c>
      <c r="K204" s="121">
        <f>IF(ISBLANK(G204),1,G204)*ROUND(J204,2)</f>
        <v>0</v>
      </c>
      <c r="L204" s="121">
        <f>C204*K204</f>
        <v>0</v>
      </c>
      <c r="M204" s="121">
        <f>L204/12</f>
        <v>0</v>
      </c>
    </row>
    <row r="205" spans="1:13" x14ac:dyDescent="0.2">
      <c r="A205" s="126" t="s">
        <v>1338</v>
      </c>
      <c r="B205" s="74"/>
      <c r="C205" s="74"/>
      <c r="D205" s="74"/>
      <c r="E205" s="74"/>
      <c r="F205" s="74"/>
      <c r="G205" s="74"/>
      <c r="H205" s="74"/>
      <c r="I205" s="74"/>
      <c r="J205" s="74"/>
      <c r="K205" s="76">
        <f>SUM(K204:K204)</f>
        <v>0</v>
      </c>
      <c r="L205" s="76">
        <f>SUM(L204:L204)</f>
        <v>0</v>
      </c>
      <c r="M205" s="122">
        <f>L205/12</f>
        <v>0</v>
      </c>
    </row>
    <row r="207" spans="1:13" x14ac:dyDescent="0.2">
      <c r="A207" s="123" t="s">
        <v>1154</v>
      </c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124"/>
    </row>
    <row r="208" spans="1:13" x14ac:dyDescent="0.2">
      <c r="A208" s="51" t="s">
        <v>1476</v>
      </c>
      <c r="B208" s="51" t="s">
        <v>19</v>
      </c>
      <c r="C208" s="52">
        <f>IF(ISBLANK(B208),0,IF(ISERROR(VALUE(B208)),VLOOKUP(B208,dagsoorttabel1,2,FALSE)*dagenperjaar1,VALUE(B208)))</f>
        <v>3</v>
      </c>
      <c r="D208" s="51" t="s">
        <v>1217</v>
      </c>
      <c r="E208" s="51" t="s">
        <v>1477</v>
      </c>
      <c r="F208" s="51" t="s">
        <v>1364</v>
      </c>
      <c r="G208" s="130">
        <v>583</v>
      </c>
      <c r="H208" s="131">
        <f>Glas!G6</f>
        <v>0</v>
      </c>
      <c r="I208" s="132"/>
      <c r="J208" s="131">
        <f>Glas!I6</f>
        <v>0</v>
      </c>
      <c r="K208" s="55">
        <f>IF(ISBLANK(G208),0,G208)*ROUND(J208,2)</f>
        <v>0</v>
      </c>
      <c r="L208" s="55">
        <f>C208*K208</f>
        <v>0</v>
      </c>
      <c r="M208" s="55">
        <f>L208/12</f>
        <v>0</v>
      </c>
    </row>
    <row r="209" spans="1:13" x14ac:dyDescent="0.2">
      <c r="A209" s="56" t="s">
        <v>1478</v>
      </c>
      <c r="B209" s="56" t="s">
        <v>19</v>
      </c>
      <c r="C209" s="57">
        <f>IF(ISBLANK(B209),0,IF(ISERROR(VALUE(B209)),VLOOKUP(B209,dagsoorttabel1,2,FALSE)*dagenperjaar1,VALUE(B209)))</f>
        <v>3</v>
      </c>
      <c r="D209" s="56" t="s">
        <v>1217</v>
      </c>
      <c r="E209" s="56" t="s">
        <v>1479</v>
      </c>
      <c r="F209" s="56" t="s">
        <v>1364</v>
      </c>
      <c r="G209" s="133">
        <v>583</v>
      </c>
      <c r="H209" s="134">
        <f>Glas!G8</f>
        <v>0</v>
      </c>
      <c r="I209" s="135"/>
      <c r="J209" s="134">
        <f>Glas!I8</f>
        <v>0</v>
      </c>
      <c r="K209" s="60">
        <f>IF(ISBLANK(G209),0,G209)*ROUND(J209,2)</f>
        <v>0</v>
      </c>
      <c r="L209" s="60">
        <f>C209*K209</f>
        <v>0</v>
      </c>
      <c r="M209" s="60">
        <f>L209/12</f>
        <v>0</v>
      </c>
    </row>
    <row r="210" spans="1:13" x14ac:dyDescent="0.2">
      <c r="A210" s="61" t="s">
        <v>1555</v>
      </c>
      <c r="B210" s="61" t="s">
        <v>19</v>
      </c>
      <c r="C210" s="62">
        <f>IF(ISBLANK(B210),0,IF(ISERROR(VALUE(B210)),VLOOKUP(B210,dagsoorttabel1,2,FALSE)*dagenperjaar1,VALUE(B210)))</f>
        <v>3</v>
      </c>
      <c r="D210" s="61" t="s">
        <v>1217</v>
      </c>
      <c r="E210" s="61" t="s">
        <v>1556</v>
      </c>
      <c r="F210" s="61" t="s">
        <v>1500</v>
      </c>
      <c r="G210" s="136">
        <v>1</v>
      </c>
      <c r="H210" s="137">
        <f>Glas!G47</f>
        <v>0</v>
      </c>
      <c r="I210" s="138"/>
      <c r="J210" s="137">
        <f>Glas!I47</f>
        <v>0</v>
      </c>
      <c r="K210" s="65">
        <f>IF(ISBLANK(G210),1,G210)*ROUND(J210,2)</f>
        <v>0</v>
      </c>
      <c r="L210" s="65">
        <f>C210*K210</f>
        <v>0</v>
      </c>
      <c r="M210" s="65">
        <f>L210/12</f>
        <v>0</v>
      </c>
    </row>
    <row r="211" spans="1:13" x14ac:dyDescent="0.2">
      <c r="A211" s="126" t="s">
        <v>1339</v>
      </c>
      <c r="B211" s="74"/>
      <c r="C211" s="74"/>
      <c r="D211" s="74"/>
      <c r="E211" s="74"/>
      <c r="F211" s="74"/>
      <c r="G211" s="74"/>
      <c r="H211" s="74"/>
      <c r="I211" s="74"/>
      <c r="J211" s="74"/>
      <c r="K211" s="76">
        <f>SUM(K208:K210)</f>
        <v>0</v>
      </c>
      <c r="L211" s="76">
        <f>SUM(L208:L210)</f>
        <v>0</v>
      </c>
      <c r="M211" s="122">
        <f>L211/12</f>
        <v>0</v>
      </c>
    </row>
    <row r="213" spans="1:13" x14ac:dyDescent="0.2">
      <c r="A213" s="123" t="s">
        <v>1163</v>
      </c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124"/>
    </row>
    <row r="214" spans="1:13" x14ac:dyDescent="0.2">
      <c r="A214" s="51" t="s">
        <v>1476</v>
      </c>
      <c r="B214" s="51" t="s">
        <v>19</v>
      </c>
      <c r="C214" s="52">
        <f>IF(ISBLANK(B214),0,IF(ISERROR(VALUE(B214)),VLOOKUP(B214,dagsoorttabel1,2,FALSE)*dagenperjaar1,VALUE(B214)))</f>
        <v>3</v>
      </c>
      <c r="D214" s="51" t="s">
        <v>1217</v>
      </c>
      <c r="E214" s="51" t="s">
        <v>1477</v>
      </c>
      <c r="F214" s="51" t="s">
        <v>1364</v>
      </c>
      <c r="G214" s="130">
        <v>9</v>
      </c>
      <c r="H214" s="131">
        <f>Glas!G6</f>
        <v>0</v>
      </c>
      <c r="I214" s="132"/>
      <c r="J214" s="131">
        <f>Glas!I6</f>
        <v>0</v>
      </c>
      <c r="K214" s="55">
        <f>IF(ISBLANK(G214),0,G214)*ROUND(J214,2)</f>
        <v>0</v>
      </c>
      <c r="L214" s="55">
        <f>C214*K214</f>
        <v>0</v>
      </c>
      <c r="M214" s="55">
        <f>L214/12</f>
        <v>0</v>
      </c>
    </row>
    <row r="215" spans="1:13" x14ac:dyDescent="0.2">
      <c r="A215" s="61" t="s">
        <v>1478</v>
      </c>
      <c r="B215" s="61" t="s">
        <v>19</v>
      </c>
      <c r="C215" s="62">
        <f>IF(ISBLANK(B215),0,IF(ISERROR(VALUE(B215)),VLOOKUP(B215,dagsoorttabel1,2,FALSE)*dagenperjaar1,VALUE(B215)))</f>
        <v>3</v>
      </c>
      <c r="D215" s="61" t="s">
        <v>1217</v>
      </c>
      <c r="E215" s="61" t="s">
        <v>1479</v>
      </c>
      <c r="F215" s="61" t="s">
        <v>1364</v>
      </c>
      <c r="G215" s="136">
        <v>9</v>
      </c>
      <c r="H215" s="137">
        <f>Glas!G8</f>
        <v>0</v>
      </c>
      <c r="I215" s="138"/>
      <c r="J215" s="137">
        <f>Glas!I8</f>
        <v>0</v>
      </c>
      <c r="K215" s="65">
        <f>IF(ISBLANK(G215),0,G215)*ROUND(J215,2)</f>
        <v>0</v>
      </c>
      <c r="L215" s="65">
        <f>C215*K215</f>
        <v>0</v>
      </c>
      <c r="M215" s="65">
        <f>L215/12</f>
        <v>0</v>
      </c>
    </row>
    <row r="216" spans="1:13" x14ac:dyDescent="0.2">
      <c r="A216" s="126" t="s">
        <v>1572</v>
      </c>
      <c r="B216" s="74"/>
      <c r="C216" s="74"/>
      <c r="D216" s="74"/>
      <c r="E216" s="74"/>
      <c r="F216" s="74"/>
      <c r="G216" s="74"/>
      <c r="H216" s="74"/>
      <c r="I216" s="74"/>
      <c r="J216" s="74"/>
      <c r="K216" s="76">
        <f>SUM(K214:K215)</f>
        <v>0</v>
      </c>
      <c r="L216" s="76">
        <f>SUM(L214:L215)</f>
        <v>0</v>
      </c>
      <c r="M216" s="122">
        <f>L216/12</f>
        <v>0</v>
      </c>
    </row>
    <row r="218" spans="1:13" x14ac:dyDescent="0.2">
      <c r="A218" s="123" t="s">
        <v>1167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124"/>
    </row>
    <row r="219" spans="1:13" x14ac:dyDescent="0.2">
      <c r="A219" s="51" t="s">
        <v>1476</v>
      </c>
      <c r="B219" s="51" t="s">
        <v>19</v>
      </c>
      <c r="C219" s="52">
        <f>IF(ISBLANK(B219),0,IF(ISERROR(VALUE(B219)),VLOOKUP(B219,dagsoorttabel1,2,FALSE)*dagenperjaar1,VALUE(B219)))</f>
        <v>3</v>
      </c>
      <c r="D219" s="51" t="s">
        <v>1217</v>
      </c>
      <c r="E219" s="51" t="s">
        <v>1477</v>
      </c>
      <c r="F219" s="51" t="s">
        <v>1364</v>
      </c>
      <c r="G219" s="130">
        <v>25</v>
      </c>
      <c r="H219" s="131">
        <f>Glas!G6</f>
        <v>0</v>
      </c>
      <c r="I219" s="132"/>
      <c r="J219" s="131">
        <f>Glas!I6</f>
        <v>0</v>
      </c>
      <c r="K219" s="55">
        <f>IF(ISBLANK(G219),0,G219)*ROUND(J219,2)</f>
        <v>0</v>
      </c>
      <c r="L219" s="55">
        <f>C219*K219</f>
        <v>0</v>
      </c>
      <c r="M219" s="55">
        <f>L219/12</f>
        <v>0</v>
      </c>
    </row>
    <row r="220" spans="1:13" x14ac:dyDescent="0.2">
      <c r="A220" s="56" t="s">
        <v>1478</v>
      </c>
      <c r="B220" s="56" t="s">
        <v>19</v>
      </c>
      <c r="C220" s="57">
        <f>IF(ISBLANK(B220),0,IF(ISERROR(VALUE(B220)),VLOOKUP(B220,dagsoorttabel1,2,FALSE)*dagenperjaar1,VALUE(B220)))</f>
        <v>3</v>
      </c>
      <c r="D220" s="56" t="s">
        <v>1217</v>
      </c>
      <c r="E220" s="56" t="s">
        <v>1479</v>
      </c>
      <c r="F220" s="56" t="s">
        <v>1364</v>
      </c>
      <c r="G220" s="133">
        <v>25</v>
      </c>
      <c r="H220" s="134">
        <f>Glas!G8</f>
        <v>0</v>
      </c>
      <c r="I220" s="135"/>
      <c r="J220" s="134">
        <f>Glas!I8</f>
        <v>0</v>
      </c>
      <c r="K220" s="60">
        <f>IF(ISBLANK(G220),0,G220)*ROUND(J220,2)</f>
        <v>0</v>
      </c>
      <c r="L220" s="60">
        <f>C220*K220</f>
        <v>0</v>
      </c>
      <c r="M220" s="60">
        <f>L220/12</f>
        <v>0</v>
      </c>
    </row>
    <row r="221" spans="1:13" x14ac:dyDescent="0.2">
      <c r="A221" s="61" t="s">
        <v>1557</v>
      </c>
      <c r="B221" s="61" t="s">
        <v>19</v>
      </c>
      <c r="C221" s="62">
        <f>IF(ISBLANK(B221),0,IF(ISERROR(VALUE(B221)),VLOOKUP(B221,dagsoorttabel1,2,FALSE)*dagenperjaar1,VALUE(B221)))</f>
        <v>3</v>
      </c>
      <c r="D221" s="61" t="s">
        <v>1217</v>
      </c>
      <c r="E221" s="61" t="s">
        <v>1558</v>
      </c>
      <c r="F221" s="61" t="s">
        <v>1500</v>
      </c>
      <c r="G221" s="136">
        <v>1</v>
      </c>
      <c r="H221" s="137">
        <f>Glas!G48</f>
        <v>0</v>
      </c>
      <c r="I221" s="138"/>
      <c r="J221" s="137">
        <f>Glas!I48</f>
        <v>0</v>
      </c>
      <c r="K221" s="65">
        <f>IF(ISBLANK(G221),1,G221)*ROUND(J221,2)</f>
        <v>0</v>
      </c>
      <c r="L221" s="65">
        <f>C221*K221</f>
        <v>0</v>
      </c>
      <c r="M221" s="65">
        <f>L221/12</f>
        <v>0</v>
      </c>
    </row>
    <row r="222" spans="1:13" x14ac:dyDescent="0.2">
      <c r="A222" s="126" t="s">
        <v>1340</v>
      </c>
      <c r="B222" s="74"/>
      <c r="C222" s="74"/>
      <c r="D222" s="74"/>
      <c r="E222" s="74"/>
      <c r="F222" s="74"/>
      <c r="G222" s="74"/>
      <c r="H222" s="74"/>
      <c r="I222" s="74"/>
      <c r="J222" s="74"/>
      <c r="K222" s="76">
        <f>SUM(K219:K221)</f>
        <v>0</v>
      </c>
      <c r="L222" s="76">
        <f>SUM(L219:L221)</f>
        <v>0</v>
      </c>
      <c r="M222" s="122">
        <f>L222/12</f>
        <v>0</v>
      </c>
    </row>
  </sheetData>
  <sheetProtection algorithmName="SHA-512" hashValue="vCT3gImNUsoavMoP+MFHj4Y9ud9/7/KYHOzS6AuBzDEct/5Fu7bbGHgxbP8NHBQRaz2Mf/X/HrrSTMRm17CZQw==" saltValue="2D9Tp8Y0Uk5/UueoFuys3g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2DCE-5E85-4576-8885-06529F8CB80D}">
  <dimension ref="A1:E13"/>
  <sheetViews>
    <sheetView workbookViewId="0">
      <selection activeCell="C20" sqref="C20"/>
    </sheetView>
  </sheetViews>
  <sheetFormatPr defaultRowHeight="12.6" x14ac:dyDescent="0.2"/>
  <cols>
    <col min="1" max="1" width="30.6328125" customWidth="1"/>
    <col min="2" max="4" width="20.6328125" customWidth="1"/>
  </cols>
  <sheetData>
    <row r="1" spans="1:5" x14ac:dyDescent="0.2">
      <c r="A1" s="1" t="str">
        <f>CONCATENATE("Bijlage H  .12: ",tabeltype," totaalblad schoonmaakwerk")</f>
        <v>Bijlage H  .12: Invultabel totaalblad schoonmaakwerk</v>
      </c>
    </row>
    <row r="3" spans="1:5" ht="25.2" x14ac:dyDescent="0.2">
      <c r="A3" s="44" t="s">
        <v>1573</v>
      </c>
      <c r="B3" s="44" t="s">
        <v>1574</v>
      </c>
      <c r="C3" s="44" t="s">
        <v>1575</v>
      </c>
      <c r="D3" s="44" t="s">
        <v>1576</v>
      </c>
    </row>
    <row r="4" spans="1:5" x14ac:dyDescent="0.2">
      <c r="A4" s="140" t="s">
        <v>1577</v>
      </c>
      <c r="B4" s="66">
        <f>urenjaartotaaloverzicht</f>
        <v>0</v>
      </c>
      <c r="C4" s="55">
        <f>prijsjaartotaaloverzicht</f>
        <v>0</v>
      </c>
      <c r="D4" s="55">
        <f>C4*1.21</f>
        <v>0</v>
      </c>
    </row>
    <row r="5" spans="1:5" x14ac:dyDescent="0.2">
      <c r="A5" s="141" t="s">
        <v>1578</v>
      </c>
      <c r="B5" s="142"/>
      <c r="C5" s="60">
        <f>prijsjaaradditioneel</f>
        <v>0</v>
      </c>
      <c r="D5" s="60">
        <f>C5*1.21</f>
        <v>0</v>
      </c>
    </row>
    <row r="6" spans="1:5" x14ac:dyDescent="0.2">
      <c r="A6" s="141" t="s">
        <v>1579</v>
      </c>
      <c r="B6" s="142"/>
      <c r="C6" s="60">
        <f>prijsjaarregie</f>
        <v>0</v>
      </c>
      <c r="D6" s="60">
        <f>C6*1.21</f>
        <v>0</v>
      </c>
    </row>
    <row r="7" spans="1:5" x14ac:dyDescent="0.2">
      <c r="A7" s="143" t="s">
        <v>1580</v>
      </c>
      <c r="B7" s="144"/>
      <c r="C7" s="65">
        <f>prijsjaarglas</f>
        <v>0</v>
      </c>
      <c r="D7" s="65">
        <f>C7*1.21</f>
        <v>0</v>
      </c>
    </row>
    <row r="9" spans="1:5" x14ac:dyDescent="0.2">
      <c r="A9" s="44" t="s">
        <v>1581</v>
      </c>
      <c r="B9" s="75">
        <f>SUM(B4:B7)</f>
        <v>0</v>
      </c>
      <c r="C9" s="76">
        <f>SUM(C4:C7)</f>
        <v>0</v>
      </c>
      <c r="D9" s="76">
        <f>C9*1.21</f>
        <v>0</v>
      </c>
    </row>
    <row r="12" spans="1:5" x14ac:dyDescent="0.2">
      <c r="A12" s="145" t="s">
        <v>1582</v>
      </c>
      <c r="B12" s="107"/>
      <c r="C12" s="146">
        <f>ROUND(SUM(vp_regulier,vp_additioneel,vp_regie,vp_glas),2)</f>
        <v>0</v>
      </c>
      <c r="D12" s="107"/>
      <c r="E12" s="147" t="str">
        <f>IF(OR(C12&gt;_xlfn.SINGLE(vp_prijs_plafond)),"ONGELDIG","")</f>
        <v/>
      </c>
    </row>
    <row r="13" spans="1:5" x14ac:dyDescent="0.2">
      <c r="A13" s="148" t="s">
        <v>1583</v>
      </c>
      <c r="B13" s="107"/>
      <c r="C13" s="121">
        <v>570000</v>
      </c>
      <c r="D13" s="107"/>
    </row>
  </sheetData>
  <sheetProtection algorithmName="SHA-512" hashValue="Jpd5M/vUyvQtgSslcSeVMPUEyzLI/X25Ldj996rG8APeAUBjlB8bkatt58k2UtpvrTay1pPvAb7rbA0Qu1uf4g==" saltValue="iGwUUT+yrAnEkHxWbtZ2Eg==" spinCount="100000" sheet="1" objects="1" scenarios="1" autoFilter="0"/>
  <pageMargins left="0.7" right="0.7" top="0.75" bottom="0.75" header="0.3" footer="0.3"/>
  <pageSetup scale="70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BD5B-9F32-4C99-907D-BCF11E397163}">
  <dimension ref="A1:Q61"/>
  <sheetViews>
    <sheetView tabSelected="1" workbookViewId="0">
      <selection activeCell="A16" sqref="A16"/>
    </sheetView>
  </sheetViews>
  <sheetFormatPr defaultRowHeight="12.6" x14ac:dyDescent="0.2"/>
  <cols>
    <col min="1" max="1" width="40.6328125" customWidth="1"/>
    <col min="2" max="2" width="8.1796875" customWidth="1"/>
    <col min="3" max="3" width="10.6328125" customWidth="1"/>
    <col min="4" max="4" width="8.1796875" customWidth="1"/>
    <col min="5" max="5" width="10.6328125" customWidth="1"/>
    <col min="6" max="6" width="8.1796875" customWidth="1"/>
    <col min="7" max="7" width="10.6328125" customWidth="1"/>
    <col min="8" max="8" width="8.1796875" customWidth="1"/>
    <col min="9" max="9" width="10.6328125" customWidth="1"/>
    <col min="10" max="10" width="8.1796875" customWidth="1"/>
    <col min="11" max="11" width="10.6328125" customWidth="1"/>
    <col min="12" max="12" width="8.1796875" customWidth="1"/>
    <col min="13" max="13" width="10.6328125" customWidth="1"/>
    <col min="14" max="14" width="8.1796875" customWidth="1"/>
    <col min="15" max="15" width="10.6328125" customWidth="1"/>
    <col min="16" max="16" width="8.1796875" customWidth="1"/>
    <col min="17" max="17" width="10.6328125" customWidth="1"/>
  </cols>
  <sheetData>
    <row r="1" spans="1:17" x14ac:dyDescent="0.2">
      <c r="A1" s="1" t="s">
        <v>22</v>
      </c>
    </row>
    <row r="3" spans="1:17" x14ac:dyDescent="0.2">
      <c r="A3" s="8"/>
      <c r="B3" s="9" t="s">
        <v>23</v>
      </c>
      <c r="C3" s="9"/>
      <c r="D3" s="9" t="s">
        <v>23</v>
      </c>
      <c r="E3" s="9"/>
      <c r="F3" s="9" t="s">
        <v>23</v>
      </c>
      <c r="G3" s="9"/>
      <c r="H3" s="9" t="s">
        <v>23</v>
      </c>
      <c r="I3" s="9"/>
      <c r="J3" s="9" t="s">
        <v>23</v>
      </c>
      <c r="K3" s="9"/>
      <c r="L3" s="9" t="s">
        <v>24</v>
      </c>
      <c r="M3" s="9"/>
      <c r="N3" s="9" t="s">
        <v>24</v>
      </c>
      <c r="O3" s="9"/>
      <c r="P3" s="9" t="s">
        <v>24</v>
      </c>
      <c r="Q3" s="10"/>
    </row>
    <row r="4" spans="1:17" x14ac:dyDescent="0.2">
      <c r="A4" s="11"/>
      <c r="B4" s="12" t="s">
        <v>25</v>
      </c>
      <c r="C4" s="12"/>
      <c r="D4" s="12" t="s">
        <v>25</v>
      </c>
      <c r="E4" s="12"/>
      <c r="F4" s="12" t="s">
        <v>25</v>
      </c>
      <c r="G4" s="12"/>
      <c r="H4" s="12" t="s">
        <v>26</v>
      </c>
      <c r="I4" s="12"/>
      <c r="J4" s="12" t="s">
        <v>26</v>
      </c>
      <c r="K4" s="12"/>
      <c r="L4" s="12" t="s">
        <v>25</v>
      </c>
      <c r="M4" s="12"/>
      <c r="N4" s="12" t="s">
        <v>25</v>
      </c>
      <c r="O4" s="12"/>
      <c r="P4" s="12" t="s">
        <v>26</v>
      </c>
      <c r="Q4" s="13"/>
    </row>
    <row r="5" spans="1:17" ht="25.2" customHeight="1" x14ac:dyDescent="0.2">
      <c r="A5" s="14" t="s">
        <v>27</v>
      </c>
      <c r="B5" s="15" t="s">
        <v>28</v>
      </c>
      <c r="C5" s="15"/>
      <c r="D5" s="15" t="s">
        <v>28</v>
      </c>
      <c r="E5" s="15"/>
      <c r="F5" s="15" t="s">
        <v>29</v>
      </c>
      <c r="G5" s="15"/>
      <c r="H5" s="15" t="s">
        <v>30</v>
      </c>
      <c r="I5" s="15"/>
      <c r="J5" s="15" t="s">
        <v>30</v>
      </c>
      <c r="K5" s="15"/>
      <c r="L5" s="15" t="s">
        <v>31</v>
      </c>
      <c r="M5" s="15"/>
      <c r="N5" s="15" t="s">
        <v>31</v>
      </c>
      <c r="O5" s="15"/>
      <c r="P5" s="15" t="s">
        <v>32</v>
      </c>
      <c r="Q5" s="16"/>
    </row>
    <row r="6" spans="1:17" ht="37.799999999999997" customHeight="1" x14ac:dyDescent="0.2">
      <c r="A6" s="17" t="s">
        <v>33</v>
      </c>
      <c r="B6" s="15" t="s">
        <v>34</v>
      </c>
      <c r="C6" s="15"/>
      <c r="D6" s="18" t="s">
        <v>35</v>
      </c>
      <c r="E6" s="18"/>
      <c r="F6" s="15" t="s">
        <v>36</v>
      </c>
      <c r="G6" s="15"/>
      <c r="H6" s="15" t="s">
        <v>36</v>
      </c>
      <c r="I6" s="15"/>
      <c r="J6" s="15" t="s">
        <v>37</v>
      </c>
      <c r="K6" s="15"/>
      <c r="L6" s="18" t="s">
        <v>35</v>
      </c>
      <c r="M6" s="18"/>
      <c r="N6" s="15" t="s">
        <v>38</v>
      </c>
      <c r="O6" s="15"/>
      <c r="P6" s="18" t="s">
        <v>35</v>
      </c>
      <c r="Q6" s="19"/>
    </row>
    <row r="7" spans="1:17" x14ac:dyDescent="0.2">
      <c r="A7" s="20" t="s">
        <v>39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">
      <c r="A8" s="20" t="s">
        <v>40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">
      <c r="A9" s="11" t="s">
        <v>41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">
      <c r="A10" s="20" t="s">
        <v>42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">
      <c r="A11" s="20" t="s">
        <v>43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">
      <c r="A12" s="11" t="s">
        <v>44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">
      <c r="A13" s="20" t="s">
        <v>45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">
      <c r="A14" s="11" t="s">
        <v>46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">
      <c r="A15" s="20" t="s">
        <v>47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">
      <c r="A16" s="20" t="s">
        <v>48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">
      <c r="A17" s="20" t="s">
        <v>49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">
      <c r="A18" s="20" t="s">
        <v>50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">
      <c r="A19" s="11" t="s">
        <v>51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">
      <c r="A20" s="20" t="s">
        <v>52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">
      <c r="A21" s="20" t="s">
        <v>53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">
      <c r="A22" s="20" t="s">
        <v>54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">
      <c r="A23" s="20" t="s">
        <v>55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">
      <c r="A24" s="20" t="s">
        <v>56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">
      <c r="A25" s="20" t="s">
        <v>57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">
      <c r="A26" s="11" t="s">
        <v>58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">
      <c r="A28" s="20" t="s">
        <v>59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">
      <c r="A29" s="20" t="s">
        <v>60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">
      <c r="A30" s="20" t="s">
        <v>61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">
      <c r="A31" s="20" t="s">
        <v>62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">
      <c r="A32" s="20" t="s">
        <v>63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">
      <c r="A33" s="20" t="s">
        <v>64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">
      <c r="A34" s="20" t="s">
        <v>65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">
      <c r="A35" s="11" t="s">
        <v>66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">
      <c r="A37" s="11" t="s">
        <v>67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">
      <c r="A39" s="11" t="s">
        <v>68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">
      <c r="A40" s="11" t="s">
        <v>69</v>
      </c>
      <c r="B40" s="31" t="s">
        <v>70</v>
      </c>
      <c r="C40" s="31" t="s">
        <v>71</v>
      </c>
      <c r="D40" s="31" t="s">
        <v>70</v>
      </c>
      <c r="E40" s="31" t="s">
        <v>71</v>
      </c>
      <c r="F40" s="31" t="s">
        <v>70</v>
      </c>
      <c r="G40" s="31" t="s">
        <v>71</v>
      </c>
      <c r="H40" s="31" t="s">
        <v>70</v>
      </c>
      <c r="I40" s="31" t="s">
        <v>71</v>
      </c>
      <c r="J40" s="31" t="s">
        <v>70</v>
      </c>
      <c r="K40" s="31" t="s">
        <v>71</v>
      </c>
      <c r="L40" s="31" t="s">
        <v>70</v>
      </c>
      <c r="M40" s="31" t="s">
        <v>71</v>
      </c>
      <c r="N40" s="31" t="s">
        <v>70</v>
      </c>
      <c r="O40" s="31" t="s">
        <v>71</v>
      </c>
      <c r="P40" s="31" t="s">
        <v>70</v>
      </c>
      <c r="Q40" s="32" t="s">
        <v>71</v>
      </c>
    </row>
    <row r="41" spans="1:17" x14ac:dyDescent="0.2">
      <c r="A41" s="11" t="s">
        <v>72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11" t="s">
        <v>73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34" t="s">
        <v>74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25.2" customHeight="1" x14ac:dyDescent="0.2">
      <c r="A45" s="8" t="s">
        <v>75</v>
      </c>
      <c r="B45" s="38" t="s">
        <v>76</v>
      </c>
      <c r="C45" s="38"/>
      <c r="D45" s="38" t="s">
        <v>77</v>
      </c>
      <c r="E45" s="38"/>
      <c r="F45" s="38" t="s">
        <v>78</v>
      </c>
      <c r="G45" s="39"/>
    </row>
    <row r="46" spans="1:17" x14ac:dyDescent="0.2">
      <c r="A46" s="28"/>
      <c r="B46" s="31" t="s">
        <v>79</v>
      </c>
      <c r="C46" s="31" t="s">
        <v>80</v>
      </c>
      <c r="D46" s="31" t="s">
        <v>79</v>
      </c>
      <c r="E46" s="31" t="s">
        <v>80</v>
      </c>
      <c r="F46" s="31" t="s">
        <v>79</v>
      </c>
      <c r="G46" s="32" t="s">
        <v>80</v>
      </c>
    </row>
    <row r="47" spans="1:17" x14ac:dyDescent="0.2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">
      <c r="A50" s="11" t="s">
        <v>81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">
      <c r="A53" s="34" t="s">
        <v>82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7.799999999999997" customHeight="1" x14ac:dyDescent="0.2">
      <c r="A55" s="8" t="s">
        <v>83</v>
      </c>
      <c r="B55" s="38" t="s">
        <v>84</v>
      </c>
      <c r="C55" s="38"/>
      <c r="D55" s="38" t="s">
        <v>85</v>
      </c>
      <c r="E55" s="38"/>
      <c r="F55" s="38" t="s">
        <v>86</v>
      </c>
      <c r="G55" s="38"/>
      <c r="H55" s="38" t="s">
        <v>87</v>
      </c>
      <c r="I55" s="39"/>
    </row>
    <row r="56" spans="1:9" x14ac:dyDescent="0.2">
      <c r="A56" s="28"/>
      <c r="B56" s="31" t="s">
        <v>79</v>
      </c>
      <c r="C56" s="31" t="s">
        <v>80</v>
      </c>
      <c r="D56" s="31" t="s">
        <v>79</v>
      </c>
      <c r="E56" s="31" t="s">
        <v>80</v>
      </c>
      <c r="F56" s="31" t="s">
        <v>79</v>
      </c>
      <c r="G56" s="31" t="s">
        <v>80</v>
      </c>
      <c r="H56" s="31" t="s">
        <v>79</v>
      </c>
      <c r="I56" s="32" t="s">
        <v>80</v>
      </c>
    </row>
    <row r="57" spans="1:9" x14ac:dyDescent="0.2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">
      <c r="A59" s="11" t="s">
        <v>81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">
      <c r="A61" s="34" t="s">
        <v>88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FD06K2qz6IuyGRSwVy9Pryrksf7TQwgOOsj1KG4O0ibUs4CLnsjaWpTiR2HPxhs6Qc+GADY5M4nrXkhDh1zPMA==" saltValue="y+F3WUmMdsZHaTH4f+ckNQ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5F64-DF8A-41A1-981A-CA528B8012BE}">
  <dimension ref="A1:H6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H  .1: ",tabeltype," categorienormen")</f>
        <v>Bijlage H  .1: Invultabel categorienormen</v>
      </c>
    </row>
    <row r="3" spans="1:8" ht="37.799999999999997" x14ac:dyDescent="0.2">
      <c r="A3" s="44" t="s">
        <v>89</v>
      </c>
      <c r="B3" s="44" t="s">
        <v>90</v>
      </c>
      <c r="C3" s="44" t="s">
        <v>91</v>
      </c>
      <c r="D3" s="44" t="s">
        <v>92</v>
      </c>
      <c r="E3" s="44" t="s">
        <v>93</v>
      </c>
      <c r="F3" s="44" t="s">
        <v>94</v>
      </c>
      <c r="G3" s="44" t="s">
        <v>95</v>
      </c>
      <c r="H3" s="44" t="s">
        <v>96</v>
      </c>
    </row>
    <row r="4" spans="1:8" x14ac:dyDescent="0.2">
      <c r="A4" s="45"/>
      <c r="B4" s="46"/>
      <c r="C4" s="46"/>
      <c r="D4" s="46"/>
      <c r="E4" s="46"/>
      <c r="F4" s="46"/>
      <c r="G4" s="46"/>
      <c r="H4" s="47"/>
    </row>
    <row r="5" spans="1:8" x14ac:dyDescent="0.2">
      <c r="A5" s="48" t="s">
        <v>97</v>
      </c>
      <c r="B5" s="49"/>
      <c r="C5" s="49"/>
      <c r="D5" s="49"/>
      <c r="E5" s="49"/>
      <c r="F5" s="49"/>
      <c r="G5" s="49"/>
      <c r="H5" s="50"/>
    </row>
    <row r="6" spans="1:8" x14ac:dyDescent="0.2">
      <c r="A6" s="51" t="s">
        <v>98</v>
      </c>
      <c r="B6" s="52" t="s">
        <v>99</v>
      </c>
      <c r="C6" s="51">
        <v>1</v>
      </c>
      <c r="D6" s="51" t="s">
        <v>100</v>
      </c>
      <c r="E6" s="53"/>
      <c r="F6" s="54"/>
      <c r="G6" s="51" t="s">
        <v>101</v>
      </c>
      <c r="H6" s="55">
        <f>Tariefopbouw1</f>
        <v>0</v>
      </c>
    </row>
    <row r="7" spans="1:8" x14ac:dyDescent="0.2">
      <c r="A7" s="56" t="s">
        <v>102</v>
      </c>
      <c r="B7" s="57" t="s">
        <v>99</v>
      </c>
      <c r="C7" s="56">
        <v>51</v>
      </c>
      <c r="D7" s="56" t="s">
        <v>103</v>
      </c>
      <c r="E7" s="58"/>
      <c r="F7" s="59"/>
      <c r="G7" s="56" t="s">
        <v>101</v>
      </c>
      <c r="H7" s="60">
        <f>Tariefopbouw1</f>
        <v>0</v>
      </c>
    </row>
    <row r="8" spans="1:8" x14ac:dyDescent="0.2">
      <c r="A8" s="56" t="s">
        <v>104</v>
      </c>
      <c r="B8" s="57" t="s">
        <v>99</v>
      </c>
      <c r="C8" s="56">
        <v>1</v>
      </c>
      <c r="D8" s="56" t="s">
        <v>105</v>
      </c>
      <c r="E8" s="58"/>
      <c r="F8" s="59"/>
      <c r="G8" s="56" t="s">
        <v>101</v>
      </c>
      <c r="H8" s="60">
        <f>Tariefopbouw1</f>
        <v>0</v>
      </c>
    </row>
    <row r="9" spans="1:8" x14ac:dyDescent="0.2">
      <c r="A9" s="56" t="s">
        <v>106</v>
      </c>
      <c r="B9" s="57" t="s">
        <v>99</v>
      </c>
      <c r="C9" s="56">
        <v>51</v>
      </c>
      <c r="D9" s="56" t="s">
        <v>107</v>
      </c>
      <c r="E9" s="58"/>
      <c r="F9" s="59"/>
      <c r="G9" s="56" t="s">
        <v>101</v>
      </c>
      <c r="H9" s="60">
        <f>Tariefopbouw1</f>
        <v>0</v>
      </c>
    </row>
    <row r="10" spans="1:8" x14ac:dyDescent="0.2">
      <c r="A10" s="56" t="s">
        <v>108</v>
      </c>
      <c r="B10" s="57" t="s">
        <v>99</v>
      </c>
      <c r="C10" s="56">
        <v>1</v>
      </c>
      <c r="D10" s="56" t="s">
        <v>109</v>
      </c>
      <c r="E10" s="58"/>
      <c r="F10" s="59"/>
      <c r="G10" s="56" t="s">
        <v>101</v>
      </c>
      <c r="H10" s="60">
        <f>Tariefopbouw1</f>
        <v>0</v>
      </c>
    </row>
    <row r="11" spans="1:8" x14ac:dyDescent="0.2">
      <c r="A11" s="56" t="s">
        <v>110</v>
      </c>
      <c r="B11" s="57" t="s">
        <v>99</v>
      </c>
      <c r="C11" s="56">
        <v>51</v>
      </c>
      <c r="D11" s="56" t="s">
        <v>111</v>
      </c>
      <c r="E11" s="58"/>
      <c r="F11" s="59"/>
      <c r="G11" s="56" t="s">
        <v>101</v>
      </c>
      <c r="H11" s="60">
        <f>Tariefopbouw1</f>
        <v>0</v>
      </c>
    </row>
    <row r="12" spans="1:8" x14ac:dyDescent="0.2">
      <c r="A12" s="56" t="s">
        <v>112</v>
      </c>
      <c r="B12" s="57" t="s">
        <v>99</v>
      </c>
      <c r="C12" s="56">
        <v>1</v>
      </c>
      <c r="D12" s="56" t="s">
        <v>113</v>
      </c>
      <c r="E12" s="58"/>
      <c r="F12" s="59"/>
      <c r="G12" s="56" t="s">
        <v>101</v>
      </c>
      <c r="H12" s="60">
        <f>Tariefopbouw1</f>
        <v>0</v>
      </c>
    </row>
    <row r="13" spans="1:8" x14ac:dyDescent="0.2">
      <c r="A13" s="56" t="s">
        <v>114</v>
      </c>
      <c r="B13" s="57" t="s">
        <v>99</v>
      </c>
      <c r="C13" s="56">
        <v>51</v>
      </c>
      <c r="D13" s="56" t="s">
        <v>115</v>
      </c>
      <c r="E13" s="58"/>
      <c r="F13" s="59"/>
      <c r="G13" s="56" t="s">
        <v>101</v>
      </c>
      <c r="H13" s="60">
        <f>Tariefopbouw1</f>
        <v>0</v>
      </c>
    </row>
    <row r="14" spans="1:8" x14ac:dyDescent="0.2">
      <c r="A14" s="56" t="s">
        <v>116</v>
      </c>
      <c r="B14" s="57" t="s">
        <v>99</v>
      </c>
      <c r="C14" s="56">
        <v>1</v>
      </c>
      <c r="D14" s="56" t="s">
        <v>117</v>
      </c>
      <c r="E14" s="58"/>
      <c r="F14" s="59"/>
      <c r="G14" s="56" t="s">
        <v>101</v>
      </c>
      <c r="H14" s="60">
        <f>Tariefopbouw1</f>
        <v>0</v>
      </c>
    </row>
    <row r="15" spans="1:8" x14ac:dyDescent="0.2">
      <c r="A15" s="56" t="s">
        <v>118</v>
      </c>
      <c r="B15" s="57" t="s">
        <v>99</v>
      </c>
      <c r="C15" s="56">
        <v>51</v>
      </c>
      <c r="D15" s="56" t="s">
        <v>119</v>
      </c>
      <c r="E15" s="58"/>
      <c r="F15" s="59"/>
      <c r="G15" s="56" t="s">
        <v>101</v>
      </c>
      <c r="H15" s="60">
        <f>Tariefopbouw1</f>
        <v>0</v>
      </c>
    </row>
    <row r="16" spans="1:8" x14ac:dyDescent="0.2">
      <c r="A16" s="56" t="s">
        <v>120</v>
      </c>
      <c r="B16" s="57" t="s">
        <v>99</v>
      </c>
      <c r="C16" s="56">
        <v>1</v>
      </c>
      <c r="D16" s="56" t="s">
        <v>121</v>
      </c>
      <c r="E16" s="58"/>
      <c r="F16" s="59"/>
      <c r="G16" s="56" t="s">
        <v>101</v>
      </c>
      <c r="H16" s="60">
        <f>Tariefopbouw1</f>
        <v>0</v>
      </c>
    </row>
    <row r="17" spans="1:8" x14ac:dyDescent="0.2">
      <c r="A17" s="56" t="s">
        <v>120</v>
      </c>
      <c r="B17" s="57" t="s">
        <v>99</v>
      </c>
      <c r="C17" s="56">
        <v>51</v>
      </c>
      <c r="D17" s="56" t="s">
        <v>122</v>
      </c>
      <c r="E17" s="58"/>
      <c r="F17" s="59"/>
      <c r="G17" s="56" t="s">
        <v>101</v>
      </c>
      <c r="H17" s="60">
        <f>Tariefopbouw1</f>
        <v>0</v>
      </c>
    </row>
    <row r="18" spans="1:8" x14ac:dyDescent="0.2">
      <c r="A18" s="56" t="s">
        <v>123</v>
      </c>
      <c r="B18" s="57" t="s">
        <v>99</v>
      </c>
      <c r="C18" s="56">
        <v>1</v>
      </c>
      <c r="D18" s="56" t="s">
        <v>124</v>
      </c>
      <c r="E18" s="58"/>
      <c r="F18" s="59"/>
      <c r="G18" s="56" t="s">
        <v>101</v>
      </c>
      <c r="H18" s="60">
        <f>Tariefopbouw1</f>
        <v>0</v>
      </c>
    </row>
    <row r="19" spans="1:8" x14ac:dyDescent="0.2">
      <c r="A19" s="56" t="s">
        <v>125</v>
      </c>
      <c r="B19" s="57" t="s">
        <v>99</v>
      </c>
      <c r="C19" s="56">
        <v>51</v>
      </c>
      <c r="D19" s="56" t="s">
        <v>126</v>
      </c>
      <c r="E19" s="58"/>
      <c r="F19" s="59"/>
      <c r="G19" s="56" t="s">
        <v>101</v>
      </c>
      <c r="H19" s="60">
        <f>Tariefopbouw1</f>
        <v>0</v>
      </c>
    </row>
    <row r="20" spans="1:8" x14ac:dyDescent="0.2">
      <c r="A20" s="56" t="s">
        <v>127</v>
      </c>
      <c r="B20" s="57" t="s">
        <v>99</v>
      </c>
      <c r="C20" s="56">
        <v>1</v>
      </c>
      <c r="D20" s="56" t="s">
        <v>128</v>
      </c>
      <c r="E20" s="58"/>
      <c r="F20" s="59"/>
      <c r="G20" s="56" t="s">
        <v>101</v>
      </c>
      <c r="H20" s="60">
        <f>Tariefopbouw1</f>
        <v>0</v>
      </c>
    </row>
    <row r="21" spans="1:8" x14ac:dyDescent="0.2">
      <c r="A21" s="56" t="s">
        <v>129</v>
      </c>
      <c r="B21" s="57" t="s">
        <v>99</v>
      </c>
      <c r="C21" s="56">
        <v>51</v>
      </c>
      <c r="D21" s="56" t="s">
        <v>130</v>
      </c>
      <c r="E21" s="58"/>
      <c r="F21" s="59"/>
      <c r="G21" s="56" t="s">
        <v>101</v>
      </c>
      <c r="H21" s="60">
        <f>Tariefopbouw1</f>
        <v>0</v>
      </c>
    </row>
    <row r="22" spans="1:8" x14ac:dyDescent="0.2">
      <c r="A22" s="56" t="s">
        <v>131</v>
      </c>
      <c r="B22" s="57" t="s">
        <v>99</v>
      </c>
      <c r="C22" s="56">
        <v>1</v>
      </c>
      <c r="D22" s="56" t="s">
        <v>132</v>
      </c>
      <c r="E22" s="58"/>
      <c r="F22" s="59"/>
      <c r="G22" s="56" t="s">
        <v>101</v>
      </c>
      <c r="H22" s="60">
        <f>Tariefopbouw1</f>
        <v>0</v>
      </c>
    </row>
    <row r="23" spans="1:8" x14ac:dyDescent="0.2">
      <c r="A23" s="56" t="s">
        <v>133</v>
      </c>
      <c r="B23" s="57" t="s">
        <v>99</v>
      </c>
      <c r="C23" s="56">
        <v>51</v>
      </c>
      <c r="D23" s="56" t="s">
        <v>134</v>
      </c>
      <c r="E23" s="58"/>
      <c r="F23" s="59"/>
      <c r="G23" s="56" t="s">
        <v>101</v>
      </c>
      <c r="H23" s="60">
        <f>Tariefopbouw1</f>
        <v>0</v>
      </c>
    </row>
    <row r="24" spans="1:8" x14ac:dyDescent="0.2">
      <c r="A24" s="56" t="s">
        <v>135</v>
      </c>
      <c r="B24" s="57" t="s">
        <v>136</v>
      </c>
      <c r="C24" s="56">
        <v>1</v>
      </c>
      <c r="D24" s="56" t="s">
        <v>137</v>
      </c>
      <c r="E24" s="58"/>
      <c r="F24" s="59"/>
      <c r="G24" s="56" t="s">
        <v>101</v>
      </c>
      <c r="H24" s="60">
        <f>Tariefopbouw1</f>
        <v>0</v>
      </c>
    </row>
    <row r="25" spans="1:8" x14ac:dyDescent="0.2">
      <c r="A25" s="56" t="s">
        <v>138</v>
      </c>
      <c r="B25" s="57" t="s">
        <v>136</v>
      </c>
      <c r="C25" s="56">
        <v>51</v>
      </c>
      <c r="D25" s="56" t="s">
        <v>139</v>
      </c>
      <c r="E25" s="58"/>
      <c r="F25" s="59"/>
      <c r="G25" s="56" t="s">
        <v>101</v>
      </c>
      <c r="H25" s="60">
        <f>Tariefopbouw1</f>
        <v>0</v>
      </c>
    </row>
    <row r="26" spans="1:8" x14ac:dyDescent="0.2">
      <c r="A26" s="56" t="s">
        <v>140</v>
      </c>
      <c r="B26" s="57" t="s">
        <v>141</v>
      </c>
      <c r="C26" s="56">
        <v>1</v>
      </c>
      <c r="D26" s="56" t="s">
        <v>142</v>
      </c>
      <c r="E26" s="58"/>
      <c r="F26" s="59"/>
      <c r="G26" s="56" t="s">
        <v>101</v>
      </c>
      <c r="H26" s="60">
        <f>Tariefopbouw1</f>
        <v>0</v>
      </c>
    </row>
    <row r="27" spans="1:8" x14ac:dyDescent="0.2">
      <c r="A27" s="56" t="s">
        <v>143</v>
      </c>
      <c r="B27" s="57" t="s">
        <v>141</v>
      </c>
      <c r="C27" s="56">
        <v>51</v>
      </c>
      <c r="D27" s="56" t="s">
        <v>144</v>
      </c>
      <c r="E27" s="58"/>
      <c r="F27" s="59"/>
      <c r="G27" s="56" t="s">
        <v>101</v>
      </c>
      <c r="H27" s="60">
        <f>Tariefopbouw1</f>
        <v>0</v>
      </c>
    </row>
    <row r="28" spans="1:8" x14ac:dyDescent="0.2">
      <c r="A28" s="56" t="s">
        <v>145</v>
      </c>
      <c r="B28" s="57" t="s">
        <v>141</v>
      </c>
      <c r="C28" s="56">
        <v>1</v>
      </c>
      <c r="D28" s="56" t="s">
        <v>146</v>
      </c>
      <c r="E28" s="58"/>
      <c r="F28" s="59"/>
      <c r="G28" s="56" t="s">
        <v>101</v>
      </c>
      <c r="H28" s="60">
        <f>Tariefopbouw1</f>
        <v>0</v>
      </c>
    </row>
    <row r="29" spans="1:8" x14ac:dyDescent="0.2">
      <c r="A29" s="56" t="s">
        <v>147</v>
      </c>
      <c r="B29" s="57" t="s">
        <v>141</v>
      </c>
      <c r="C29" s="56">
        <v>51</v>
      </c>
      <c r="D29" s="56" t="s">
        <v>148</v>
      </c>
      <c r="E29" s="58"/>
      <c r="F29" s="59"/>
      <c r="G29" s="56" t="s">
        <v>101</v>
      </c>
      <c r="H29" s="60">
        <f>Tariefopbouw1</f>
        <v>0</v>
      </c>
    </row>
    <row r="30" spans="1:8" x14ac:dyDescent="0.2">
      <c r="A30" s="56" t="s">
        <v>149</v>
      </c>
      <c r="B30" s="57" t="s">
        <v>141</v>
      </c>
      <c r="C30" s="56">
        <v>1</v>
      </c>
      <c r="D30" s="56" t="s">
        <v>150</v>
      </c>
      <c r="E30" s="58"/>
      <c r="F30" s="59"/>
      <c r="G30" s="56" t="s">
        <v>101</v>
      </c>
      <c r="H30" s="60">
        <f>Tariefopbouw1</f>
        <v>0</v>
      </c>
    </row>
    <row r="31" spans="1:8" x14ac:dyDescent="0.2">
      <c r="A31" s="56" t="s">
        <v>151</v>
      </c>
      <c r="B31" s="57" t="s">
        <v>141</v>
      </c>
      <c r="C31" s="56">
        <v>51</v>
      </c>
      <c r="D31" s="56" t="s">
        <v>152</v>
      </c>
      <c r="E31" s="58"/>
      <c r="F31" s="59"/>
      <c r="G31" s="56" t="s">
        <v>101</v>
      </c>
      <c r="H31" s="60">
        <f>Tariefopbouw1</f>
        <v>0</v>
      </c>
    </row>
    <row r="32" spans="1:8" x14ac:dyDescent="0.2">
      <c r="A32" s="56" t="s">
        <v>153</v>
      </c>
      <c r="B32" s="57" t="s">
        <v>141</v>
      </c>
      <c r="C32" s="56">
        <v>1</v>
      </c>
      <c r="D32" s="56" t="s">
        <v>154</v>
      </c>
      <c r="E32" s="58"/>
      <c r="F32" s="59"/>
      <c r="G32" s="56" t="s">
        <v>101</v>
      </c>
      <c r="H32" s="60">
        <f>Tariefopbouw1</f>
        <v>0</v>
      </c>
    </row>
    <row r="33" spans="1:8" x14ac:dyDescent="0.2">
      <c r="A33" s="56" t="s">
        <v>155</v>
      </c>
      <c r="B33" s="57" t="s">
        <v>141</v>
      </c>
      <c r="C33" s="56">
        <v>51</v>
      </c>
      <c r="D33" s="56" t="s">
        <v>156</v>
      </c>
      <c r="E33" s="58"/>
      <c r="F33" s="59"/>
      <c r="G33" s="56" t="s">
        <v>101</v>
      </c>
      <c r="H33" s="60">
        <f>Tariefopbouw1</f>
        <v>0</v>
      </c>
    </row>
    <row r="34" spans="1:8" x14ac:dyDescent="0.2">
      <c r="A34" s="56" t="s">
        <v>157</v>
      </c>
      <c r="B34" s="57" t="s">
        <v>158</v>
      </c>
      <c r="C34" s="56">
        <v>1</v>
      </c>
      <c r="D34" s="56" t="s">
        <v>159</v>
      </c>
      <c r="E34" s="58"/>
      <c r="F34" s="59"/>
      <c r="G34" s="56" t="s">
        <v>101</v>
      </c>
      <c r="H34" s="60">
        <f>Tariefopbouw1</f>
        <v>0</v>
      </c>
    </row>
    <row r="35" spans="1:8" x14ac:dyDescent="0.2">
      <c r="A35" s="56" t="s">
        <v>160</v>
      </c>
      <c r="B35" s="57" t="s">
        <v>158</v>
      </c>
      <c r="C35" s="56">
        <v>51</v>
      </c>
      <c r="D35" s="56" t="s">
        <v>161</v>
      </c>
      <c r="E35" s="58"/>
      <c r="F35" s="59"/>
      <c r="G35" s="56" t="s">
        <v>101</v>
      </c>
      <c r="H35" s="60">
        <f>Tariefopbouw1</f>
        <v>0</v>
      </c>
    </row>
    <row r="36" spans="1:8" x14ac:dyDescent="0.2">
      <c r="A36" s="56" t="s">
        <v>162</v>
      </c>
      <c r="B36" s="57" t="s">
        <v>158</v>
      </c>
      <c r="C36" s="56">
        <v>1</v>
      </c>
      <c r="D36" s="56" t="s">
        <v>163</v>
      </c>
      <c r="E36" s="58"/>
      <c r="F36" s="59"/>
      <c r="G36" s="56" t="s">
        <v>101</v>
      </c>
      <c r="H36" s="60">
        <f>Tariefopbouw1</f>
        <v>0</v>
      </c>
    </row>
    <row r="37" spans="1:8" x14ac:dyDescent="0.2">
      <c r="A37" s="56" t="s">
        <v>164</v>
      </c>
      <c r="B37" s="57" t="s">
        <v>158</v>
      </c>
      <c r="C37" s="56">
        <v>51</v>
      </c>
      <c r="D37" s="56" t="s">
        <v>165</v>
      </c>
      <c r="E37" s="58"/>
      <c r="F37" s="59"/>
      <c r="G37" s="56" t="s">
        <v>101</v>
      </c>
      <c r="H37" s="60">
        <f>Tariefopbouw1</f>
        <v>0</v>
      </c>
    </row>
    <row r="38" spans="1:8" x14ac:dyDescent="0.2">
      <c r="A38" s="56" t="s">
        <v>166</v>
      </c>
      <c r="B38" s="57" t="s">
        <v>158</v>
      </c>
      <c r="C38" s="56">
        <v>1</v>
      </c>
      <c r="D38" s="56" t="s">
        <v>167</v>
      </c>
      <c r="E38" s="58"/>
      <c r="F38" s="59"/>
      <c r="G38" s="56" t="s">
        <v>101</v>
      </c>
      <c r="H38" s="60">
        <f>Tariefopbouw1</f>
        <v>0</v>
      </c>
    </row>
    <row r="39" spans="1:8" x14ac:dyDescent="0.2">
      <c r="A39" s="56" t="s">
        <v>168</v>
      </c>
      <c r="B39" s="57" t="s">
        <v>158</v>
      </c>
      <c r="C39" s="56">
        <v>51</v>
      </c>
      <c r="D39" s="56" t="s">
        <v>169</v>
      </c>
      <c r="E39" s="58"/>
      <c r="F39" s="59"/>
      <c r="G39" s="56" t="s">
        <v>101</v>
      </c>
      <c r="H39" s="60">
        <f>Tariefopbouw1</f>
        <v>0</v>
      </c>
    </row>
    <row r="40" spans="1:8" x14ac:dyDescent="0.2">
      <c r="A40" s="56" t="s">
        <v>170</v>
      </c>
      <c r="B40" s="57" t="s">
        <v>158</v>
      </c>
      <c r="C40" s="56">
        <v>1</v>
      </c>
      <c r="D40" s="56" t="s">
        <v>171</v>
      </c>
      <c r="E40" s="58"/>
      <c r="F40" s="59"/>
      <c r="G40" s="56" t="s">
        <v>101</v>
      </c>
      <c r="H40" s="60">
        <f>Tariefopbouw1</f>
        <v>0</v>
      </c>
    </row>
    <row r="41" spans="1:8" x14ac:dyDescent="0.2">
      <c r="A41" s="56" t="s">
        <v>172</v>
      </c>
      <c r="B41" s="57" t="s">
        <v>158</v>
      </c>
      <c r="C41" s="56">
        <v>51</v>
      </c>
      <c r="D41" s="56" t="s">
        <v>173</v>
      </c>
      <c r="E41" s="58"/>
      <c r="F41" s="59"/>
      <c r="G41" s="56" t="s">
        <v>101</v>
      </c>
      <c r="H41" s="60">
        <f>Tariefopbouw1</f>
        <v>0</v>
      </c>
    </row>
    <row r="42" spans="1:8" x14ac:dyDescent="0.2">
      <c r="A42" s="56" t="s">
        <v>174</v>
      </c>
      <c r="B42" s="57" t="s">
        <v>158</v>
      </c>
      <c r="C42" s="56">
        <v>1</v>
      </c>
      <c r="D42" s="56" t="s">
        <v>175</v>
      </c>
      <c r="E42" s="58"/>
      <c r="F42" s="59"/>
      <c r="G42" s="56" t="s">
        <v>101</v>
      </c>
      <c r="H42" s="60">
        <f>Tariefopbouw1</f>
        <v>0</v>
      </c>
    </row>
    <row r="43" spans="1:8" x14ac:dyDescent="0.2">
      <c r="A43" s="56" t="s">
        <v>176</v>
      </c>
      <c r="B43" s="57" t="s">
        <v>158</v>
      </c>
      <c r="C43" s="56">
        <v>51</v>
      </c>
      <c r="D43" s="56" t="s">
        <v>177</v>
      </c>
      <c r="E43" s="58"/>
      <c r="F43" s="59"/>
      <c r="G43" s="56" t="s">
        <v>101</v>
      </c>
      <c r="H43" s="60">
        <f>Tariefopbouw1</f>
        <v>0</v>
      </c>
    </row>
    <row r="44" spans="1:8" x14ac:dyDescent="0.2">
      <c r="A44" s="56" t="s">
        <v>178</v>
      </c>
      <c r="B44" s="57" t="s">
        <v>158</v>
      </c>
      <c r="C44" s="56">
        <v>1</v>
      </c>
      <c r="D44" s="56" t="s">
        <v>179</v>
      </c>
      <c r="E44" s="58"/>
      <c r="F44" s="59"/>
      <c r="G44" s="56" t="s">
        <v>101</v>
      </c>
      <c r="H44" s="60">
        <f>Tariefopbouw1</f>
        <v>0</v>
      </c>
    </row>
    <row r="45" spans="1:8" x14ac:dyDescent="0.2">
      <c r="A45" s="56" t="s">
        <v>180</v>
      </c>
      <c r="B45" s="57" t="s">
        <v>158</v>
      </c>
      <c r="C45" s="56">
        <v>51</v>
      </c>
      <c r="D45" s="56" t="s">
        <v>181</v>
      </c>
      <c r="E45" s="58"/>
      <c r="F45" s="59"/>
      <c r="G45" s="56" t="s">
        <v>101</v>
      </c>
      <c r="H45" s="60">
        <f>Tariefopbouw1</f>
        <v>0</v>
      </c>
    </row>
    <row r="46" spans="1:8" x14ac:dyDescent="0.2">
      <c r="A46" s="56" t="s">
        <v>182</v>
      </c>
      <c r="B46" s="57" t="s">
        <v>158</v>
      </c>
      <c r="C46" s="56">
        <v>1</v>
      </c>
      <c r="D46" s="56" t="s">
        <v>183</v>
      </c>
      <c r="E46" s="58"/>
      <c r="F46" s="59"/>
      <c r="G46" s="56" t="s">
        <v>101</v>
      </c>
      <c r="H46" s="60">
        <f>Tariefopbouw1</f>
        <v>0</v>
      </c>
    </row>
    <row r="47" spans="1:8" x14ac:dyDescent="0.2">
      <c r="A47" s="56" t="s">
        <v>184</v>
      </c>
      <c r="B47" s="57" t="s">
        <v>158</v>
      </c>
      <c r="C47" s="56">
        <v>51</v>
      </c>
      <c r="D47" s="56" t="s">
        <v>185</v>
      </c>
      <c r="E47" s="58"/>
      <c r="F47" s="59"/>
      <c r="G47" s="56" t="s">
        <v>101</v>
      </c>
      <c r="H47" s="60">
        <f>Tariefopbouw1</f>
        <v>0</v>
      </c>
    </row>
    <row r="48" spans="1:8" x14ac:dyDescent="0.2">
      <c r="A48" s="56" t="s">
        <v>186</v>
      </c>
      <c r="B48" s="57" t="s">
        <v>158</v>
      </c>
      <c r="C48" s="56">
        <v>1</v>
      </c>
      <c r="D48" s="56" t="s">
        <v>187</v>
      </c>
      <c r="E48" s="58"/>
      <c r="F48" s="59"/>
      <c r="G48" s="56" t="s">
        <v>101</v>
      </c>
      <c r="H48" s="60">
        <f>Tariefopbouw1</f>
        <v>0</v>
      </c>
    </row>
    <row r="49" spans="1:8" x14ac:dyDescent="0.2">
      <c r="A49" s="56" t="s">
        <v>188</v>
      </c>
      <c r="B49" s="57" t="s">
        <v>158</v>
      </c>
      <c r="C49" s="56">
        <v>51</v>
      </c>
      <c r="D49" s="56" t="s">
        <v>189</v>
      </c>
      <c r="E49" s="58"/>
      <c r="F49" s="59"/>
      <c r="G49" s="56" t="s">
        <v>101</v>
      </c>
      <c r="H49" s="60">
        <f>Tariefopbouw1</f>
        <v>0</v>
      </c>
    </row>
    <row r="50" spans="1:8" x14ac:dyDescent="0.2">
      <c r="A50" s="56" t="s">
        <v>190</v>
      </c>
      <c r="B50" s="57" t="s">
        <v>158</v>
      </c>
      <c r="C50" s="56">
        <v>1</v>
      </c>
      <c r="D50" s="56" t="s">
        <v>191</v>
      </c>
      <c r="E50" s="58"/>
      <c r="F50" s="59"/>
      <c r="G50" s="56" t="s">
        <v>101</v>
      </c>
      <c r="H50" s="60">
        <f>Tariefopbouw1</f>
        <v>0</v>
      </c>
    </row>
    <row r="51" spans="1:8" x14ac:dyDescent="0.2">
      <c r="A51" s="56" t="s">
        <v>192</v>
      </c>
      <c r="B51" s="57" t="s">
        <v>158</v>
      </c>
      <c r="C51" s="56">
        <v>51</v>
      </c>
      <c r="D51" s="56" t="s">
        <v>193</v>
      </c>
      <c r="E51" s="58"/>
      <c r="F51" s="59"/>
      <c r="G51" s="56" t="s">
        <v>101</v>
      </c>
      <c r="H51" s="60">
        <f>Tariefopbouw1</f>
        <v>0</v>
      </c>
    </row>
    <row r="52" spans="1:8" x14ac:dyDescent="0.2">
      <c r="A52" s="56" t="s">
        <v>194</v>
      </c>
      <c r="B52" s="57" t="s">
        <v>158</v>
      </c>
      <c r="C52" s="56">
        <v>1</v>
      </c>
      <c r="D52" s="56" t="s">
        <v>195</v>
      </c>
      <c r="E52" s="58"/>
      <c r="F52" s="59"/>
      <c r="G52" s="56" t="s">
        <v>101</v>
      </c>
      <c r="H52" s="60">
        <f>Tariefopbouw1</f>
        <v>0</v>
      </c>
    </row>
    <row r="53" spans="1:8" x14ac:dyDescent="0.2">
      <c r="A53" s="56" t="s">
        <v>196</v>
      </c>
      <c r="B53" s="57" t="s">
        <v>158</v>
      </c>
      <c r="C53" s="56">
        <v>51</v>
      </c>
      <c r="D53" s="56" t="s">
        <v>197</v>
      </c>
      <c r="E53" s="58"/>
      <c r="F53" s="59"/>
      <c r="G53" s="56" t="s">
        <v>101</v>
      </c>
      <c r="H53" s="60">
        <f>Tariefopbouw1</f>
        <v>0</v>
      </c>
    </row>
    <row r="54" spans="1:8" x14ac:dyDescent="0.2">
      <c r="A54" s="56" t="s">
        <v>198</v>
      </c>
      <c r="B54" s="57" t="s">
        <v>158</v>
      </c>
      <c r="C54" s="56">
        <v>1</v>
      </c>
      <c r="D54" s="56" t="s">
        <v>199</v>
      </c>
      <c r="E54" s="58"/>
      <c r="F54" s="59"/>
      <c r="G54" s="56" t="s">
        <v>101</v>
      </c>
      <c r="H54" s="60">
        <f>Tariefopbouw1</f>
        <v>0</v>
      </c>
    </row>
    <row r="55" spans="1:8" x14ac:dyDescent="0.2">
      <c r="A55" s="56" t="s">
        <v>200</v>
      </c>
      <c r="B55" s="57" t="s">
        <v>158</v>
      </c>
      <c r="C55" s="56">
        <v>51</v>
      </c>
      <c r="D55" s="56" t="s">
        <v>201</v>
      </c>
      <c r="E55" s="58"/>
      <c r="F55" s="59"/>
      <c r="G55" s="56" t="s">
        <v>101</v>
      </c>
      <c r="H55" s="60">
        <f>Tariefopbouw1</f>
        <v>0</v>
      </c>
    </row>
    <row r="56" spans="1:8" x14ac:dyDescent="0.2">
      <c r="A56" s="56" t="s">
        <v>202</v>
      </c>
      <c r="B56" s="57" t="s">
        <v>158</v>
      </c>
      <c r="C56" s="56">
        <v>51</v>
      </c>
      <c r="D56" s="56" t="s">
        <v>203</v>
      </c>
      <c r="E56" s="58"/>
      <c r="F56" s="59"/>
      <c r="G56" s="56" t="s">
        <v>101</v>
      </c>
      <c r="H56" s="60">
        <f>Tariefopbouw1</f>
        <v>0</v>
      </c>
    </row>
    <row r="57" spans="1:8" x14ac:dyDescent="0.2">
      <c r="A57" s="56" t="s">
        <v>204</v>
      </c>
      <c r="B57" s="57" t="s">
        <v>158</v>
      </c>
      <c r="C57" s="56">
        <v>1</v>
      </c>
      <c r="D57" s="56" t="s">
        <v>205</v>
      </c>
      <c r="E57" s="58"/>
      <c r="F57" s="59"/>
      <c r="G57" s="56" t="s">
        <v>101</v>
      </c>
      <c r="H57" s="60">
        <f>Tariefopbouw1</f>
        <v>0</v>
      </c>
    </row>
    <row r="58" spans="1:8" x14ac:dyDescent="0.2">
      <c r="A58" s="56" t="s">
        <v>206</v>
      </c>
      <c r="B58" s="57" t="s">
        <v>158</v>
      </c>
      <c r="C58" s="56">
        <v>51</v>
      </c>
      <c r="D58" s="56" t="s">
        <v>207</v>
      </c>
      <c r="E58" s="58"/>
      <c r="F58" s="59"/>
      <c r="G58" s="56" t="s">
        <v>101</v>
      </c>
      <c r="H58" s="60">
        <f>Tariefopbouw1</f>
        <v>0</v>
      </c>
    </row>
    <row r="59" spans="1:8" x14ac:dyDescent="0.2">
      <c r="A59" s="56" t="s">
        <v>208</v>
      </c>
      <c r="B59" s="57" t="s">
        <v>158</v>
      </c>
      <c r="C59" s="56">
        <v>1</v>
      </c>
      <c r="D59" s="56" t="s">
        <v>209</v>
      </c>
      <c r="E59" s="58"/>
      <c r="F59" s="59"/>
      <c r="G59" s="56" t="s">
        <v>101</v>
      </c>
      <c r="H59" s="60">
        <f>Tariefopbouw1</f>
        <v>0</v>
      </c>
    </row>
    <row r="60" spans="1:8" x14ac:dyDescent="0.2">
      <c r="A60" s="56" t="s">
        <v>210</v>
      </c>
      <c r="B60" s="57" t="s">
        <v>158</v>
      </c>
      <c r="C60" s="56">
        <v>51</v>
      </c>
      <c r="D60" s="56" t="s">
        <v>211</v>
      </c>
      <c r="E60" s="58"/>
      <c r="F60" s="59"/>
      <c r="G60" s="56" t="s">
        <v>101</v>
      </c>
      <c r="H60" s="60">
        <f>Tariefopbouw1</f>
        <v>0</v>
      </c>
    </row>
    <row r="61" spans="1:8" x14ac:dyDescent="0.2">
      <c r="A61" s="56" t="s">
        <v>212</v>
      </c>
      <c r="B61" s="57" t="s">
        <v>158</v>
      </c>
      <c r="C61" s="56">
        <v>1</v>
      </c>
      <c r="D61" s="56" t="s">
        <v>213</v>
      </c>
      <c r="E61" s="58"/>
      <c r="F61" s="59"/>
      <c r="G61" s="56" t="s">
        <v>101</v>
      </c>
      <c r="H61" s="60">
        <f>Tariefopbouw1</f>
        <v>0</v>
      </c>
    </row>
    <row r="62" spans="1:8" x14ac:dyDescent="0.2">
      <c r="A62" s="56" t="s">
        <v>214</v>
      </c>
      <c r="B62" s="57" t="s">
        <v>158</v>
      </c>
      <c r="C62" s="56">
        <v>51</v>
      </c>
      <c r="D62" s="56" t="s">
        <v>215</v>
      </c>
      <c r="E62" s="58"/>
      <c r="F62" s="59"/>
      <c r="G62" s="56" t="s">
        <v>101</v>
      </c>
      <c r="H62" s="60">
        <f>Tariefopbouw1</f>
        <v>0</v>
      </c>
    </row>
    <row r="63" spans="1:8" x14ac:dyDescent="0.2">
      <c r="A63" s="56" t="s">
        <v>216</v>
      </c>
      <c r="B63" s="57" t="s">
        <v>158</v>
      </c>
      <c r="C63" s="56">
        <v>1</v>
      </c>
      <c r="D63" s="56" t="s">
        <v>213</v>
      </c>
      <c r="E63" s="58"/>
      <c r="F63" s="59"/>
      <c r="G63" s="56" t="s">
        <v>101</v>
      </c>
      <c r="H63" s="60">
        <f>Tariefopbouw1</f>
        <v>0</v>
      </c>
    </row>
    <row r="64" spans="1:8" x14ac:dyDescent="0.2">
      <c r="A64" s="56" t="s">
        <v>217</v>
      </c>
      <c r="B64" s="57" t="s">
        <v>158</v>
      </c>
      <c r="C64" s="56">
        <v>51</v>
      </c>
      <c r="D64" s="56" t="s">
        <v>215</v>
      </c>
      <c r="E64" s="58"/>
      <c r="F64" s="59"/>
      <c r="G64" s="56" t="s">
        <v>101</v>
      </c>
      <c r="H64" s="60">
        <f>Tariefopbouw1</f>
        <v>0</v>
      </c>
    </row>
    <row r="65" spans="1:8" x14ac:dyDescent="0.2">
      <c r="A65" s="56" t="s">
        <v>218</v>
      </c>
      <c r="B65" s="57" t="s">
        <v>158</v>
      </c>
      <c r="C65" s="56">
        <v>1</v>
      </c>
      <c r="D65" s="56" t="s">
        <v>219</v>
      </c>
      <c r="E65" s="58"/>
      <c r="F65" s="59"/>
      <c r="G65" s="56" t="s">
        <v>101</v>
      </c>
      <c r="H65" s="60">
        <f>Tariefopbouw1</f>
        <v>0</v>
      </c>
    </row>
    <row r="66" spans="1:8" x14ac:dyDescent="0.2">
      <c r="A66" s="56" t="s">
        <v>220</v>
      </c>
      <c r="B66" s="57" t="s">
        <v>158</v>
      </c>
      <c r="C66" s="56">
        <v>51</v>
      </c>
      <c r="D66" s="56" t="s">
        <v>221</v>
      </c>
      <c r="E66" s="58"/>
      <c r="F66" s="59"/>
      <c r="G66" s="56" t="s">
        <v>101</v>
      </c>
      <c r="H66" s="60">
        <f>Tariefopbouw1</f>
        <v>0</v>
      </c>
    </row>
    <row r="67" spans="1:8" x14ac:dyDescent="0.2">
      <c r="A67" s="56" t="s">
        <v>222</v>
      </c>
      <c r="B67" s="57" t="s">
        <v>158</v>
      </c>
      <c r="C67" s="56">
        <v>1</v>
      </c>
      <c r="D67" s="56" t="s">
        <v>223</v>
      </c>
      <c r="E67" s="58"/>
      <c r="F67" s="59"/>
      <c r="G67" s="56" t="s">
        <v>101</v>
      </c>
      <c r="H67" s="60">
        <f>Tariefopbouw1</f>
        <v>0</v>
      </c>
    </row>
    <row r="68" spans="1:8" x14ac:dyDescent="0.2">
      <c r="A68" s="61" t="s">
        <v>224</v>
      </c>
      <c r="B68" s="62" t="s">
        <v>158</v>
      </c>
      <c r="C68" s="61">
        <v>51</v>
      </c>
      <c r="D68" s="61" t="s">
        <v>225</v>
      </c>
      <c r="E68" s="63"/>
      <c r="F68" s="64"/>
      <c r="G68" s="61" t="s">
        <v>101</v>
      </c>
      <c r="H68" s="65">
        <f>Tariefopbouw1</f>
        <v>0</v>
      </c>
    </row>
  </sheetData>
  <sheetProtection algorithmName="SHA-512" hashValue="ljuwQ8UryxOHtqMjrjur4t4IrR1DW7HGDnb+suEmRVcADbLSn5/XS0DXfdpdRrm+RoypK/L8r88+bMqp6jhXXw==" saltValue="hXH/wMe4XEaJwGVYlOG0LA==" spinCount="100000" sheet="1" objects="1" scenarios="1" autoFilter="0"/>
  <pageMargins left="0.7" right="0.7" top="0.75" bottom="0.75" header="0.3" footer="0.3"/>
  <pageSetup scale="70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7116-BB20-49F3-AB11-6148C790332F}">
  <dimension ref="A1:M8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7" width="11.6328125" customWidth="1"/>
    <col min="8" max="8" width="9.6328125" customWidth="1"/>
    <col min="9" max="11" width="11.6328125" customWidth="1"/>
    <col min="12" max="12" width="12.6328125" customWidth="1"/>
    <col min="13" max="13" width="14.6328125" customWidth="1"/>
  </cols>
  <sheetData>
    <row r="1" spans="1:13" x14ac:dyDescent="0.2">
      <c r="A1" s="1" t="str">
        <f>CONCATENATE("Bijlage H  .2: ",tabeltype," regulier werk")</f>
        <v>Bijlage H  .2: Invultabel regulier werk</v>
      </c>
    </row>
    <row r="3" spans="1:13" ht="37.799999999999997" x14ac:dyDescent="0.2">
      <c r="A3" s="44" t="s">
        <v>226</v>
      </c>
      <c r="B3" s="44" t="s">
        <v>7</v>
      </c>
      <c r="C3" s="44" t="s">
        <v>227</v>
      </c>
      <c r="D3" s="44" t="s">
        <v>92</v>
      </c>
      <c r="E3" s="44" t="s">
        <v>228</v>
      </c>
      <c r="F3" s="44" t="s">
        <v>229</v>
      </c>
      <c r="G3" s="44" t="s">
        <v>93</v>
      </c>
      <c r="H3" s="44" t="s">
        <v>95</v>
      </c>
      <c r="I3" s="44" t="s">
        <v>96</v>
      </c>
      <c r="J3" s="44" t="s">
        <v>230</v>
      </c>
      <c r="K3" s="44" t="s">
        <v>231</v>
      </c>
      <c r="L3" s="44" t="s">
        <v>232</v>
      </c>
      <c r="M3" s="44" t="s">
        <v>233</v>
      </c>
    </row>
    <row r="4" spans="1:13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">
      <c r="A6" s="51" t="s">
        <v>234</v>
      </c>
      <c r="B6" s="51" t="s">
        <v>21</v>
      </c>
      <c r="C6" s="51" t="s">
        <v>235</v>
      </c>
      <c r="D6" s="51" t="s">
        <v>236</v>
      </c>
      <c r="E6" s="66">
        <v>11.2</v>
      </c>
      <c r="F6" s="66">
        <f>E6*VLOOKUP(B6,dagsoorttabel1,2,FALSE)</f>
        <v>4.3076923076923075E-2</v>
      </c>
      <c r="G6" s="67">
        <f>IF(AND(catpn_1_BBHB_1&gt;0,catpn_1_BBZV_51&gt;0),(dagenperjaar1*VLOOKUP(B6,dagsoorttabel1,2,FALSE))/(((dagenperjaar1*VLOOKUP(B6,dagsoorttabel1,2,FALSE))-catfd_1_BBZV_51)/catpn_1_BBHB_1+catfd_1_BBZV_51/catpn_1_BBZV_51),0)</f>
        <v>0</v>
      </c>
      <c r="H6" s="51" t="s">
        <v>101</v>
      </c>
      <c r="I6" s="55">
        <f>IF(AND(catpn_1_BBHB_1&gt;0,catpn_1_BBZV_51&gt;0),(cattf_1_BBHB_1*((dagenperjaar1*VLOOKUP(B6,dagsoorttabel1,2,FALSE))-catfd_1_BBZV_51)/catpn_1_BBHB_1+cattf_1_BBZV_51*catfd_1_BBZV_51/catpn_1_BBZV_51)/(((dagenperjaar1*VLOOKUP(B6,dagsoorttabel1,2,FALSE))-catfd_1_BBZV_51)/catpn_1_BBHB_1+catfd_1_BBZV_51/catpn_1_BBZV_51),0)</f>
        <v>0</v>
      </c>
      <c r="J6" s="66">
        <f>IF(OR(ISBLANK(G6),G6=0),0,F6/ROUND(G6,4))</f>
        <v>0</v>
      </c>
      <c r="K6" s="55">
        <f>ROUND(I6,2)*J6</f>
        <v>0</v>
      </c>
      <c r="L6" s="66">
        <f>J6*dagenperjaar1</f>
        <v>0</v>
      </c>
      <c r="M6" s="55">
        <f>L6*ROUND(I6,2)</f>
        <v>0</v>
      </c>
    </row>
    <row r="7" spans="1:13" x14ac:dyDescent="0.2">
      <c r="A7" s="56" t="s">
        <v>234</v>
      </c>
      <c r="B7" s="56" t="s">
        <v>13</v>
      </c>
      <c r="C7" s="56" t="s">
        <v>235</v>
      </c>
      <c r="D7" s="56" t="s">
        <v>236</v>
      </c>
      <c r="E7" s="68">
        <v>27.910000000000004</v>
      </c>
      <c r="F7" s="68">
        <f>E7*VLOOKUP(B7,dagsoorttabel1,2,FALSE)</f>
        <v>5.5820000000000007</v>
      </c>
      <c r="G7" s="69">
        <f>IF(AND(catpn_1_BBHB_1&gt;0,catpn_1_BBZV_51&gt;0),(dagenperjaar1*VLOOKUP(B7,dagsoorttabel1,2,FALSE))/(((dagenperjaar1*VLOOKUP(B7,dagsoorttabel1,2,FALSE))-catfd_1_BBZV_51)/catpn_1_BBHB_1+catfd_1_BBZV_51/catpn_1_BBZV_51),0)</f>
        <v>0</v>
      </c>
      <c r="H7" s="56" t="s">
        <v>101</v>
      </c>
      <c r="I7" s="60">
        <f>IF(AND(catpn_1_BBHB_1&gt;0,catpn_1_BBZV_51&gt;0),(cattf_1_BBHB_1*((dagenperjaar1*VLOOKUP(B7,dagsoorttabel1,2,FALSE))-catfd_1_BBZV_51)/catpn_1_BBHB_1+cattf_1_BBZV_51*catfd_1_BBZV_51/catpn_1_BBZV_51)/(((dagenperjaar1*VLOOKUP(B7,dagsoorttabel1,2,FALSE))-catfd_1_BBZV_51)/catpn_1_BBHB_1+catfd_1_BBZV_51/catpn_1_BBZV_51),0)</f>
        <v>0</v>
      </c>
      <c r="J7" s="68">
        <f>IF(OR(ISBLANK(G7),G7=0),0,F7/ROUND(G7,4))</f>
        <v>0</v>
      </c>
      <c r="K7" s="60">
        <f>ROUND(I7,2)*J7</f>
        <v>0</v>
      </c>
      <c r="L7" s="68">
        <f>J7*dagenperjaar1</f>
        <v>0</v>
      </c>
      <c r="M7" s="60">
        <f>L7*ROUND(I7,2)</f>
        <v>0</v>
      </c>
    </row>
    <row r="8" spans="1:13" x14ac:dyDescent="0.2">
      <c r="A8" s="56" t="s">
        <v>237</v>
      </c>
      <c r="B8" s="56" t="s">
        <v>9</v>
      </c>
      <c r="C8" s="56" t="s">
        <v>235</v>
      </c>
      <c r="D8" s="56" t="s">
        <v>238</v>
      </c>
      <c r="E8" s="68">
        <v>40.92</v>
      </c>
      <c r="F8" s="68">
        <f>E8*VLOOKUP(B8,dagsoorttabel1,2,FALSE)</f>
        <v>40.92</v>
      </c>
      <c r="G8" s="69">
        <f>IF(AND(catpn_1_BCZB_1&gt;0,catpn_1_BCZV_51&gt;0),(dagenperjaar1*VLOOKUP(B8,dagsoorttabel1,2,FALSE))/(((dagenperjaar1*VLOOKUP(B8,dagsoorttabel1,2,FALSE))-catfd_1_BCZV_51)/catpn_1_BCZB_1+catfd_1_BCZV_51/catpn_1_BCZV_51),0)</f>
        <v>0</v>
      </c>
      <c r="H8" s="56" t="s">
        <v>101</v>
      </c>
      <c r="I8" s="60">
        <f>IF(AND(catpn_1_BCZB_1&gt;0,catpn_1_BCZV_51&gt;0),(cattf_1_BCZB_1*((dagenperjaar1*VLOOKUP(B8,dagsoorttabel1,2,FALSE))-catfd_1_BCZV_51)/catpn_1_BCZB_1+cattf_1_BCZV_51*catfd_1_BCZV_51/catpn_1_BCZV_51)/(((dagenperjaar1*VLOOKUP(B8,dagsoorttabel1,2,FALSE))-catfd_1_BCZV_51)/catpn_1_BCZB_1+catfd_1_BCZV_51/catpn_1_BCZV_51),0)</f>
        <v>0</v>
      </c>
      <c r="J8" s="68">
        <f>IF(OR(ISBLANK(G8),G8=0),0,F8/ROUND(G8,4))</f>
        <v>0</v>
      </c>
      <c r="K8" s="60">
        <f>ROUND(I8,2)*J8</f>
        <v>0</v>
      </c>
      <c r="L8" s="68">
        <f>J8*dagenperjaar1</f>
        <v>0</v>
      </c>
      <c r="M8" s="60">
        <f>L8*ROUND(I8,2)</f>
        <v>0</v>
      </c>
    </row>
    <row r="9" spans="1:13" x14ac:dyDescent="0.2">
      <c r="A9" s="56" t="s">
        <v>239</v>
      </c>
      <c r="B9" s="56" t="s">
        <v>13</v>
      </c>
      <c r="C9" s="56" t="s">
        <v>235</v>
      </c>
      <c r="D9" s="56" t="s">
        <v>240</v>
      </c>
      <c r="E9" s="68">
        <v>997.93999999999971</v>
      </c>
      <c r="F9" s="68">
        <f>E9*VLOOKUP(B9,dagsoorttabel1,2,FALSE)</f>
        <v>199.58799999999997</v>
      </c>
      <c r="G9" s="69">
        <f>IF(AND(catpn_1_BKHB_1&gt;0,catpn_1_BKHV_51&gt;0),(dagenperjaar1*VLOOKUP(B9,dagsoorttabel1,2,FALSE))/(((dagenperjaar1*VLOOKUP(B9,dagsoorttabel1,2,FALSE))-catfd_1_BKHV_51)/catpn_1_BKHB_1+catfd_1_BKHV_51/catpn_1_BKHV_51),0)</f>
        <v>0</v>
      </c>
      <c r="H9" s="56" t="s">
        <v>101</v>
      </c>
      <c r="I9" s="60">
        <f>IF(AND(catpn_1_BKHB_1&gt;0,catpn_1_BKHV_51&gt;0),(cattf_1_BKHB_1*((dagenperjaar1*VLOOKUP(B9,dagsoorttabel1,2,FALSE))-catfd_1_BKHV_51)/catpn_1_BKHB_1+cattf_1_BKHV_51*catfd_1_BKHV_51/catpn_1_BKHV_51)/(((dagenperjaar1*VLOOKUP(B9,dagsoorttabel1,2,FALSE))-catfd_1_BKHV_51)/catpn_1_BKHB_1+catfd_1_BKHV_51/catpn_1_BKHV_51),0)</f>
        <v>0</v>
      </c>
      <c r="J9" s="68">
        <f>IF(OR(ISBLANK(G9),G9=0),0,F9/ROUND(G9,4))</f>
        <v>0</v>
      </c>
      <c r="K9" s="60">
        <f>ROUND(I9,2)*J9</f>
        <v>0</v>
      </c>
      <c r="L9" s="68">
        <f>J9*dagenperjaar1</f>
        <v>0</v>
      </c>
      <c r="M9" s="60">
        <f>L9*ROUND(I9,2)</f>
        <v>0</v>
      </c>
    </row>
    <row r="10" spans="1:13" x14ac:dyDescent="0.2">
      <c r="A10" s="56" t="s">
        <v>239</v>
      </c>
      <c r="B10" s="56" t="s">
        <v>12</v>
      </c>
      <c r="C10" s="56" t="s">
        <v>235</v>
      </c>
      <c r="D10" s="56" t="s">
        <v>240</v>
      </c>
      <c r="E10" s="68">
        <v>74.300000000000011</v>
      </c>
      <c r="F10" s="68">
        <f>E10*VLOOKUP(B10,dagsoorttabel1,2,FALSE)</f>
        <v>29.720000000000006</v>
      </c>
      <c r="G10" s="69">
        <f>IF(AND(catpn_1_BKHB_1&gt;0,catpn_1_BKHV_51&gt;0),(dagenperjaar1*VLOOKUP(B10,dagsoorttabel1,2,FALSE))/(((dagenperjaar1*VLOOKUP(B10,dagsoorttabel1,2,FALSE))-catfd_1_BKHV_51)/catpn_1_BKHB_1+catfd_1_BKHV_51/catpn_1_BKHV_51),0)</f>
        <v>0</v>
      </c>
      <c r="H10" s="56" t="s">
        <v>101</v>
      </c>
      <c r="I10" s="60">
        <f>IF(AND(catpn_1_BKHB_1&gt;0,catpn_1_BKHV_51&gt;0),(cattf_1_BKHB_1*((dagenperjaar1*VLOOKUP(B10,dagsoorttabel1,2,FALSE))-catfd_1_BKHV_51)/catpn_1_BKHB_1+cattf_1_BKHV_51*catfd_1_BKHV_51/catpn_1_BKHV_51)/(((dagenperjaar1*VLOOKUP(B10,dagsoorttabel1,2,FALSE))-catfd_1_BKHV_51)/catpn_1_BKHB_1+catfd_1_BKHV_51/catpn_1_BKHV_51),0)</f>
        <v>0</v>
      </c>
      <c r="J10" s="68">
        <f>IF(OR(ISBLANK(G10),G10=0),0,F10/ROUND(G10,4))</f>
        <v>0</v>
      </c>
      <c r="K10" s="60">
        <f>ROUND(I10,2)*J10</f>
        <v>0</v>
      </c>
      <c r="L10" s="68">
        <f>J10*dagenperjaar1</f>
        <v>0</v>
      </c>
      <c r="M10" s="60">
        <f>L10*ROUND(I10,2)</f>
        <v>0</v>
      </c>
    </row>
    <row r="11" spans="1:13" x14ac:dyDescent="0.2">
      <c r="A11" s="56" t="s">
        <v>239</v>
      </c>
      <c r="B11" s="56" t="s">
        <v>9</v>
      </c>
      <c r="C11" s="56" t="s">
        <v>235</v>
      </c>
      <c r="D11" s="56" t="s">
        <v>240</v>
      </c>
      <c r="E11" s="68">
        <v>78.539999999999992</v>
      </c>
      <c r="F11" s="68">
        <f>E11*VLOOKUP(B11,dagsoorttabel1,2,FALSE)</f>
        <v>78.539999999999992</v>
      </c>
      <c r="G11" s="69">
        <f>IF(AND(catpn_1_BKHB_1&gt;0,catpn_1_BKHV_51&gt;0),(dagenperjaar1*VLOOKUP(B11,dagsoorttabel1,2,FALSE))/(((dagenperjaar1*VLOOKUP(B11,dagsoorttabel1,2,FALSE))-catfd_1_BKHV_51)/catpn_1_BKHB_1+catfd_1_BKHV_51/catpn_1_BKHV_51),0)</f>
        <v>0</v>
      </c>
      <c r="H11" s="56" t="s">
        <v>101</v>
      </c>
      <c r="I11" s="60">
        <f>IF(AND(catpn_1_BKHB_1&gt;0,catpn_1_BKHV_51&gt;0),(cattf_1_BKHB_1*((dagenperjaar1*VLOOKUP(B11,dagsoorttabel1,2,FALSE))-catfd_1_BKHV_51)/catpn_1_BKHB_1+cattf_1_BKHV_51*catfd_1_BKHV_51/catpn_1_BKHV_51)/(((dagenperjaar1*VLOOKUP(B11,dagsoorttabel1,2,FALSE))-catfd_1_BKHV_51)/catpn_1_BKHB_1+catfd_1_BKHV_51/catpn_1_BKHV_51),0)</f>
        <v>0</v>
      </c>
      <c r="J11" s="68">
        <f>IF(OR(ISBLANK(G11),G11=0),0,F11/ROUND(G11,4))</f>
        <v>0</v>
      </c>
      <c r="K11" s="60">
        <f>ROUND(I11,2)*J11</f>
        <v>0</v>
      </c>
      <c r="L11" s="68">
        <f>J11*dagenperjaar1</f>
        <v>0</v>
      </c>
      <c r="M11" s="60">
        <f>L11*ROUND(I11,2)</f>
        <v>0</v>
      </c>
    </row>
    <row r="12" spans="1:13" x14ac:dyDescent="0.2">
      <c r="A12" s="56" t="s">
        <v>241</v>
      </c>
      <c r="B12" s="56" t="s">
        <v>13</v>
      </c>
      <c r="C12" s="56" t="s">
        <v>235</v>
      </c>
      <c r="D12" s="56" t="s">
        <v>242</v>
      </c>
      <c r="E12" s="68">
        <v>595.70999999999992</v>
      </c>
      <c r="F12" s="68">
        <f>E12*VLOOKUP(B12,dagsoorttabel1,2,FALSE)</f>
        <v>119.142</v>
      </c>
      <c r="G12" s="69">
        <f>IF(AND(catpn_1_BKZB_1&gt;0,catpn_1_BKZV_51&gt;0),(dagenperjaar1*VLOOKUP(B12,dagsoorttabel1,2,FALSE))/(((dagenperjaar1*VLOOKUP(B12,dagsoorttabel1,2,FALSE))-catfd_1_BKZV_51)/catpn_1_BKZB_1+catfd_1_BKZV_51/catpn_1_BKZV_51),0)</f>
        <v>0</v>
      </c>
      <c r="H12" s="56" t="s">
        <v>101</v>
      </c>
      <c r="I12" s="60">
        <f>IF(AND(catpn_1_BKZB_1&gt;0,catpn_1_BKZV_51&gt;0),(cattf_1_BKZB_1*((dagenperjaar1*VLOOKUP(B12,dagsoorttabel1,2,FALSE))-catfd_1_BKZV_51)/catpn_1_BKZB_1+cattf_1_BKZV_51*catfd_1_BKZV_51/catpn_1_BKZV_51)/(((dagenperjaar1*VLOOKUP(B12,dagsoorttabel1,2,FALSE))-catfd_1_BKZV_51)/catpn_1_BKZB_1+catfd_1_BKZV_51/catpn_1_BKZV_51),0)</f>
        <v>0</v>
      </c>
      <c r="J12" s="68">
        <f>IF(OR(ISBLANK(G12),G12=0),0,F12/ROUND(G12,4))</f>
        <v>0</v>
      </c>
      <c r="K12" s="60">
        <f>ROUND(I12,2)*J12</f>
        <v>0</v>
      </c>
      <c r="L12" s="68">
        <f>J12*dagenperjaar1</f>
        <v>0</v>
      </c>
      <c r="M12" s="60">
        <f>L12*ROUND(I12,2)</f>
        <v>0</v>
      </c>
    </row>
    <row r="13" spans="1:13" x14ac:dyDescent="0.2">
      <c r="A13" s="56" t="s">
        <v>241</v>
      </c>
      <c r="B13" s="56" t="s">
        <v>9</v>
      </c>
      <c r="C13" s="56" t="s">
        <v>235</v>
      </c>
      <c r="D13" s="56" t="s">
        <v>243</v>
      </c>
      <c r="E13" s="68">
        <v>949.41</v>
      </c>
      <c r="F13" s="68">
        <f>E13*VLOOKUP(B13,dagsoorttabel1,2,FALSE)</f>
        <v>949.41</v>
      </c>
      <c r="G13" s="69">
        <f>IF(AND(catpn_1_BKZB_1&gt;0,catpn_1_BKZV_51&gt;0),(dagenperjaar1*VLOOKUP(B13,dagsoorttabel1,2,FALSE))/(((dagenperjaar1*VLOOKUP(B13,dagsoorttabel1,2,FALSE))-catfd_1_BKZV_51)/catpn_1_BKZB_1+catfd_1_BKZV_51/catpn_1_BKZV_51),0)</f>
        <v>0</v>
      </c>
      <c r="H13" s="56" t="s">
        <v>101</v>
      </c>
      <c r="I13" s="60">
        <f>IF(AND(catpn_1_BKZB_1&gt;0,catpn_1_BKZV_51&gt;0),(cattf_1_BKZB_1*((dagenperjaar1*VLOOKUP(B13,dagsoorttabel1,2,FALSE))-catfd_1_BKZV_51)/catpn_1_BKZB_1+cattf_1_BKZV_51*catfd_1_BKZV_51/catpn_1_BKZV_51)/(((dagenperjaar1*VLOOKUP(B13,dagsoorttabel1,2,FALSE))-catfd_1_BKZV_51)/catpn_1_BKZB_1+catfd_1_BKZV_51/catpn_1_BKZV_51),0)</f>
        <v>0</v>
      </c>
      <c r="J13" s="68">
        <f>IF(OR(ISBLANK(G13),G13=0),0,F13/ROUND(G13,4))</f>
        <v>0</v>
      </c>
      <c r="K13" s="60">
        <f>ROUND(I13,2)*J13</f>
        <v>0</v>
      </c>
      <c r="L13" s="68">
        <f>J13*dagenperjaar1</f>
        <v>0</v>
      </c>
      <c r="M13" s="60">
        <f>L13*ROUND(I13,2)</f>
        <v>0</v>
      </c>
    </row>
    <row r="14" spans="1:13" x14ac:dyDescent="0.2">
      <c r="A14" s="56" t="s">
        <v>244</v>
      </c>
      <c r="B14" s="56" t="s">
        <v>13</v>
      </c>
      <c r="C14" s="56" t="s">
        <v>235</v>
      </c>
      <c r="D14" s="56" t="s">
        <v>245</v>
      </c>
      <c r="E14" s="68">
        <v>10.199999999999999</v>
      </c>
      <c r="F14" s="68">
        <f>E14*VLOOKUP(B14,dagsoorttabel1,2,FALSE)</f>
        <v>2.04</v>
      </c>
      <c r="G14" s="69">
        <f>IF(AND(catpn_1_BRHB_1&gt;0,catpn_1_BRHV_51&gt;0),(dagenperjaar1*VLOOKUP(B14,dagsoorttabel1,2,FALSE))/(((dagenperjaar1*VLOOKUP(B14,dagsoorttabel1,2,FALSE))-catfd_1_BRHV_51)/catpn_1_BRHB_1+catfd_1_BRHV_51/catpn_1_BRHV_51),0)</f>
        <v>0</v>
      </c>
      <c r="H14" s="56" t="s">
        <v>101</v>
      </c>
      <c r="I14" s="60">
        <f>IF(AND(catpn_1_BRHB_1&gt;0,catpn_1_BRHV_51&gt;0),(cattf_1_BRHB_1*((dagenperjaar1*VLOOKUP(B14,dagsoorttabel1,2,FALSE))-catfd_1_BRHV_51)/catpn_1_BRHB_1+cattf_1_BRHV_51*catfd_1_BRHV_51/catpn_1_BRHV_51)/(((dagenperjaar1*VLOOKUP(B14,dagsoorttabel1,2,FALSE))-catfd_1_BRHV_51)/catpn_1_BRHB_1+catfd_1_BRHV_51/catpn_1_BRHV_51),0)</f>
        <v>0</v>
      </c>
      <c r="J14" s="68">
        <f>IF(OR(ISBLANK(G14),G14=0),0,F14/ROUND(G14,4))</f>
        <v>0</v>
      </c>
      <c r="K14" s="60">
        <f>ROUND(I14,2)*J14</f>
        <v>0</v>
      </c>
      <c r="L14" s="68">
        <f>J14*dagenperjaar1</f>
        <v>0</v>
      </c>
      <c r="M14" s="60">
        <f>L14*ROUND(I14,2)</f>
        <v>0</v>
      </c>
    </row>
    <row r="15" spans="1:13" x14ac:dyDescent="0.2">
      <c r="A15" s="56" t="s">
        <v>246</v>
      </c>
      <c r="B15" s="56" t="s">
        <v>13</v>
      </c>
      <c r="C15" s="56" t="s">
        <v>235</v>
      </c>
      <c r="D15" s="56" t="s">
        <v>247</v>
      </c>
      <c r="E15" s="68">
        <v>11.7</v>
      </c>
      <c r="F15" s="68">
        <f>E15*VLOOKUP(B15,dagsoorttabel1,2,FALSE)</f>
        <v>2.34</v>
      </c>
      <c r="G15" s="69">
        <f>IF(AND(catpn_1_BRZB_1&gt;0,catpn_1_BRZV_51&gt;0),(dagenperjaar1*VLOOKUP(B15,dagsoorttabel1,2,FALSE))/(((dagenperjaar1*VLOOKUP(B15,dagsoorttabel1,2,FALSE))-catfd_1_BRZV_51)/catpn_1_BRZB_1+catfd_1_BRZV_51/catpn_1_BRZV_51),0)</f>
        <v>0</v>
      </c>
      <c r="H15" s="56" t="s">
        <v>101</v>
      </c>
      <c r="I15" s="60">
        <f>IF(AND(catpn_1_BRZB_1&gt;0,catpn_1_BRZV_51&gt;0),(cattf_1_BRZB_1*((dagenperjaar1*VLOOKUP(B15,dagsoorttabel1,2,FALSE))-catfd_1_BRZV_51)/catpn_1_BRZB_1+cattf_1_BRZV_51*catfd_1_BRZV_51/catpn_1_BRZV_51)/(((dagenperjaar1*VLOOKUP(B15,dagsoorttabel1,2,FALSE))-catfd_1_BRZV_51)/catpn_1_BRZB_1+catfd_1_BRZV_51/catpn_1_BRZV_51),0)</f>
        <v>0</v>
      </c>
      <c r="J15" s="68">
        <f>IF(OR(ISBLANK(G15),G15=0),0,F15/ROUND(G15,4))</f>
        <v>0</v>
      </c>
      <c r="K15" s="60">
        <f>ROUND(I15,2)*J15</f>
        <v>0</v>
      </c>
      <c r="L15" s="68">
        <f>J15*dagenperjaar1</f>
        <v>0</v>
      </c>
      <c r="M15" s="60">
        <f>L15*ROUND(I15,2)</f>
        <v>0</v>
      </c>
    </row>
    <row r="16" spans="1:13" x14ac:dyDescent="0.2">
      <c r="A16" s="56" t="s">
        <v>246</v>
      </c>
      <c r="B16" s="56" t="s">
        <v>9</v>
      </c>
      <c r="C16" s="56" t="s">
        <v>235</v>
      </c>
      <c r="D16" s="56" t="s">
        <v>247</v>
      </c>
      <c r="E16" s="68">
        <v>14.4</v>
      </c>
      <c r="F16" s="68">
        <f>E16*VLOOKUP(B16,dagsoorttabel1,2,FALSE)</f>
        <v>14.4</v>
      </c>
      <c r="G16" s="69">
        <f>IF(AND(catpn_1_BRZB_1&gt;0,catpn_1_BRZV_51&gt;0),(dagenperjaar1*VLOOKUP(B16,dagsoorttabel1,2,FALSE))/(((dagenperjaar1*VLOOKUP(B16,dagsoorttabel1,2,FALSE))-catfd_1_BRZV_51)/catpn_1_BRZB_1+catfd_1_BRZV_51/catpn_1_BRZV_51),0)</f>
        <v>0</v>
      </c>
      <c r="H16" s="56" t="s">
        <v>101</v>
      </c>
      <c r="I16" s="60">
        <f>IF(AND(catpn_1_BRZB_1&gt;0,catpn_1_BRZV_51&gt;0),(cattf_1_BRZB_1*((dagenperjaar1*VLOOKUP(B16,dagsoorttabel1,2,FALSE))-catfd_1_BRZV_51)/catpn_1_BRZB_1+cattf_1_BRZV_51*catfd_1_BRZV_51/catpn_1_BRZV_51)/(((dagenperjaar1*VLOOKUP(B16,dagsoorttabel1,2,FALSE))-catfd_1_BRZV_51)/catpn_1_BRZB_1+catfd_1_BRZV_51/catpn_1_BRZV_51),0)</f>
        <v>0</v>
      </c>
      <c r="J16" s="68">
        <f>IF(OR(ISBLANK(G16),G16=0),0,F16/ROUND(G16,4))</f>
        <v>0</v>
      </c>
      <c r="K16" s="60">
        <f>ROUND(I16,2)*J16</f>
        <v>0</v>
      </c>
      <c r="L16" s="68">
        <f>J16*dagenperjaar1</f>
        <v>0</v>
      </c>
      <c r="M16" s="60">
        <f>L16*ROUND(I16,2)</f>
        <v>0</v>
      </c>
    </row>
    <row r="17" spans="1:13" x14ac:dyDescent="0.2">
      <c r="A17" s="56" t="s">
        <v>248</v>
      </c>
      <c r="B17" s="56" t="s">
        <v>13</v>
      </c>
      <c r="C17" s="56" t="s">
        <v>235</v>
      </c>
      <c r="D17" s="56" t="s">
        <v>249</v>
      </c>
      <c r="E17" s="68">
        <v>130.49</v>
      </c>
      <c r="F17" s="68">
        <f>E17*VLOOKUP(B17,dagsoorttabel1,2,FALSE)</f>
        <v>26.098000000000003</v>
      </c>
      <c r="G17" s="69">
        <f>IF(AND(catpn_1_BRZB_1&gt;0,catpn_1_BVHB_51&gt;0),(dagenperjaar1*VLOOKUP(B17,dagsoorttabel1,2,FALSE))/(((dagenperjaar1*VLOOKUP(B17,dagsoorttabel1,2,FALSE))-catfd_1_BVHB_51)/catpn_1_BRZB_1+catfd_1_BVHB_51/catpn_1_BVHB_51),0)</f>
        <v>0</v>
      </c>
      <c r="H17" s="56" t="s">
        <v>101</v>
      </c>
      <c r="I17" s="60">
        <f>IF(AND(catpn_1_BRZB_1&gt;0,catpn_1_BVHB_51&gt;0),(cattf_1_BRZB_1*((dagenperjaar1*VLOOKUP(B17,dagsoorttabel1,2,FALSE))-catfd_1_BVHB_51)/catpn_1_BRZB_1+cattf_1_BVHB_51*catfd_1_BVHB_51/catpn_1_BVHB_51)/(((dagenperjaar1*VLOOKUP(B17,dagsoorttabel1,2,FALSE))-catfd_1_BVHB_51)/catpn_1_BRZB_1+catfd_1_BVHB_51/catpn_1_BVHB_51),0)</f>
        <v>0</v>
      </c>
      <c r="J17" s="68">
        <f>IF(OR(ISBLANK(G17),G17=0),0,F17/ROUND(G17,4))</f>
        <v>0</v>
      </c>
      <c r="K17" s="60">
        <f>ROUND(I17,2)*J17</f>
        <v>0</v>
      </c>
      <c r="L17" s="68">
        <f>J17*dagenperjaar1</f>
        <v>0</v>
      </c>
      <c r="M17" s="60">
        <f>L17*ROUND(I17,2)</f>
        <v>0</v>
      </c>
    </row>
    <row r="18" spans="1:13" x14ac:dyDescent="0.2">
      <c r="A18" s="56" t="s">
        <v>248</v>
      </c>
      <c r="B18" s="56" t="s">
        <v>12</v>
      </c>
      <c r="C18" s="56" t="s">
        <v>235</v>
      </c>
      <c r="D18" s="56" t="s">
        <v>249</v>
      </c>
      <c r="E18" s="68">
        <v>159.80000000000001</v>
      </c>
      <c r="F18" s="68">
        <f>E18*VLOOKUP(B18,dagsoorttabel1,2,FALSE)</f>
        <v>63.920000000000009</v>
      </c>
      <c r="G18" s="69">
        <f>IF(AND(catpn_1_BVHB_1&gt;0,catpn_1_BVHB_51&gt;0),(dagenperjaar1*VLOOKUP(B18,dagsoorttabel1,2,FALSE))/(((dagenperjaar1*VLOOKUP(B18,dagsoorttabel1,2,FALSE))-catfd_1_BVHB_51)/catpn_1_BVHB_1+catfd_1_BVHB_51/catpn_1_BVHB_51),0)</f>
        <v>0</v>
      </c>
      <c r="H18" s="56" t="s">
        <v>101</v>
      </c>
      <c r="I18" s="60">
        <f>IF(AND(catpn_1_BVHB_1&gt;0,catpn_1_BVHB_51&gt;0),(cattf_1_BVHB_1*((dagenperjaar1*VLOOKUP(B18,dagsoorttabel1,2,FALSE))-catfd_1_BVHB_51)/catpn_1_BVHB_1+cattf_1_BVHB_51*catfd_1_BVHB_51/catpn_1_BVHB_51)/(((dagenperjaar1*VLOOKUP(B18,dagsoorttabel1,2,FALSE))-catfd_1_BVHB_51)/catpn_1_BVHB_1+catfd_1_BVHB_51/catpn_1_BVHB_51),0)</f>
        <v>0</v>
      </c>
      <c r="J18" s="68">
        <f>IF(OR(ISBLANK(G18),G18=0),0,F18/ROUND(G18,4))</f>
        <v>0</v>
      </c>
      <c r="K18" s="60">
        <f>ROUND(I18,2)*J18</f>
        <v>0</v>
      </c>
      <c r="L18" s="68">
        <f>J18*dagenperjaar1</f>
        <v>0</v>
      </c>
      <c r="M18" s="60">
        <f>L18*ROUND(I18,2)</f>
        <v>0</v>
      </c>
    </row>
    <row r="19" spans="1:13" x14ac:dyDescent="0.2">
      <c r="A19" s="56" t="s">
        <v>248</v>
      </c>
      <c r="B19" s="56" t="s">
        <v>9</v>
      </c>
      <c r="C19" s="56" t="s">
        <v>235</v>
      </c>
      <c r="D19" s="56" t="s">
        <v>249</v>
      </c>
      <c r="E19" s="68">
        <v>39.799999999999997</v>
      </c>
      <c r="F19" s="68">
        <f>E19*VLOOKUP(B19,dagsoorttabel1,2,FALSE)</f>
        <v>39.799999999999997</v>
      </c>
      <c r="G19" s="69">
        <f>IF(AND(catpn_1_BVHB_1&gt;0,catpn_1_BVHB_51&gt;0),(dagenperjaar1*VLOOKUP(B19,dagsoorttabel1,2,FALSE))/(((dagenperjaar1*VLOOKUP(B19,dagsoorttabel1,2,FALSE))-catfd_1_BVHB_51)/catpn_1_BVHB_1+catfd_1_BVHB_51/catpn_1_BVHB_51),0)</f>
        <v>0</v>
      </c>
      <c r="H19" s="56" t="s">
        <v>101</v>
      </c>
      <c r="I19" s="60">
        <f>IF(AND(catpn_1_BVHB_1&gt;0,catpn_1_BVHB_51&gt;0),(cattf_1_BVHB_1*((dagenperjaar1*VLOOKUP(B19,dagsoorttabel1,2,FALSE))-catfd_1_BVHB_51)/catpn_1_BVHB_1+cattf_1_BVHB_51*catfd_1_BVHB_51/catpn_1_BVHB_51)/(((dagenperjaar1*VLOOKUP(B19,dagsoorttabel1,2,FALSE))-catfd_1_BVHB_51)/catpn_1_BVHB_1+catfd_1_BVHB_51/catpn_1_BVHB_51),0)</f>
        <v>0</v>
      </c>
      <c r="J19" s="68">
        <f>IF(OR(ISBLANK(G19),G19=0),0,F19/ROUND(G19,4))</f>
        <v>0</v>
      </c>
      <c r="K19" s="60">
        <f>ROUND(I19,2)*J19</f>
        <v>0</v>
      </c>
      <c r="L19" s="68">
        <f>J19*dagenperjaar1</f>
        <v>0</v>
      </c>
      <c r="M19" s="60">
        <f>L19*ROUND(I19,2)</f>
        <v>0</v>
      </c>
    </row>
    <row r="20" spans="1:13" x14ac:dyDescent="0.2">
      <c r="A20" s="56" t="s">
        <v>250</v>
      </c>
      <c r="B20" s="56" t="s">
        <v>13</v>
      </c>
      <c r="C20" s="56" t="s">
        <v>235</v>
      </c>
      <c r="D20" s="56" t="s">
        <v>251</v>
      </c>
      <c r="E20" s="68">
        <v>46.769999999999996</v>
      </c>
      <c r="F20" s="68">
        <f>E20*VLOOKUP(B20,dagsoorttabel1,2,FALSE)</f>
        <v>9.3539999999999992</v>
      </c>
      <c r="G20" s="69">
        <f>IF(AND(catpn_1_BVZB_1&gt;0,catpn_1_BVZV_51&gt;0),(dagenperjaar1*VLOOKUP(B20,dagsoorttabel1,2,FALSE))/(((dagenperjaar1*VLOOKUP(B20,dagsoorttabel1,2,FALSE))-catfd_1_BVZV_51)/catpn_1_BVZB_1+catfd_1_BVZV_51/catpn_1_BVZV_51),0)</f>
        <v>0</v>
      </c>
      <c r="H20" s="56" t="s">
        <v>101</v>
      </c>
      <c r="I20" s="60">
        <f>IF(AND(catpn_1_BVZB_1&gt;0,catpn_1_BVZV_51&gt;0),(cattf_1_BVZB_1*((dagenperjaar1*VLOOKUP(B20,dagsoorttabel1,2,FALSE))-catfd_1_BVZV_51)/catpn_1_BVZB_1+cattf_1_BVZV_51*catfd_1_BVZV_51/catpn_1_BVZV_51)/(((dagenperjaar1*VLOOKUP(B20,dagsoorttabel1,2,FALSE))-catfd_1_BVZV_51)/catpn_1_BVZB_1+catfd_1_BVZV_51/catpn_1_BVZV_51),0)</f>
        <v>0</v>
      </c>
      <c r="J20" s="68">
        <f>IF(OR(ISBLANK(G20),G20=0),0,F20/ROUND(G20,4))</f>
        <v>0</v>
      </c>
      <c r="K20" s="60">
        <f>ROUND(I20,2)*J20</f>
        <v>0</v>
      </c>
      <c r="L20" s="68">
        <f>J20*dagenperjaar1</f>
        <v>0</v>
      </c>
      <c r="M20" s="60">
        <f>L20*ROUND(I20,2)</f>
        <v>0</v>
      </c>
    </row>
    <row r="21" spans="1:13" x14ac:dyDescent="0.2">
      <c r="A21" s="56" t="s">
        <v>250</v>
      </c>
      <c r="B21" s="56" t="s">
        <v>12</v>
      </c>
      <c r="C21" s="56" t="s">
        <v>235</v>
      </c>
      <c r="D21" s="56" t="s">
        <v>251</v>
      </c>
      <c r="E21" s="68">
        <v>202.5</v>
      </c>
      <c r="F21" s="68">
        <f>E21*VLOOKUP(B21,dagsoorttabel1,2,FALSE)</f>
        <v>81</v>
      </c>
      <c r="G21" s="69">
        <f>IF(AND(catpn_1_BVZB_1&gt;0,catpn_1_BVZV_51&gt;0),(dagenperjaar1*VLOOKUP(B21,dagsoorttabel1,2,FALSE))/(((dagenperjaar1*VLOOKUP(B21,dagsoorttabel1,2,FALSE))-catfd_1_BVZV_51)/catpn_1_BVZB_1+catfd_1_BVZV_51/catpn_1_BVZV_51),0)</f>
        <v>0</v>
      </c>
      <c r="H21" s="56" t="s">
        <v>101</v>
      </c>
      <c r="I21" s="60">
        <f>IF(AND(catpn_1_BVZB_1&gt;0,catpn_1_BVZV_51&gt;0),(cattf_1_BVZB_1*((dagenperjaar1*VLOOKUP(B21,dagsoorttabel1,2,FALSE))-catfd_1_BVZV_51)/catpn_1_BVZB_1+cattf_1_BVZV_51*catfd_1_BVZV_51/catpn_1_BVZV_51)/(((dagenperjaar1*VLOOKUP(B21,dagsoorttabel1,2,FALSE))-catfd_1_BVZV_51)/catpn_1_BVZB_1+catfd_1_BVZV_51/catpn_1_BVZV_51),0)</f>
        <v>0</v>
      </c>
      <c r="J21" s="68">
        <f>IF(OR(ISBLANK(G21),G21=0),0,F21/ROUND(G21,4))</f>
        <v>0</v>
      </c>
      <c r="K21" s="60">
        <f>ROUND(I21,2)*J21</f>
        <v>0</v>
      </c>
      <c r="L21" s="68">
        <f>J21*dagenperjaar1</f>
        <v>0</v>
      </c>
      <c r="M21" s="60">
        <f>L21*ROUND(I21,2)</f>
        <v>0</v>
      </c>
    </row>
    <row r="22" spans="1:13" x14ac:dyDescent="0.2">
      <c r="A22" s="56" t="s">
        <v>250</v>
      </c>
      <c r="B22" s="56" t="s">
        <v>9</v>
      </c>
      <c r="C22" s="56" t="s">
        <v>235</v>
      </c>
      <c r="D22" s="56" t="s">
        <v>251</v>
      </c>
      <c r="E22" s="68">
        <v>468.02000000000004</v>
      </c>
      <c r="F22" s="68">
        <f>E22*VLOOKUP(B22,dagsoorttabel1,2,FALSE)</f>
        <v>468.02000000000004</v>
      </c>
      <c r="G22" s="69">
        <f>IF(AND(catpn_1_BVZB_1&gt;0,catpn_1_BVZV_51&gt;0),(dagenperjaar1*VLOOKUP(B22,dagsoorttabel1,2,FALSE))/(((dagenperjaar1*VLOOKUP(B22,dagsoorttabel1,2,FALSE))-catfd_1_BVZV_51)/catpn_1_BVZB_1+catfd_1_BVZV_51/catpn_1_BVZV_51),0)</f>
        <v>0</v>
      </c>
      <c r="H22" s="56" t="s">
        <v>101</v>
      </c>
      <c r="I22" s="60">
        <f>IF(AND(catpn_1_BVZB_1&gt;0,catpn_1_BVZV_51&gt;0),(cattf_1_BVZB_1*((dagenperjaar1*VLOOKUP(B22,dagsoorttabel1,2,FALSE))-catfd_1_BVZV_51)/catpn_1_BVZB_1+cattf_1_BVZV_51*catfd_1_BVZV_51/catpn_1_BVZV_51)/(((dagenperjaar1*VLOOKUP(B22,dagsoorttabel1,2,FALSE))-catfd_1_BVZV_51)/catpn_1_BVZB_1+catfd_1_BVZV_51/catpn_1_BVZV_51),0)</f>
        <v>0</v>
      </c>
      <c r="J22" s="68">
        <f>IF(OR(ISBLANK(G22),G22=0),0,F22/ROUND(G22,4))</f>
        <v>0</v>
      </c>
      <c r="K22" s="60">
        <f>ROUND(I22,2)*J22</f>
        <v>0</v>
      </c>
      <c r="L22" s="68">
        <f>J22*dagenperjaar1</f>
        <v>0</v>
      </c>
      <c r="M22" s="60">
        <f>L22*ROUND(I22,2)</f>
        <v>0</v>
      </c>
    </row>
    <row r="23" spans="1:13" x14ac:dyDescent="0.2">
      <c r="A23" s="56" t="s">
        <v>252</v>
      </c>
      <c r="B23" s="56" t="s">
        <v>21</v>
      </c>
      <c r="C23" s="56" t="s">
        <v>235</v>
      </c>
      <c r="D23" s="56" t="s">
        <v>253</v>
      </c>
      <c r="E23" s="68">
        <v>7475.22</v>
      </c>
      <c r="F23" s="68">
        <f>E23*VLOOKUP(B23,dagsoorttabel1,2,FALSE)</f>
        <v>28.750846153846158</v>
      </c>
      <c r="G23" s="69">
        <f>IF(AND(catpn_1_EAHB_1&gt;0,catpn_1_EAHV_51&gt;0),(dagenperjaar1*VLOOKUP(B23,dagsoorttabel1,2,FALSE))/(((dagenperjaar1*VLOOKUP(B23,dagsoorttabel1,2,FALSE))-catfd_1_EAHV_51)/catpn_1_EAHB_1+catfd_1_EAHV_51/catpn_1_EAHV_51),0)</f>
        <v>0</v>
      </c>
      <c r="H23" s="56" t="s">
        <v>101</v>
      </c>
      <c r="I23" s="60">
        <f>IF(AND(catpn_1_EAHB_1&gt;0,catpn_1_EAHV_51&gt;0),(cattf_1_EAHB_1*((dagenperjaar1*VLOOKUP(B23,dagsoorttabel1,2,FALSE))-catfd_1_EAHV_51)/catpn_1_EAHB_1+cattf_1_EAHV_51*catfd_1_EAHV_51/catpn_1_EAHV_51)/(((dagenperjaar1*VLOOKUP(B23,dagsoorttabel1,2,FALSE))-catfd_1_EAHV_51)/catpn_1_EAHB_1+catfd_1_EAHV_51/catpn_1_EAHV_51),0)</f>
        <v>0</v>
      </c>
      <c r="J23" s="68">
        <f>IF(OR(ISBLANK(G23),G23=0),0,F23/ROUND(G23,4))</f>
        <v>0</v>
      </c>
      <c r="K23" s="60">
        <f>ROUND(I23,2)*J23</f>
        <v>0</v>
      </c>
      <c r="L23" s="68">
        <f>J23*dagenperjaar1</f>
        <v>0</v>
      </c>
      <c r="M23" s="60">
        <f>L23*ROUND(I23,2)</f>
        <v>0</v>
      </c>
    </row>
    <row r="24" spans="1:13" x14ac:dyDescent="0.2">
      <c r="A24" s="56" t="s">
        <v>252</v>
      </c>
      <c r="B24" s="56" t="s">
        <v>13</v>
      </c>
      <c r="C24" s="56" t="s">
        <v>235</v>
      </c>
      <c r="D24" s="56" t="s">
        <v>253</v>
      </c>
      <c r="E24" s="68">
        <v>775.91000000000008</v>
      </c>
      <c r="F24" s="68">
        <f>E24*VLOOKUP(B24,dagsoorttabel1,2,FALSE)</f>
        <v>155.18200000000002</v>
      </c>
      <c r="G24" s="69">
        <f>IF(AND(catpn_1_EAHB_1&gt;0,catpn_1_EAHV_51&gt;0),(dagenperjaar1*VLOOKUP(B24,dagsoorttabel1,2,FALSE))/(((dagenperjaar1*VLOOKUP(B24,dagsoorttabel1,2,FALSE))-catfd_1_EAHV_51)/catpn_1_EAHB_1+catfd_1_EAHV_51/catpn_1_EAHV_51),0)</f>
        <v>0</v>
      </c>
      <c r="H24" s="56" t="s">
        <v>101</v>
      </c>
      <c r="I24" s="60">
        <f>IF(AND(catpn_1_EAHB_1&gt;0,catpn_1_EAHV_51&gt;0),(cattf_1_EAHB_1*((dagenperjaar1*VLOOKUP(B24,dagsoorttabel1,2,FALSE))-catfd_1_EAHV_51)/catpn_1_EAHB_1+cattf_1_EAHV_51*catfd_1_EAHV_51/catpn_1_EAHV_51)/(((dagenperjaar1*VLOOKUP(B24,dagsoorttabel1,2,FALSE))-catfd_1_EAHV_51)/catpn_1_EAHB_1+catfd_1_EAHV_51/catpn_1_EAHV_51),0)</f>
        <v>0</v>
      </c>
      <c r="J24" s="68">
        <f>IF(OR(ISBLANK(G24),G24=0),0,F24/ROUND(G24,4))</f>
        <v>0</v>
      </c>
      <c r="K24" s="60">
        <f>ROUND(I24,2)*J24</f>
        <v>0</v>
      </c>
      <c r="L24" s="68">
        <f>J24*dagenperjaar1</f>
        <v>0</v>
      </c>
      <c r="M24" s="60">
        <f>L24*ROUND(I24,2)</f>
        <v>0</v>
      </c>
    </row>
    <row r="25" spans="1:13" x14ac:dyDescent="0.2">
      <c r="A25" s="56" t="s">
        <v>252</v>
      </c>
      <c r="B25" s="56" t="s">
        <v>20</v>
      </c>
      <c r="C25" s="56" t="s">
        <v>235</v>
      </c>
      <c r="D25" s="56" t="s">
        <v>253</v>
      </c>
      <c r="E25" s="68">
        <v>745.16</v>
      </c>
      <c r="F25" s="68">
        <f>E25*VLOOKUP(B25,dagsoorttabel1,2,FALSE)</f>
        <v>5.7320000000000002</v>
      </c>
      <c r="G25" s="69">
        <f>IF(AND(catpn_1_EAHB_1&gt;0,catpn_1_EAHV_51&gt;0),(dagenperjaar1*VLOOKUP(B25,dagsoorttabel1,2,FALSE))/(((dagenperjaar1*VLOOKUP(B25,dagsoorttabel1,2,FALSE))-catfd_1_EAHV_51)/catpn_1_EAHB_1+catfd_1_EAHV_51/catpn_1_EAHV_51),0)</f>
        <v>0</v>
      </c>
      <c r="H25" s="56" t="s">
        <v>101</v>
      </c>
      <c r="I25" s="60">
        <f>IF(AND(catpn_1_EAHB_1&gt;0,catpn_1_EAHV_51&gt;0),(cattf_1_EAHB_1*((dagenperjaar1*VLOOKUP(B25,dagsoorttabel1,2,FALSE))-catfd_1_EAHV_51)/catpn_1_EAHB_1+cattf_1_EAHV_51*catfd_1_EAHV_51/catpn_1_EAHV_51)/(((dagenperjaar1*VLOOKUP(B25,dagsoorttabel1,2,FALSE))-catfd_1_EAHV_51)/catpn_1_EAHB_1+catfd_1_EAHV_51/catpn_1_EAHV_51),0)</f>
        <v>0</v>
      </c>
      <c r="J25" s="68">
        <f>IF(OR(ISBLANK(G25),G25=0),0,F25/ROUND(G25,4))</f>
        <v>0</v>
      </c>
      <c r="K25" s="60">
        <f>ROUND(I25,2)*J25</f>
        <v>0</v>
      </c>
      <c r="L25" s="68">
        <f>J25*dagenperjaar1</f>
        <v>0</v>
      </c>
      <c r="M25" s="60">
        <f>L25*ROUND(I25,2)</f>
        <v>0</v>
      </c>
    </row>
    <row r="26" spans="1:13" x14ac:dyDescent="0.2">
      <c r="A26" s="56" t="s">
        <v>254</v>
      </c>
      <c r="B26" s="56" t="s">
        <v>21</v>
      </c>
      <c r="C26" s="56" t="s">
        <v>235</v>
      </c>
      <c r="D26" s="56" t="s">
        <v>255</v>
      </c>
      <c r="E26" s="68">
        <v>51.839999999999996</v>
      </c>
      <c r="F26" s="68">
        <f>E26*VLOOKUP(B26,dagsoorttabel1,2,FALSE)</f>
        <v>0.19938461538461538</v>
      </c>
      <c r="G26" s="69">
        <f>IF(AND(catpn_1_EAHB_1&gt;0,catpn_1_EAHV_51&gt;0),(dagenperjaar1*VLOOKUP(B26,dagsoorttabel1,2,FALSE))/(((dagenperjaar1*VLOOKUP(B26,dagsoorttabel1,2,FALSE))-catfd_1_EAHV_51)/catpn_1_EAHB_1+catfd_1_EAHV_51/catpn_1_EAHV_51),0)</f>
        <v>0</v>
      </c>
      <c r="H26" s="56" t="s">
        <v>101</v>
      </c>
      <c r="I26" s="60">
        <f>IF(AND(catpn_1_EAHB_1&gt;0,catpn_1_EAHV_51&gt;0),(cattf_1_EAHB_1*((dagenperjaar1*VLOOKUP(B26,dagsoorttabel1,2,FALSE))-catfd_1_EAHV_51)/catpn_1_EAHB_1+cattf_1_EAHV_51*catfd_1_EAHV_51/catpn_1_EAHV_51)/(((dagenperjaar1*VLOOKUP(B26,dagsoorttabel1,2,FALSE))-catfd_1_EAHV_51)/catpn_1_EAHB_1+catfd_1_EAHV_51/catpn_1_EAHV_51),0)</f>
        <v>0</v>
      </c>
      <c r="J26" s="68">
        <f>IF(OR(ISBLANK(G26),G26=0),0,F26/ROUND(G26,4))</f>
        <v>0</v>
      </c>
      <c r="K26" s="60">
        <f>ROUND(I26,2)*J26</f>
        <v>0</v>
      </c>
      <c r="L26" s="68">
        <f>J26*dagenperjaar1</f>
        <v>0</v>
      </c>
      <c r="M26" s="60">
        <f>L26*ROUND(I26,2)</f>
        <v>0</v>
      </c>
    </row>
    <row r="27" spans="1:13" x14ac:dyDescent="0.2">
      <c r="A27" s="56" t="s">
        <v>254</v>
      </c>
      <c r="B27" s="56" t="s">
        <v>13</v>
      </c>
      <c r="C27" s="56" t="s">
        <v>235</v>
      </c>
      <c r="D27" s="56" t="s">
        <v>255</v>
      </c>
      <c r="E27" s="68">
        <v>48.8</v>
      </c>
      <c r="F27" s="68">
        <f>E27*VLOOKUP(B27,dagsoorttabel1,2,FALSE)</f>
        <v>9.76</v>
      </c>
      <c r="G27" s="69">
        <f>IF(AND(catpn_1_ERHB_1&gt;0,catpn_1_ERHV_51&gt;0),(dagenperjaar1*VLOOKUP(B27,dagsoorttabel1,2,FALSE))/(((dagenperjaar1*VLOOKUP(B27,dagsoorttabel1,2,FALSE))-catfd_1_ERHV_51)/catpn_1_ERHB_1+catfd_1_ERHV_51/catpn_1_ERHV_51),0)</f>
        <v>0</v>
      </c>
      <c r="H27" s="56" t="s">
        <v>101</v>
      </c>
      <c r="I27" s="60">
        <f>IF(AND(catpn_1_ERHB_1&gt;0,catpn_1_ERHV_51&gt;0),(cattf_1_ERHB_1*((dagenperjaar1*VLOOKUP(B27,dagsoorttabel1,2,FALSE))-catfd_1_ERHV_51)/catpn_1_ERHB_1+cattf_1_ERHV_51*catfd_1_ERHV_51/catpn_1_ERHV_51)/(((dagenperjaar1*VLOOKUP(B27,dagsoorttabel1,2,FALSE))-catfd_1_ERHV_51)/catpn_1_ERHB_1+catfd_1_ERHV_51/catpn_1_ERHV_51),0)</f>
        <v>0</v>
      </c>
      <c r="J27" s="68">
        <f>IF(OR(ISBLANK(G27),G27=0),0,F27/ROUND(G27,4))</f>
        <v>0</v>
      </c>
      <c r="K27" s="60">
        <f>ROUND(I27,2)*J27</f>
        <v>0</v>
      </c>
      <c r="L27" s="68">
        <f>J27*dagenperjaar1</f>
        <v>0</v>
      </c>
      <c r="M27" s="60">
        <f>L27*ROUND(I27,2)</f>
        <v>0</v>
      </c>
    </row>
    <row r="28" spans="1:13" x14ac:dyDescent="0.2">
      <c r="A28" s="56" t="s">
        <v>256</v>
      </c>
      <c r="B28" s="56" t="s">
        <v>13</v>
      </c>
      <c r="C28" s="56" t="s">
        <v>235</v>
      </c>
      <c r="D28" s="56" t="s">
        <v>257</v>
      </c>
      <c r="E28" s="68">
        <v>119.8</v>
      </c>
      <c r="F28" s="68">
        <f>E28*VLOOKUP(B28,dagsoorttabel1,2,FALSE)</f>
        <v>23.96</v>
      </c>
      <c r="G28" s="69">
        <f>IF(AND(catpn_1_GFHB_1&gt;0,catpn_1_GFHV_51&gt;0),(dagenperjaar1*VLOOKUP(B28,dagsoorttabel1,2,FALSE))/(((dagenperjaar1*VLOOKUP(B28,dagsoorttabel1,2,FALSE))-catfd_1_GFHV_51)/catpn_1_GFHB_1+catfd_1_GFHV_51/catpn_1_GFHV_51),0)</f>
        <v>0</v>
      </c>
      <c r="H28" s="56" t="s">
        <v>101</v>
      </c>
      <c r="I28" s="60">
        <f>IF(AND(catpn_1_GFHB_1&gt;0,catpn_1_GFHV_51&gt;0),(cattf_1_GFHB_1*((dagenperjaar1*VLOOKUP(B28,dagsoorttabel1,2,FALSE))-catfd_1_GFHV_51)/catpn_1_GFHB_1+cattf_1_GFHV_51*catfd_1_GFHV_51/catpn_1_GFHV_51)/(((dagenperjaar1*VLOOKUP(B28,dagsoorttabel1,2,FALSE))-catfd_1_GFHV_51)/catpn_1_GFHB_1+catfd_1_GFHV_51/catpn_1_GFHV_51),0)</f>
        <v>0</v>
      </c>
      <c r="J28" s="68">
        <f>IF(OR(ISBLANK(G28),G28=0),0,F28/ROUND(G28,4))</f>
        <v>0</v>
      </c>
      <c r="K28" s="60">
        <f>ROUND(I28,2)*J28</f>
        <v>0</v>
      </c>
      <c r="L28" s="68">
        <f>J28*dagenperjaar1</f>
        <v>0</v>
      </c>
      <c r="M28" s="60">
        <f>L28*ROUND(I28,2)</f>
        <v>0</v>
      </c>
    </row>
    <row r="29" spans="1:13" x14ac:dyDescent="0.2">
      <c r="A29" s="56" t="s">
        <v>258</v>
      </c>
      <c r="B29" s="56" t="s">
        <v>21</v>
      </c>
      <c r="C29" s="56" t="s">
        <v>235</v>
      </c>
      <c r="D29" s="56" t="s">
        <v>259</v>
      </c>
      <c r="E29" s="68">
        <v>18.100000000000001</v>
      </c>
      <c r="F29" s="68">
        <f>E29*VLOOKUP(B29,dagsoorttabel1,2,FALSE)</f>
        <v>6.9615384615384621E-2</v>
      </c>
      <c r="G29" s="69">
        <f>IF(AND(catpn_1_GFHB_1&gt;0,catpn_1_GFHV_51&gt;0),(dagenperjaar1*VLOOKUP(B29,dagsoorttabel1,2,FALSE))/(((dagenperjaar1*VLOOKUP(B29,dagsoorttabel1,2,FALSE))-catfd_1_GFHV_51)/catpn_1_GFHB_1+catfd_1_GFHV_51/catpn_1_GFHV_51),0)</f>
        <v>0</v>
      </c>
      <c r="H29" s="56" t="s">
        <v>101</v>
      </c>
      <c r="I29" s="60">
        <f>IF(AND(catpn_1_GFHB_1&gt;0,catpn_1_GFHV_51&gt;0),(cattf_1_GFHB_1*((dagenperjaar1*VLOOKUP(B29,dagsoorttabel1,2,FALSE))-catfd_1_GFHV_51)/catpn_1_GFHB_1+cattf_1_GFHV_51*catfd_1_GFHV_51/catpn_1_GFHV_51)/(((dagenperjaar1*VLOOKUP(B29,dagsoorttabel1,2,FALSE))-catfd_1_GFHV_51)/catpn_1_GFHB_1+catfd_1_GFHV_51/catpn_1_GFHV_51),0)</f>
        <v>0</v>
      </c>
      <c r="J29" s="68">
        <f>IF(OR(ISBLANK(G29),G29=0),0,F29/ROUND(G29,4))</f>
        <v>0</v>
      </c>
      <c r="K29" s="60">
        <f>ROUND(I29,2)*J29</f>
        <v>0</v>
      </c>
      <c r="L29" s="68">
        <f>J29*dagenperjaar1</f>
        <v>0</v>
      </c>
      <c r="M29" s="60">
        <f>L29*ROUND(I29,2)</f>
        <v>0</v>
      </c>
    </row>
    <row r="30" spans="1:13" x14ac:dyDescent="0.2">
      <c r="A30" s="56" t="s">
        <v>258</v>
      </c>
      <c r="B30" s="56" t="s">
        <v>13</v>
      </c>
      <c r="C30" s="56" t="s">
        <v>235</v>
      </c>
      <c r="D30" s="56" t="s">
        <v>259</v>
      </c>
      <c r="E30" s="68">
        <v>554.5</v>
      </c>
      <c r="F30" s="68">
        <f>E30*VLOOKUP(B30,dagsoorttabel1,2,FALSE)</f>
        <v>110.9</v>
      </c>
      <c r="G30" s="69">
        <f>IF(AND(catpn_1_GSHB_1&gt;0,catpn_1_GSHV_51&gt;0),(dagenperjaar1*VLOOKUP(B30,dagsoorttabel1,2,FALSE))/(((dagenperjaar1*VLOOKUP(B30,dagsoorttabel1,2,FALSE))-catfd_1_GSHV_51)/catpn_1_GSHB_1+catfd_1_GSHV_51/catpn_1_GSHV_51),0)</f>
        <v>0</v>
      </c>
      <c r="H30" s="56" t="s">
        <v>101</v>
      </c>
      <c r="I30" s="60">
        <f>IF(AND(catpn_1_GSHB_1&gt;0,catpn_1_GSHV_51&gt;0),(cattf_1_GSHB_1*((dagenperjaar1*VLOOKUP(B30,dagsoorttabel1,2,FALSE))-catfd_1_GSHV_51)/catpn_1_GSHB_1+cattf_1_GSHV_51*catfd_1_GSHV_51/catpn_1_GSHV_51)/(((dagenperjaar1*VLOOKUP(B30,dagsoorttabel1,2,FALSE))-catfd_1_GSHV_51)/catpn_1_GSHB_1+catfd_1_GSHV_51/catpn_1_GSHV_51),0)</f>
        <v>0</v>
      </c>
      <c r="J30" s="68">
        <f>IF(OR(ISBLANK(G30),G30=0),0,F30/ROUND(G30,4))</f>
        <v>0</v>
      </c>
      <c r="K30" s="60">
        <f>ROUND(I30,2)*J30</f>
        <v>0</v>
      </c>
      <c r="L30" s="68">
        <f>J30*dagenperjaar1</f>
        <v>0</v>
      </c>
      <c r="M30" s="60">
        <f>L30*ROUND(I30,2)</f>
        <v>0</v>
      </c>
    </row>
    <row r="31" spans="1:13" x14ac:dyDescent="0.2">
      <c r="A31" s="56" t="s">
        <v>260</v>
      </c>
      <c r="B31" s="56" t="s">
        <v>13</v>
      </c>
      <c r="C31" s="56" t="s">
        <v>235</v>
      </c>
      <c r="D31" s="56" t="s">
        <v>261</v>
      </c>
      <c r="E31" s="68">
        <v>793.87</v>
      </c>
      <c r="F31" s="68">
        <f>E31*VLOOKUP(B31,dagsoorttabel1,2,FALSE)</f>
        <v>158.774</v>
      </c>
      <c r="G31" s="69">
        <f>IF(AND(catpn_1_LLHB_1&gt;0,catpn_1_LLHV_51&gt;0),(dagenperjaar1*VLOOKUP(B31,dagsoorttabel1,2,FALSE))/(((dagenperjaar1*VLOOKUP(B31,dagsoorttabel1,2,FALSE))-catfd_1_LLHV_51)/catpn_1_LLHB_1+catfd_1_LLHV_51/catpn_1_LLHV_51),0)</f>
        <v>0</v>
      </c>
      <c r="H31" s="56" t="s">
        <v>101</v>
      </c>
      <c r="I31" s="60">
        <f>IF(AND(catpn_1_LLHB_1&gt;0,catpn_1_LLHV_51&gt;0),(cattf_1_LLHB_1*((dagenperjaar1*VLOOKUP(B31,dagsoorttabel1,2,FALSE))-catfd_1_LLHV_51)/catpn_1_LLHB_1+cattf_1_LLHV_51*catfd_1_LLHV_51/catpn_1_LLHV_51)/(((dagenperjaar1*VLOOKUP(B31,dagsoorttabel1,2,FALSE))-catfd_1_LLHV_51)/catpn_1_LLHB_1+catfd_1_LLHV_51/catpn_1_LLHV_51),0)</f>
        <v>0</v>
      </c>
      <c r="J31" s="68">
        <f>IF(OR(ISBLANK(G31),G31=0),0,F31/ROUND(G31,4))</f>
        <v>0</v>
      </c>
      <c r="K31" s="60">
        <f>ROUND(I31,2)*J31</f>
        <v>0</v>
      </c>
      <c r="L31" s="68">
        <f>J31*dagenperjaar1</f>
        <v>0</v>
      </c>
      <c r="M31" s="60">
        <f>L31*ROUND(I31,2)</f>
        <v>0</v>
      </c>
    </row>
    <row r="32" spans="1:13" x14ac:dyDescent="0.2">
      <c r="A32" s="56" t="s">
        <v>260</v>
      </c>
      <c r="B32" s="56" t="s">
        <v>12</v>
      </c>
      <c r="C32" s="56" t="s">
        <v>235</v>
      </c>
      <c r="D32" s="56" t="s">
        <v>261</v>
      </c>
      <c r="E32" s="68">
        <v>437.59999999999997</v>
      </c>
      <c r="F32" s="68">
        <f>E32*VLOOKUP(B32,dagsoorttabel1,2,FALSE)</f>
        <v>175.04</v>
      </c>
      <c r="G32" s="69">
        <f>IF(AND(catpn_1_LLHB_1&gt;0,catpn_1_LLHV_51&gt;0),(dagenperjaar1*VLOOKUP(B32,dagsoorttabel1,2,FALSE))/(((dagenperjaar1*VLOOKUP(B32,dagsoorttabel1,2,FALSE))-catfd_1_LLHV_51)/catpn_1_LLHB_1+catfd_1_LLHV_51/catpn_1_LLHV_51),0)</f>
        <v>0</v>
      </c>
      <c r="H32" s="56" t="s">
        <v>101</v>
      </c>
      <c r="I32" s="60">
        <f>IF(AND(catpn_1_LLHB_1&gt;0,catpn_1_LLHV_51&gt;0),(cattf_1_LLHB_1*((dagenperjaar1*VLOOKUP(B32,dagsoorttabel1,2,FALSE))-catfd_1_LLHV_51)/catpn_1_LLHB_1+cattf_1_LLHV_51*catfd_1_LLHV_51/catpn_1_LLHV_51)/(((dagenperjaar1*VLOOKUP(B32,dagsoorttabel1,2,FALSE))-catfd_1_LLHV_51)/catpn_1_LLHB_1+catfd_1_LLHV_51/catpn_1_LLHV_51),0)</f>
        <v>0</v>
      </c>
      <c r="J32" s="68">
        <f>IF(OR(ISBLANK(G32),G32=0),0,F32/ROUND(G32,4))</f>
        <v>0</v>
      </c>
      <c r="K32" s="60">
        <f>ROUND(I32,2)*J32</f>
        <v>0</v>
      </c>
      <c r="L32" s="68">
        <f>J32*dagenperjaar1</f>
        <v>0</v>
      </c>
      <c r="M32" s="60">
        <f>L32*ROUND(I32,2)</f>
        <v>0</v>
      </c>
    </row>
    <row r="33" spans="1:13" x14ac:dyDescent="0.2">
      <c r="A33" s="56" t="s">
        <v>260</v>
      </c>
      <c r="B33" s="56" t="s">
        <v>9</v>
      </c>
      <c r="C33" s="56" t="s">
        <v>235</v>
      </c>
      <c r="D33" s="56" t="s">
        <v>261</v>
      </c>
      <c r="E33" s="68">
        <v>33.700000000000003</v>
      </c>
      <c r="F33" s="68">
        <f>E33*VLOOKUP(B33,dagsoorttabel1,2,FALSE)</f>
        <v>33.700000000000003</v>
      </c>
      <c r="G33" s="69">
        <f>IF(AND(catpn_1_LLHB_1&gt;0,catpn_1_LLHV_51&gt;0),(dagenperjaar1*VLOOKUP(B33,dagsoorttabel1,2,FALSE))/(((dagenperjaar1*VLOOKUP(B33,dagsoorttabel1,2,FALSE))-catfd_1_LLHV_51)/catpn_1_LLHB_1+catfd_1_LLHV_51/catpn_1_LLHV_51),0)</f>
        <v>0</v>
      </c>
      <c r="H33" s="56" t="s">
        <v>101</v>
      </c>
      <c r="I33" s="60">
        <f>IF(AND(catpn_1_LLHB_1&gt;0,catpn_1_LLHV_51&gt;0),(cattf_1_LLHB_1*((dagenperjaar1*VLOOKUP(B33,dagsoorttabel1,2,FALSE))-catfd_1_LLHV_51)/catpn_1_LLHB_1+cattf_1_LLHV_51*catfd_1_LLHV_51/catpn_1_LLHV_51)/(((dagenperjaar1*VLOOKUP(B33,dagsoorttabel1,2,FALSE))-catfd_1_LLHV_51)/catpn_1_LLHB_1+catfd_1_LLHV_51/catpn_1_LLHV_51),0)</f>
        <v>0</v>
      </c>
      <c r="J33" s="68">
        <f>IF(OR(ISBLANK(G33),G33=0),0,F33/ROUND(G33,4))</f>
        <v>0</v>
      </c>
      <c r="K33" s="60">
        <f>ROUND(I33,2)*J33</f>
        <v>0</v>
      </c>
      <c r="L33" s="68">
        <f>J33*dagenperjaar1</f>
        <v>0</v>
      </c>
      <c r="M33" s="60">
        <f>L33*ROUND(I33,2)</f>
        <v>0</v>
      </c>
    </row>
    <row r="34" spans="1:13" x14ac:dyDescent="0.2">
      <c r="A34" s="56" t="s">
        <v>262</v>
      </c>
      <c r="B34" s="56" t="s">
        <v>13</v>
      </c>
      <c r="C34" s="56" t="s">
        <v>235</v>
      </c>
      <c r="D34" s="56" t="s">
        <v>263</v>
      </c>
      <c r="E34" s="68">
        <v>315.94</v>
      </c>
      <c r="F34" s="68">
        <f>E34*VLOOKUP(B34,dagsoorttabel1,2,FALSE)</f>
        <v>63.188000000000002</v>
      </c>
      <c r="G34" s="69">
        <f>IF(AND(catpn_1_LOHB_1&gt;0,catpn_1_LOHV_51&gt;0),(dagenperjaar1*VLOOKUP(B34,dagsoorttabel1,2,FALSE))/(((dagenperjaar1*VLOOKUP(B34,dagsoorttabel1,2,FALSE))-catfd_1_LOHV_51)/catpn_1_LOHB_1+catfd_1_LOHV_51/catpn_1_LOHV_51),0)</f>
        <v>0</v>
      </c>
      <c r="H34" s="56" t="s">
        <v>101</v>
      </c>
      <c r="I34" s="60">
        <f>IF(AND(catpn_1_LOHB_1&gt;0,catpn_1_LOHV_51&gt;0),(cattf_1_LOHB_1*((dagenperjaar1*VLOOKUP(B34,dagsoorttabel1,2,FALSE))-catfd_1_LOHV_51)/catpn_1_LOHB_1+cattf_1_LOHV_51*catfd_1_LOHV_51/catpn_1_LOHV_51)/(((dagenperjaar1*VLOOKUP(B34,dagsoorttabel1,2,FALSE))-catfd_1_LOHV_51)/catpn_1_LOHB_1+catfd_1_LOHV_51/catpn_1_LOHV_51),0)</f>
        <v>0</v>
      </c>
      <c r="J34" s="68">
        <f>IF(OR(ISBLANK(G34),G34=0),0,F34/ROUND(G34,4))</f>
        <v>0</v>
      </c>
      <c r="K34" s="60">
        <f>ROUND(I34,2)*J34</f>
        <v>0</v>
      </c>
      <c r="L34" s="68">
        <f>J34*dagenperjaar1</f>
        <v>0</v>
      </c>
      <c r="M34" s="60">
        <f>L34*ROUND(I34,2)</f>
        <v>0</v>
      </c>
    </row>
    <row r="35" spans="1:13" x14ac:dyDescent="0.2">
      <c r="A35" s="56" t="s">
        <v>262</v>
      </c>
      <c r="B35" s="56" t="s">
        <v>12</v>
      </c>
      <c r="C35" s="56" t="s">
        <v>235</v>
      </c>
      <c r="D35" s="56" t="s">
        <v>263</v>
      </c>
      <c r="E35" s="68">
        <v>15.3</v>
      </c>
      <c r="F35" s="68">
        <f>E35*VLOOKUP(B35,dagsoorttabel1,2,FALSE)</f>
        <v>6.120000000000001</v>
      </c>
      <c r="G35" s="69">
        <f>IF(AND(catpn_1_LOHB_1&gt;0,catpn_1_LOHV_51&gt;0),(dagenperjaar1*VLOOKUP(B35,dagsoorttabel1,2,FALSE))/(((dagenperjaar1*VLOOKUP(B35,dagsoorttabel1,2,FALSE))-catfd_1_LOHV_51)/catpn_1_LOHB_1+catfd_1_LOHV_51/catpn_1_LOHV_51),0)</f>
        <v>0</v>
      </c>
      <c r="H35" s="56" t="s">
        <v>101</v>
      </c>
      <c r="I35" s="60">
        <f>IF(AND(catpn_1_LOHB_1&gt;0,catpn_1_LOHV_51&gt;0),(cattf_1_LOHB_1*((dagenperjaar1*VLOOKUP(B35,dagsoorttabel1,2,FALSE))-catfd_1_LOHV_51)/catpn_1_LOHB_1+cattf_1_LOHV_51*catfd_1_LOHV_51/catpn_1_LOHV_51)/(((dagenperjaar1*VLOOKUP(B35,dagsoorttabel1,2,FALSE))-catfd_1_LOHV_51)/catpn_1_LOHB_1+catfd_1_LOHV_51/catpn_1_LOHV_51),0)</f>
        <v>0</v>
      </c>
      <c r="J35" s="68">
        <f>IF(OR(ISBLANK(G35),G35=0),0,F35/ROUND(G35,4))</f>
        <v>0</v>
      </c>
      <c r="K35" s="60">
        <f>ROUND(I35,2)*J35</f>
        <v>0</v>
      </c>
      <c r="L35" s="68">
        <f>J35*dagenperjaar1</f>
        <v>0</v>
      </c>
      <c r="M35" s="60">
        <f>L35*ROUND(I35,2)</f>
        <v>0</v>
      </c>
    </row>
    <row r="36" spans="1:13" x14ac:dyDescent="0.2">
      <c r="A36" s="56" t="s">
        <v>262</v>
      </c>
      <c r="B36" s="56" t="s">
        <v>9</v>
      </c>
      <c r="C36" s="56" t="s">
        <v>235</v>
      </c>
      <c r="D36" s="56" t="s">
        <v>263</v>
      </c>
      <c r="E36" s="68">
        <v>63.599999999999994</v>
      </c>
      <c r="F36" s="68">
        <f>E36*VLOOKUP(B36,dagsoorttabel1,2,FALSE)</f>
        <v>63.599999999999994</v>
      </c>
      <c r="G36" s="69">
        <f>IF(AND(catpn_1_LOHB_1&gt;0,catpn_1_LOHV_51&gt;0),(dagenperjaar1*VLOOKUP(B36,dagsoorttabel1,2,FALSE))/(((dagenperjaar1*VLOOKUP(B36,dagsoorttabel1,2,FALSE))-catfd_1_LOHV_51)/catpn_1_LOHB_1+catfd_1_LOHV_51/catpn_1_LOHV_51),0)</f>
        <v>0</v>
      </c>
      <c r="H36" s="56" t="s">
        <v>101</v>
      </c>
      <c r="I36" s="60">
        <f>IF(AND(catpn_1_LOHB_1&gt;0,catpn_1_LOHV_51&gt;0),(cattf_1_LOHB_1*((dagenperjaar1*VLOOKUP(B36,dagsoorttabel1,2,FALSE))-catfd_1_LOHV_51)/catpn_1_LOHB_1+cattf_1_LOHV_51*catfd_1_LOHV_51/catpn_1_LOHV_51)/(((dagenperjaar1*VLOOKUP(B36,dagsoorttabel1,2,FALSE))-catfd_1_LOHV_51)/catpn_1_LOHB_1+catfd_1_LOHV_51/catpn_1_LOHV_51),0)</f>
        <v>0</v>
      </c>
      <c r="J36" s="68">
        <f>IF(OR(ISBLANK(G36),G36=0),0,F36/ROUND(G36,4))</f>
        <v>0</v>
      </c>
      <c r="K36" s="60">
        <f>ROUND(I36,2)*J36</f>
        <v>0</v>
      </c>
      <c r="L36" s="68">
        <f>J36*dagenperjaar1</f>
        <v>0</v>
      </c>
      <c r="M36" s="60">
        <f>L36*ROUND(I36,2)</f>
        <v>0</v>
      </c>
    </row>
    <row r="37" spans="1:13" x14ac:dyDescent="0.2">
      <c r="A37" s="56" t="s">
        <v>264</v>
      </c>
      <c r="B37" s="56" t="s">
        <v>21</v>
      </c>
      <c r="C37" s="56" t="s">
        <v>235</v>
      </c>
      <c r="D37" s="56" t="s">
        <v>265</v>
      </c>
      <c r="E37" s="68">
        <v>410.81</v>
      </c>
      <c r="F37" s="68">
        <f>E37*VLOOKUP(B37,dagsoorttabel1,2,FALSE)</f>
        <v>1.5800384615384617</v>
      </c>
      <c r="G37" s="69">
        <f>IF(AND(catpn_1_MAHB_1&gt;0,catpn_1_MAHV_51&gt;0),(dagenperjaar1*VLOOKUP(B37,dagsoorttabel1,2,FALSE))/(((dagenperjaar1*VLOOKUP(B37,dagsoorttabel1,2,FALSE))-catfd_1_MAHV_51)/catpn_1_MAHB_1+catfd_1_MAHV_51/catpn_1_MAHV_51),0)</f>
        <v>0</v>
      </c>
      <c r="H37" s="56" t="s">
        <v>101</v>
      </c>
      <c r="I37" s="60">
        <f>IF(AND(catpn_1_MAHB_1&gt;0,catpn_1_MAHV_51&gt;0),(cattf_1_MAHB_1*((dagenperjaar1*VLOOKUP(B37,dagsoorttabel1,2,FALSE))-catfd_1_MAHV_51)/catpn_1_MAHB_1+cattf_1_MAHV_51*catfd_1_MAHV_51/catpn_1_MAHV_51)/(((dagenperjaar1*VLOOKUP(B37,dagsoorttabel1,2,FALSE))-catfd_1_MAHV_51)/catpn_1_MAHB_1+catfd_1_MAHV_51/catpn_1_MAHV_51),0)</f>
        <v>0</v>
      </c>
      <c r="J37" s="68">
        <f>IF(OR(ISBLANK(G37),G37=0),0,F37/ROUND(G37,4))</f>
        <v>0</v>
      </c>
      <c r="K37" s="60">
        <f>ROUND(I37,2)*J37</f>
        <v>0</v>
      </c>
      <c r="L37" s="68">
        <f>J37*dagenperjaar1</f>
        <v>0</v>
      </c>
      <c r="M37" s="60">
        <f>L37*ROUND(I37,2)</f>
        <v>0</v>
      </c>
    </row>
    <row r="38" spans="1:13" x14ac:dyDescent="0.2">
      <c r="A38" s="56" t="s">
        <v>264</v>
      </c>
      <c r="B38" s="56" t="s">
        <v>13</v>
      </c>
      <c r="C38" s="56" t="s">
        <v>235</v>
      </c>
      <c r="D38" s="56" t="s">
        <v>265</v>
      </c>
      <c r="E38" s="68">
        <v>665.59999999999991</v>
      </c>
      <c r="F38" s="68">
        <f>E38*VLOOKUP(B38,dagsoorttabel1,2,FALSE)</f>
        <v>133.11999999999998</v>
      </c>
      <c r="G38" s="69">
        <f>IF(AND(catpn_1_MAHB_1&gt;0,catpn_1_MAHV_51&gt;0),(dagenperjaar1*VLOOKUP(B38,dagsoorttabel1,2,FALSE))/(((dagenperjaar1*VLOOKUP(B38,dagsoorttabel1,2,FALSE))-catfd_1_MAHV_51)/catpn_1_MAHB_1+catfd_1_MAHV_51/catpn_1_MAHV_51),0)</f>
        <v>0</v>
      </c>
      <c r="H38" s="56" t="s">
        <v>101</v>
      </c>
      <c r="I38" s="60">
        <f>IF(AND(catpn_1_MAHB_1&gt;0,catpn_1_MAHV_51&gt;0),(cattf_1_MAHB_1*((dagenperjaar1*VLOOKUP(B38,dagsoorttabel1,2,FALSE))-catfd_1_MAHV_51)/catpn_1_MAHB_1+cattf_1_MAHV_51*catfd_1_MAHV_51/catpn_1_MAHV_51)/(((dagenperjaar1*VLOOKUP(B38,dagsoorttabel1,2,FALSE))-catfd_1_MAHV_51)/catpn_1_MAHB_1+catfd_1_MAHV_51/catpn_1_MAHV_51),0)</f>
        <v>0</v>
      </c>
      <c r="J38" s="68">
        <f>IF(OR(ISBLANK(G38),G38=0),0,F38/ROUND(G38,4))</f>
        <v>0</v>
      </c>
      <c r="K38" s="60">
        <f>ROUND(I38,2)*J38</f>
        <v>0</v>
      </c>
      <c r="L38" s="68">
        <f>J38*dagenperjaar1</f>
        <v>0</v>
      </c>
      <c r="M38" s="60">
        <f>L38*ROUND(I38,2)</f>
        <v>0</v>
      </c>
    </row>
    <row r="39" spans="1:13" x14ac:dyDescent="0.2">
      <c r="A39" s="56" t="s">
        <v>266</v>
      </c>
      <c r="B39" s="56" t="s">
        <v>13</v>
      </c>
      <c r="C39" s="56" t="s">
        <v>235</v>
      </c>
      <c r="D39" s="56" t="s">
        <v>267</v>
      </c>
      <c r="E39" s="68">
        <v>225.38000000000002</v>
      </c>
      <c r="F39" s="68">
        <f>E39*VLOOKUP(B39,dagsoorttabel1,2,FALSE)</f>
        <v>45.076000000000008</v>
      </c>
      <c r="G39" s="69">
        <f>IF(AND(catpn_1_RKHB_1&gt;0,catpn_1_RKHV_51&gt;0),(dagenperjaar1*VLOOKUP(B39,dagsoorttabel1,2,FALSE))/(((dagenperjaar1*VLOOKUP(B39,dagsoorttabel1,2,FALSE))-catfd_1_RKHV_51)/catpn_1_RKHB_1+catfd_1_RKHV_51/catpn_1_RKHV_51),0)</f>
        <v>0</v>
      </c>
      <c r="H39" s="56" t="s">
        <v>101</v>
      </c>
      <c r="I39" s="60">
        <f>IF(AND(catpn_1_RKHB_1&gt;0,catpn_1_RKHV_51&gt;0),(cattf_1_RKHB_1*((dagenperjaar1*VLOOKUP(B39,dagsoorttabel1,2,FALSE))-catfd_1_RKHV_51)/catpn_1_RKHB_1+cattf_1_RKHV_51*catfd_1_RKHV_51/catpn_1_RKHV_51)/(((dagenperjaar1*VLOOKUP(B39,dagsoorttabel1,2,FALSE))-catfd_1_RKHV_51)/catpn_1_RKHB_1+catfd_1_RKHV_51/catpn_1_RKHV_51),0)</f>
        <v>0</v>
      </c>
      <c r="J39" s="68">
        <f>IF(OR(ISBLANK(G39),G39=0),0,F39/ROUND(G39,4))</f>
        <v>0</v>
      </c>
      <c r="K39" s="60">
        <f>ROUND(I39,2)*J39</f>
        <v>0</v>
      </c>
      <c r="L39" s="68">
        <f>J39*dagenperjaar1</f>
        <v>0</v>
      </c>
      <c r="M39" s="60">
        <f>L39*ROUND(I39,2)</f>
        <v>0</v>
      </c>
    </row>
    <row r="40" spans="1:13" x14ac:dyDescent="0.2">
      <c r="A40" s="56" t="s">
        <v>266</v>
      </c>
      <c r="B40" s="56" t="s">
        <v>12</v>
      </c>
      <c r="C40" s="56" t="s">
        <v>235</v>
      </c>
      <c r="D40" s="56" t="s">
        <v>267</v>
      </c>
      <c r="E40" s="68">
        <v>80.64</v>
      </c>
      <c r="F40" s="68">
        <f>E40*VLOOKUP(B40,dagsoorttabel1,2,FALSE)</f>
        <v>32.256</v>
      </c>
      <c r="G40" s="69">
        <f>IF(AND(catpn_1_RKHB_1&gt;0,catpn_1_RKHV_51&gt;0),(dagenperjaar1*VLOOKUP(B40,dagsoorttabel1,2,FALSE))/(((dagenperjaar1*VLOOKUP(B40,dagsoorttabel1,2,FALSE))-catfd_1_RKHV_51)/catpn_1_RKHB_1+catfd_1_RKHV_51/catpn_1_RKHV_51),0)</f>
        <v>0</v>
      </c>
      <c r="H40" s="56" t="s">
        <v>101</v>
      </c>
      <c r="I40" s="60">
        <f>IF(AND(catpn_1_RKHB_1&gt;0,catpn_1_RKHV_51&gt;0),(cattf_1_RKHB_1*((dagenperjaar1*VLOOKUP(B40,dagsoorttabel1,2,FALSE))-catfd_1_RKHV_51)/catpn_1_RKHB_1+cattf_1_RKHV_51*catfd_1_RKHV_51/catpn_1_RKHV_51)/(((dagenperjaar1*VLOOKUP(B40,dagsoorttabel1,2,FALSE))-catfd_1_RKHV_51)/catpn_1_RKHB_1+catfd_1_RKHV_51/catpn_1_RKHV_51),0)</f>
        <v>0</v>
      </c>
      <c r="J40" s="68">
        <f>IF(OR(ISBLANK(G40),G40=0),0,F40/ROUND(G40,4))</f>
        <v>0</v>
      </c>
      <c r="K40" s="60">
        <f>ROUND(I40,2)*J40</f>
        <v>0</v>
      </c>
      <c r="L40" s="68">
        <f>J40*dagenperjaar1</f>
        <v>0</v>
      </c>
      <c r="M40" s="60">
        <f>L40*ROUND(I40,2)</f>
        <v>0</v>
      </c>
    </row>
    <row r="41" spans="1:13" x14ac:dyDescent="0.2">
      <c r="A41" s="56" t="s">
        <v>266</v>
      </c>
      <c r="B41" s="56" t="s">
        <v>9</v>
      </c>
      <c r="C41" s="56" t="s">
        <v>235</v>
      </c>
      <c r="D41" s="56" t="s">
        <v>267</v>
      </c>
      <c r="E41" s="68">
        <v>29.9</v>
      </c>
      <c r="F41" s="68">
        <f>E41*VLOOKUP(B41,dagsoorttabel1,2,FALSE)</f>
        <v>29.9</v>
      </c>
      <c r="G41" s="69">
        <f>IF(AND(catpn_1_RKHB_1&gt;0,catpn_1_RKHV_51&gt;0),(dagenperjaar1*VLOOKUP(B41,dagsoorttabel1,2,FALSE))/(((dagenperjaar1*VLOOKUP(B41,dagsoorttabel1,2,FALSE))-catfd_1_RKHV_51)/catpn_1_RKHB_1+catfd_1_RKHV_51/catpn_1_RKHV_51),0)</f>
        <v>0</v>
      </c>
      <c r="H41" s="56" t="s">
        <v>101</v>
      </c>
      <c r="I41" s="60">
        <f>IF(AND(catpn_1_RKHB_1&gt;0,catpn_1_RKHV_51&gt;0),(cattf_1_RKHB_1*((dagenperjaar1*VLOOKUP(B41,dagsoorttabel1,2,FALSE))-catfd_1_RKHV_51)/catpn_1_RKHB_1+cattf_1_RKHV_51*catfd_1_RKHV_51/catpn_1_RKHV_51)/(((dagenperjaar1*VLOOKUP(B41,dagsoorttabel1,2,FALSE))-catfd_1_RKHV_51)/catpn_1_RKHB_1+catfd_1_RKHV_51/catpn_1_RKHV_51),0)</f>
        <v>0</v>
      </c>
      <c r="J41" s="68">
        <f>IF(OR(ISBLANK(G41),G41=0),0,F41/ROUND(G41,4))</f>
        <v>0</v>
      </c>
      <c r="K41" s="60">
        <f>ROUND(I41,2)*J41</f>
        <v>0</v>
      </c>
      <c r="L41" s="68">
        <f>J41*dagenperjaar1</f>
        <v>0</v>
      </c>
      <c r="M41" s="60">
        <f>L41*ROUND(I41,2)</f>
        <v>0</v>
      </c>
    </row>
    <row r="42" spans="1:13" x14ac:dyDescent="0.2">
      <c r="A42" s="56" t="s">
        <v>268</v>
      </c>
      <c r="B42" s="56" t="s">
        <v>13</v>
      </c>
      <c r="C42" s="56" t="s">
        <v>235</v>
      </c>
      <c r="D42" s="56" t="s">
        <v>269</v>
      </c>
      <c r="E42" s="68">
        <v>68.27</v>
      </c>
      <c r="F42" s="68">
        <f>E42*VLOOKUP(B42,dagsoorttabel1,2,FALSE)</f>
        <v>13.654</v>
      </c>
      <c r="G42" s="69">
        <f>IF(AND(catpn_1_RPHB_1&gt;0,catpn_1_RPHV_51&gt;0),(dagenperjaar1*VLOOKUP(B42,dagsoorttabel1,2,FALSE))/(((dagenperjaar1*VLOOKUP(B42,dagsoorttabel1,2,FALSE))-catfd_1_RPHV_51)/catpn_1_RPHB_1+catfd_1_RPHV_51/catpn_1_RPHV_51),0)</f>
        <v>0</v>
      </c>
      <c r="H42" s="56" t="s">
        <v>101</v>
      </c>
      <c r="I42" s="60">
        <f>IF(AND(catpn_1_RPHB_1&gt;0,catpn_1_RPHV_51&gt;0),(cattf_1_RPHB_1*((dagenperjaar1*VLOOKUP(B42,dagsoorttabel1,2,FALSE))-catfd_1_RPHV_51)/catpn_1_RPHB_1+cattf_1_RPHV_51*catfd_1_RPHV_51/catpn_1_RPHV_51)/(((dagenperjaar1*VLOOKUP(B42,dagsoorttabel1,2,FALSE))-catfd_1_RPHV_51)/catpn_1_RPHB_1+catfd_1_RPHV_51/catpn_1_RPHV_51),0)</f>
        <v>0</v>
      </c>
      <c r="J42" s="68">
        <f>IF(OR(ISBLANK(G42),G42=0),0,F42/ROUND(G42,4))</f>
        <v>0</v>
      </c>
      <c r="K42" s="60">
        <f>ROUND(I42,2)*J42</f>
        <v>0</v>
      </c>
      <c r="L42" s="68">
        <f>J42*dagenperjaar1</f>
        <v>0</v>
      </c>
      <c r="M42" s="60">
        <f>L42*ROUND(I42,2)</f>
        <v>0</v>
      </c>
    </row>
    <row r="43" spans="1:13" x14ac:dyDescent="0.2">
      <c r="A43" s="56" t="s">
        <v>268</v>
      </c>
      <c r="B43" s="56" t="s">
        <v>12</v>
      </c>
      <c r="C43" s="56" t="s">
        <v>235</v>
      </c>
      <c r="D43" s="56" t="s">
        <v>269</v>
      </c>
      <c r="E43" s="68">
        <v>39.49</v>
      </c>
      <c r="F43" s="68">
        <f>E43*VLOOKUP(B43,dagsoorttabel1,2,FALSE)</f>
        <v>15.796000000000001</v>
      </c>
      <c r="G43" s="69">
        <f>IF(AND(catpn_1_RPHB_1&gt;0,catpn_1_RPHV_51&gt;0),(dagenperjaar1*VLOOKUP(B43,dagsoorttabel1,2,FALSE))/(((dagenperjaar1*VLOOKUP(B43,dagsoorttabel1,2,FALSE))-catfd_1_RPHV_51)/catpn_1_RPHB_1+catfd_1_RPHV_51/catpn_1_RPHV_51),0)</f>
        <v>0</v>
      </c>
      <c r="H43" s="56" t="s">
        <v>101</v>
      </c>
      <c r="I43" s="60">
        <f>IF(AND(catpn_1_RPHB_1&gt;0,catpn_1_RPHV_51&gt;0),(cattf_1_RPHB_1*((dagenperjaar1*VLOOKUP(B43,dagsoorttabel1,2,FALSE))-catfd_1_RPHV_51)/catpn_1_RPHB_1+cattf_1_RPHV_51*catfd_1_RPHV_51/catpn_1_RPHV_51)/(((dagenperjaar1*VLOOKUP(B43,dagsoorttabel1,2,FALSE))-catfd_1_RPHV_51)/catpn_1_RPHB_1+catfd_1_RPHV_51/catpn_1_RPHV_51),0)</f>
        <v>0</v>
      </c>
      <c r="J43" s="68">
        <f>IF(OR(ISBLANK(G43),G43=0),0,F43/ROUND(G43,4))</f>
        <v>0</v>
      </c>
      <c r="K43" s="60">
        <f>ROUND(I43,2)*J43</f>
        <v>0</v>
      </c>
      <c r="L43" s="68">
        <f>J43*dagenperjaar1</f>
        <v>0</v>
      </c>
      <c r="M43" s="60">
        <f>L43*ROUND(I43,2)</f>
        <v>0</v>
      </c>
    </row>
    <row r="44" spans="1:13" x14ac:dyDescent="0.2">
      <c r="A44" s="56" t="s">
        <v>268</v>
      </c>
      <c r="B44" s="56" t="s">
        <v>9</v>
      </c>
      <c r="C44" s="56" t="s">
        <v>235</v>
      </c>
      <c r="D44" s="56" t="s">
        <v>269</v>
      </c>
      <c r="E44" s="68">
        <v>8.7100000000000009</v>
      </c>
      <c r="F44" s="68">
        <f>E44*VLOOKUP(B44,dagsoorttabel1,2,FALSE)</f>
        <v>8.7100000000000009</v>
      </c>
      <c r="G44" s="69">
        <f>IF(AND(catpn_1_RPHB_1&gt;0,catpn_1_RPHV_51&gt;0),(dagenperjaar1*VLOOKUP(B44,dagsoorttabel1,2,FALSE))/(((dagenperjaar1*VLOOKUP(B44,dagsoorttabel1,2,FALSE))-catfd_1_RPHV_51)/catpn_1_RPHB_1+catfd_1_RPHV_51/catpn_1_RPHV_51),0)</f>
        <v>0</v>
      </c>
      <c r="H44" s="56" t="s">
        <v>101</v>
      </c>
      <c r="I44" s="60">
        <f>IF(AND(catpn_1_RPHB_1&gt;0,catpn_1_RPHV_51&gt;0),(cattf_1_RPHB_1*((dagenperjaar1*VLOOKUP(B44,dagsoorttabel1,2,FALSE))-catfd_1_RPHV_51)/catpn_1_RPHB_1+cattf_1_RPHV_51*catfd_1_RPHV_51/catpn_1_RPHV_51)/(((dagenperjaar1*VLOOKUP(B44,dagsoorttabel1,2,FALSE))-catfd_1_RPHV_51)/catpn_1_RPHB_1+catfd_1_RPHV_51/catpn_1_RPHV_51),0)</f>
        <v>0</v>
      </c>
      <c r="J44" s="68">
        <f>IF(OR(ISBLANK(G44),G44=0),0,F44/ROUND(G44,4))</f>
        <v>0</v>
      </c>
      <c r="K44" s="60">
        <f>ROUND(I44,2)*J44</f>
        <v>0</v>
      </c>
      <c r="L44" s="68">
        <f>J44*dagenperjaar1</f>
        <v>0</v>
      </c>
      <c r="M44" s="60">
        <f>L44*ROUND(I44,2)</f>
        <v>0</v>
      </c>
    </row>
    <row r="45" spans="1:13" x14ac:dyDescent="0.2">
      <c r="A45" s="56" t="s">
        <v>270</v>
      </c>
      <c r="B45" s="56" t="s">
        <v>13</v>
      </c>
      <c r="C45" s="56" t="s">
        <v>235</v>
      </c>
      <c r="D45" s="56" t="s">
        <v>271</v>
      </c>
      <c r="E45" s="68">
        <v>1084.1600000000001</v>
      </c>
      <c r="F45" s="68">
        <f>E45*VLOOKUP(B45,dagsoorttabel1,2,FALSE)</f>
        <v>216.83200000000002</v>
      </c>
      <c r="G45" s="69">
        <f>IF(AND(catpn_1_RRHB_1&gt;0,catpn_1_RRHV_51&gt;0),(dagenperjaar1*VLOOKUP(B45,dagsoorttabel1,2,FALSE))/(((dagenperjaar1*VLOOKUP(B45,dagsoorttabel1,2,FALSE))-catfd_1_RRHV_51)/catpn_1_RRHB_1+catfd_1_RRHV_51/catpn_1_RRHV_51),0)</f>
        <v>0</v>
      </c>
      <c r="H45" s="56" t="s">
        <v>101</v>
      </c>
      <c r="I45" s="60">
        <f>IF(AND(catpn_1_RRHB_1&gt;0,catpn_1_RRHV_51&gt;0),(cattf_1_RRHB_1*((dagenperjaar1*VLOOKUP(B45,dagsoorttabel1,2,FALSE))-catfd_1_RRHV_51)/catpn_1_RRHB_1+cattf_1_RRHV_51*catfd_1_RRHV_51/catpn_1_RRHV_51)/(((dagenperjaar1*VLOOKUP(B45,dagsoorttabel1,2,FALSE))-catfd_1_RRHV_51)/catpn_1_RRHB_1+catfd_1_RRHV_51/catpn_1_RRHV_51),0)</f>
        <v>0</v>
      </c>
      <c r="J45" s="68">
        <f>IF(OR(ISBLANK(G45),G45=0),0,F45/ROUND(G45,4))</f>
        <v>0</v>
      </c>
      <c r="K45" s="60">
        <f>ROUND(I45,2)*J45</f>
        <v>0</v>
      </c>
      <c r="L45" s="68">
        <f>J45*dagenperjaar1</f>
        <v>0</v>
      </c>
      <c r="M45" s="60">
        <f>L45*ROUND(I45,2)</f>
        <v>0</v>
      </c>
    </row>
    <row r="46" spans="1:13" x14ac:dyDescent="0.2">
      <c r="A46" s="56" t="s">
        <v>270</v>
      </c>
      <c r="B46" s="56" t="s">
        <v>12</v>
      </c>
      <c r="C46" s="56" t="s">
        <v>235</v>
      </c>
      <c r="D46" s="56" t="s">
        <v>271</v>
      </c>
      <c r="E46" s="68">
        <v>264.77</v>
      </c>
      <c r="F46" s="68">
        <f>E46*VLOOKUP(B46,dagsoorttabel1,2,FALSE)</f>
        <v>105.908</v>
      </c>
      <c r="G46" s="69">
        <f>IF(AND(catpn_1_RRHB_1&gt;0,catpn_1_RRHV_51&gt;0),(dagenperjaar1*VLOOKUP(B46,dagsoorttabel1,2,FALSE))/(((dagenperjaar1*VLOOKUP(B46,dagsoorttabel1,2,FALSE))-catfd_1_RRHV_51)/catpn_1_RRHB_1+catfd_1_RRHV_51/catpn_1_RRHV_51),0)</f>
        <v>0</v>
      </c>
      <c r="H46" s="56" t="s">
        <v>101</v>
      </c>
      <c r="I46" s="60">
        <f>IF(AND(catpn_1_RRHB_1&gt;0,catpn_1_RRHV_51&gt;0),(cattf_1_RRHB_1*((dagenperjaar1*VLOOKUP(B46,dagsoorttabel1,2,FALSE))-catfd_1_RRHV_51)/catpn_1_RRHB_1+cattf_1_RRHV_51*catfd_1_RRHV_51/catpn_1_RRHV_51)/(((dagenperjaar1*VLOOKUP(B46,dagsoorttabel1,2,FALSE))-catfd_1_RRHV_51)/catpn_1_RRHB_1+catfd_1_RRHV_51/catpn_1_RRHV_51),0)</f>
        <v>0</v>
      </c>
      <c r="J46" s="68">
        <f>IF(OR(ISBLANK(G46),G46=0),0,F46/ROUND(G46,4))</f>
        <v>0</v>
      </c>
      <c r="K46" s="60">
        <f>ROUND(I46,2)*J46</f>
        <v>0</v>
      </c>
      <c r="L46" s="68">
        <f>J46*dagenperjaar1</f>
        <v>0</v>
      </c>
      <c r="M46" s="60">
        <f>L46*ROUND(I46,2)</f>
        <v>0</v>
      </c>
    </row>
    <row r="47" spans="1:13" x14ac:dyDescent="0.2">
      <c r="A47" s="56" t="s">
        <v>270</v>
      </c>
      <c r="B47" s="56" t="s">
        <v>9</v>
      </c>
      <c r="C47" s="56" t="s">
        <v>235</v>
      </c>
      <c r="D47" s="56" t="s">
        <v>271</v>
      </c>
      <c r="E47" s="68">
        <v>329.91999999999996</v>
      </c>
      <c r="F47" s="68">
        <f>E47*VLOOKUP(B47,dagsoorttabel1,2,FALSE)</f>
        <v>329.91999999999996</v>
      </c>
      <c r="G47" s="69">
        <f>IF(AND(catpn_1_RRHB_1&gt;0,catpn_1_RRHV_51&gt;0),(dagenperjaar1*VLOOKUP(B47,dagsoorttabel1,2,FALSE))/(((dagenperjaar1*VLOOKUP(B47,dagsoorttabel1,2,FALSE))-catfd_1_RRHV_51)/catpn_1_RRHB_1+catfd_1_RRHV_51/catpn_1_RRHV_51),0)</f>
        <v>0</v>
      </c>
      <c r="H47" s="56" t="s">
        <v>101</v>
      </c>
      <c r="I47" s="60">
        <f>IF(AND(catpn_1_RRHB_1&gt;0,catpn_1_RRHV_51&gt;0),(cattf_1_RRHB_1*((dagenperjaar1*VLOOKUP(B47,dagsoorttabel1,2,FALSE))-catfd_1_RRHV_51)/catpn_1_RRHB_1+cattf_1_RRHV_51*catfd_1_RRHV_51/catpn_1_RRHV_51)/(((dagenperjaar1*VLOOKUP(B47,dagsoorttabel1,2,FALSE))-catfd_1_RRHV_51)/catpn_1_RRHB_1+catfd_1_RRHV_51/catpn_1_RRHV_51),0)</f>
        <v>0</v>
      </c>
      <c r="J47" s="68">
        <f>IF(OR(ISBLANK(G47),G47=0),0,F47/ROUND(G47,4))</f>
        <v>0</v>
      </c>
      <c r="K47" s="60">
        <f>ROUND(I47,2)*J47</f>
        <v>0</v>
      </c>
      <c r="L47" s="68">
        <f>J47*dagenperjaar1</f>
        <v>0</v>
      </c>
      <c r="M47" s="60">
        <f>L47*ROUND(I47,2)</f>
        <v>0</v>
      </c>
    </row>
    <row r="48" spans="1:13" x14ac:dyDescent="0.2">
      <c r="A48" s="56" t="s">
        <v>272</v>
      </c>
      <c r="B48" s="56" t="s">
        <v>9</v>
      </c>
      <c r="C48" s="56" t="s">
        <v>235</v>
      </c>
      <c r="D48" s="56" t="s">
        <v>271</v>
      </c>
      <c r="E48" s="68">
        <v>252.6</v>
      </c>
      <c r="F48" s="68">
        <f>E48*VLOOKUP(B48,dagsoorttabel1,2,FALSE)</f>
        <v>252.6</v>
      </c>
      <c r="G48" s="69">
        <f>IF(AND(catpn_1_RRHB_1&gt;0,catpn_1_RRHV_51&gt;0),(dagenperjaar1*VLOOKUP(B48,dagsoorttabel1,2,FALSE))/(((dagenperjaar1*VLOOKUP(B48,dagsoorttabel1,2,FALSE))-catfd_1_RRHV_51)/catpn_1_RRHB_1+catfd_1_RRHV_51/catpn_1_RRHV_51),0)</f>
        <v>0</v>
      </c>
      <c r="H48" s="56" t="s">
        <v>101</v>
      </c>
      <c r="I48" s="60">
        <f>IF(AND(catpn_1_RRHB_1&gt;0,catpn_1_RRHV_51&gt;0),(cattf_1_RRHB_1*((dagenperjaar1*VLOOKUP(B48,dagsoorttabel1,2,FALSE))-catfd_1_RRHV_51)/catpn_1_RRHB_1+cattf_1_RRHV_51*catfd_1_RRHV_51/catpn_1_RRHV_51)/(((dagenperjaar1*VLOOKUP(B48,dagsoorttabel1,2,FALSE))-catfd_1_RRHV_51)/catpn_1_RRHB_1+catfd_1_RRHV_51/catpn_1_RRHV_51),0)</f>
        <v>0</v>
      </c>
      <c r="J48" s="68">
        <f>IF(OR(ISBLANK(G48),G48=0),0,F48/ROUND(G48,4))</f>
        <v>0</v>
      </c>
      <c r="K48" s="60">
        <f>ROUND(I48,2)*J48</f>
        <v>0</v>
      </c>
      <c r="L48" s="68">
        <f>J48*dagenperjaar1</f>
        <v>0</v>
      </c>
      <c r="M48" s="60">
        <f>L48*ROUND(I48,2)</f>
        <v>0</v>
      </c>
    </row>
    <row r="49" spans="1:13" x14ac:dyDescent="0.2">
      <c r="A49" s="56" t="s">
        <v>273</v>
      </c>
      <c r="B49" s="56" t="s">
        <v>12</v>
      </c>
      <c r="C49" s="56" t="s">
        <v>235</v>
      </c>
      <c r="D49" s="56" t="s">
        <v>274</v>
      </c>
      <c r="E49" s="68">
        <v>20</v>
      </c>
      <c r="F49" s="68">
        <f>E49*VLOOKUP(B49,dagsoorttabel1,2,FALSE)</f>
        <v>8</v>
      </c>
      <c r="G49" s="69">
        <f>IF(AND(catpn_1_RRZB_1&gt;0,catpn_1_RRZV_51&gt;0),(dagenperjaar1*VLOOKUP(B49,dagsoorttabel1,2,FALSE))/(((dagenperjaar1*VLOOKUP(B49,dagsoorttabel1,2,FALSE))-catfd_1_RRZV_51)/catpn_1_RRZB_1+catfd_1_RRZV_51/catpn_1_RRZV_51),0)</f>
        <v>0</v>
      </c>
      <c r="H49" s="56" t="s">
        <v>101</v>
      </c>
      <c r="I49" s="60">
        <f>IF(AND(catpn_1_RRZB_1&gt;0,catpn_1_RRZV_51&gt;0),(cattf_1_RRZB_1*((dagenperjaar1*VLOOKUP(B49,dagsoorttabel1,2,FALSE))-catfd_1_RRZV_51)/catpn_1_RRZB_1+cattf_1_RRZV_51*catfd_1_RRZV_51/catpn_1_RRZV_51)/(((dagenperjaar1*VLOOKUP(B49,dagsoorttabel1,2,FALSE))-catfd_1_RRZV_51)/catpn_1_RRZB_1+catfd_1_RRZV_51/catpn_1_RRZV_51),0)</f>
        <v>0</v>
      </c>
      <c r="J49" s="68">
        <f>IF(OR(ISBLANK(G49),G49=0),0,F49/ROUND(G49,4))</f>
        <v>0</v>
      </c>
      <c r="K49" s="60">
        <f>ROUND(I49,2)*J49</f>
        <v>0</v>
      </c>
      <c r="L49" s="68">
        <f>J49*dagenperjaar1</f>
        <v>0</v>
      </c>
      <c r="M49" s="60">
        <f>L49*ROUND(I49,2)</f>
        <v>0</v>
      </c>
    </row>
    <row r="50" spans="1:13" x14ac:dyDescent="0.2">
      <c r="A50" s="56" t="s">
        <v>275</v>
      </c>
      <c r="B50" s="56" t="s">
        <v>13</v>
      </c>
      <c r="C50" s="56" t="s">
        <v>235</v>
      </c>
      <c r="D50" s="56" t="s">
        <v>276</v>
      </c>
      <c r="E50" s="68">
        <v>309.29000000000002</v>
      </c>
      <c r="F50" s="68">
        <f>E50*VLOOKUP(B50,dagsoorttabel1,2,FALSE)</f>
        <v>61.858000000000004</v>
      </c>
      <c r="G50" s="69">
        <f>IF(AND(catpn_1_SDHB_1&gt;0,catpn_1_SDHV_51&gt;0),(dagenperjaar1*VLOOKUP(B50,dagsoorttabel1,2,FALSE))/(((dagenperjaar1*VLOOKUP(B50,dagsoorttabel1,2,FALSE))-catfd_1_SDHV_51)/catpn_1_SDHB_1+catfd_1_SDHV_51/catpn_1_SDHV_51),0)</f>
        <v>0</v>
      </c>
      <c r="H50" s="56" t="s">
        <v>101</v>
      </c>
      <c r="I50" s="60">
        <f>IF(AND(catpn_1_SDHB_1&gt;0,catpn_1_SDHV_51&gt;0),(cattf_1_SDHB_1*((dagenperjaar1*VLOOKUP(B50,dagsoorttabel1,2,FALSE))-catfd_1_SDHV_51)/catpn_1_SDHB_1+cattf_1_SDHV_51*catfd_1_SDHV_51/catpn_1_SDHV_51)/(((dagenperjaar1*VLOOKUP(B50,dagsoorttabel1,2,FALSE))-catfd_1_SDHV_51)/catpn_1_SDHB_1+catfd_1_SDHV_51/catpn_1_SDHV_51),0)</f>
        <v>0</v>
      </c>
      <c r="J50" s="68">
        <f>IF(OR(ISBLANK(G50),G50=0),0,F50/ROUND(G50,4))</f>
        <v>0</v>
      </c>
      <c r="K50" s="60">
        <f>ROUND(I50,2)*J50</f>
        <v>0</v>
      </c>
      <c r="L50" s="68">
        <f>J50*dagenperjaar1</f>
        <v>0</v>
      </c>
      <c r="M50" s="60">
        <f>L50*ROUND(I50,2)</f>
        <v>0</v>
      </c>
    </row>
    <row r="51" spans="1:13" x14ac:dyDescent="0.2">
      <c r="A51" s="56" t="s">
        <v>275</v>
      </c>
      <c r="B51" s="56" t="s">
        <v>12</v>
      </c>
      <c r="C51" s="56" t="s">
        <v>235</v>
      </c>
      <c r="D51" s="56" t="s">
        <v>276</v>
      </c>
      <c r="E51" s="68">
        <v>23.45</v>
      </c>
      <c r="F51" s="68">
        <f>E51*VLOOKUP(B51,dagsoorttabel1,2,FALSE)</f>
        <v>9.3800000000000008</v>
      </c>
      <c r="G51" s="69">
        <f>IF(AND(catpn_1_SDHB_1&gt;0,catpn_1_SDHV_51&gt;0),(dagenperjaar1*VLOOKUP(B51,dagsoorttabel1,2,FALSE))/(((dagenperjaar1*VLOOKUP(B51,dagsoorttabel1,2,FALSE))-catfd_1_SDHV_51)/catpn_1_SDHB_1+catfd_1_SDHV_51/catpn_1_SDHV_51),0)</f>
        <v>0</v>
      </c>
      <c r="H51" s="56" t="s">
        <v>101</v>
      </c>
      <c r="I51" s="60">
        <f>IF(AND(catpn_1_SDHB_1&gt;0,catpn_1_SDHV_51&gt;0),(cattf_1_SDHB_1*((dagenperjaar1*VLOOKUP(B51,dagsoorttabel1,2,FALSE))-catfd_1_SDHV_51)/catpn_1_SDHB_1+cattf_1_SDHV_51*catfd_1_SDHV_51/catpn_1_SDHV_51)/(((dagenperjaar1*VLOOKUP(B51,dagsoorttabel1,2,FALSE))-catfd_1_SDHV_51)/catpn_1_SDHB_1+catfd_1_SDHV_51/catpn_1_SDHV_51),0)</f>
        <v>0</v>
      </c>
      <c r="J51" s="68">
        <f>IF(OR(ISBLANK(G51),G51=0),0,F51/ROUND(G51,4))</f>
        <v>0</v>
      </c>
      <c r="K51" s="60">
        <f>ROUND(I51,2)*J51</f>
        <v>0</v>
      </c>
      <c r="L51" s="68">
        <f>J51*dagenperjaar1</f>
        <v>0</v>
      </c>
      <c r="M51" s="60">
        <f>L51*ROUND(I51,2)</f>
        <v>0</v>
      </c>
    </row>
    <row r="52" spans="1:13" x14ac:dyDescent="0.2">
      <c r="A52" s="56" t="s">
        <v>275</v>
      </c>
      <c r="B52" s="56" t="s">
        <v>9</v>
      </c>
      <c r="C52" s="56" t="s">
        <v>235</v>
      </c>
      <c r="D52" s="56" t="s">
        <v>276</v>
      </c>
      <c r="E52" s="68">
        <v>25</v>
      </c>
      <c r="F52" s="68">
        <f>E52*VLOOKUP(B52,dagsoorttabel1,2,FALSE)</f>
        <v>25</v>
      </c>
      <c r="G52" s="69">
        <f>IF(AND(catpn_1_SDHB_1&gt;0,catpn_1_SDHV_51&gt;0),(dagenperjaar1*VLOOKUP(B52,dagsoorttabel1,2,FALSE))/(((dagenperjaar1*VLOOKUP(B52,dagsoorttabel1,2,FALSE))-catfd_1_SDHV_51)/catpn_1_SDHB_1+catfd_1_SDHV_51/catpn_1_SDHV_51),0)</f>
        <v>0</v>
      </c>
      <c r="H52" s="56" t="s">
        <v>101</v>
      </c>
      <c r="I52" s="60">
        <f>IF(AND(catpn_1_SDHB_1&gt;0,catpn_1_SDHV_51&gt;0),(cattf_1_SDHB_1*((dagenperjaar1*VLOOKUP(B52,dagsoorttabel1,2,FALSE))-catfd_1_SDHV_51)/catpn_1_SDHB_1+cattf_1_SDHV_51*catfd_1_SDHV_51/catpn_1_SDHV_51)/(((dagenperjaar1*VLOOKUP(B52,dagsoorttabel1,2,FALSE))-catfd_1_SDHV_51)/catpn_1_SDHB_1+catfd_1_SDHV_51/catpn_1_SDHV_51),0)</f>
        <v>0</v>
      </c>
      <c r="J52" s="68">
        <f>IF(OR(ISBLANK(G52),G52=0),0,F52/ROUND(G52,4))</f>
        <v>0</v>
      </c>
      <c r="K52" s="60">
        <f>ROUND(I52,2)*J52</f>
        <v>0</v>
      </c>
      <c r="L52" s="68">
        <f>J52*dagenperjaar1</f>
        <v>0</v>
      </c>
      <c r="M52" s="60">
        <f>L52*ROUND(I52,2)</f>
        <v>0</v>
      </c>
    </row>
    <row r="53" spans="1:13" x14ac:dyDescent="0.2">
      <c r="A53" s="56" t="s">
        <v>277</v>
      </c>
      <c r="B53" s="56" t="s">
        <v>13</v>
      </c>
      <c r="C53" s="56" t="s">
        <v>235</v>
      </c>
      <c r="D53" s="56" t="s">
        <v>278</v>
      </c>
      <c r="E53" s="68">
        <v>1401.72</v>
      </c>
      <c r="F53" s="68">
        <f>E53*VLOOKUP(B53,dagsoorttabel1,2,FALSE)</f>
        <v>280.34399999999999</v>
      </c>
      <c r="G53" s="69">
        <f>IF(AND(catpn_1_SKHB_1&gt;0,catpn_1_SKHV_51&gt;0),(dagenperjaar1*VLOOKUP(B53,dagsoorttabel1,2,FALSE))/(((dagenperjaar1*VLOOKUP(B53,dagsoorttabel1,2,FALSE))-catfd_1_SKHV_51)/catpn_1_SKHB_1+catfd_1_SKHV_51/catpn_1_SKHV_51),0)</f>
        <v>0</v>
      </c>
      <c r="H53" s="56" t="s">
        <v>101</v>
      </c>
      <c r="I53" s="60">
        <f>IF(AND(catpn_1_SKHB_1&gt;0,catpn_1_SKHV_51&gt;0),(cattf_1_SKHB_1*((dagenperjaar1*VLOOKUP(B53,dagsoorttabel1,2,FALSE))-catfd_1_SKHV_51)/catpn_1_SKHB_1+cattf_1_SKHV_51*catfd_1_SKHV_51/catpn_1_SKHV_51)/(((dagenperjaar1*VLOOKUP(B53,dagsoorttabel1,2,FALSE))-catfd_1_SKHV_51)/catpn_1_SKHB_1+catfd_1_SKHV_51/catpn_1_SKHV_51),0)</f>
        <v>0</v>
      </c>
      <c r="J53" s="68">
        <f>IF(OR(ISBLANK(G53),G53=0),0,F53/ROUND(G53,4))</f>
        <v>0</v>
      </c>
      <c r="K53" s="60">
        <f>ROUND(I53,2)*J53</f>
        <v>0</v>
      </c>
      <c r="L53" s="68">
        <f>J53*dagenperjaar1</f>
        <v>0</v>
      </c>
      <c r="M53" s="60">
        <f>L53*ROUND(I53,2)</f>
        <v>0</v>
      </c>
    </row>
    <row r="54" spans="1:13" x14ac:dyDescent="0.2">
      <c r="A54" s="56" t="s">
        <v>277</v>
      </c>
      <c r="B54" s="56" t="s">
        <v>12</v>
      </c>
      <c r="C54" s="56" t="s">
        <v>235</v>
      </c>
      <c r="D54" s="56" t="s">
        <v>278</v>
      </c>
      <c r="E54" s="68">
        <v>212.53</v>
      </c>
      <c r="F54" s="68">
        <f>E54*VLOOKUP(B54,dagsoorttabel1,2,FALSE)</f>
        <v>85.012</v>
      </c>
      <c r="G54" s="69">
        <f>IF(AND(catpn_1_SKHB_1&gt;0,catpn_1_SKHV_51&gt;0),(dagenperjaar1*VLOOKUP(B54,dagsoorttabel1,2,FALSE))/(((dagenperjaar1*VLOOKUP(B54,dagsoorttabel1,2,FALSE))-catfd_1_SKHV_51)/catpn_1_SKHB_1+catfd_1_SKHV_51/catpn_1_SKHV_51),0)</f>
        <v>0</v>
      </c>
      <c r="H54" s="56" t="s">
        <v>101</v>
      </c>
      <c r="I54" s="60">
        <f>IF(AND(catpn_1_SKHB_1&gt;0,catpn_1_SKHV_51&gt;0),(cattf_1_SKHB_1*((dagenperjaar1*VLOOKUP(B54,dagsoorttabel1,2,FALSE))-catfd_1_SKHV_51)/catpn_1_SKHB_1+cattf_1_SKHV_51*catfd_1_SKHV_51/catpn_1_SKHV_51)/(((dagenperjaar1*VLOOKUP(B54,dagsoorttabel1,2,FALSE))-catfd_1_SKHV_51)/catpn_1_SKHB_1+catfd_1_SKHV_51/catpn_1_SKHV_51),0)</f>
        <v>0</v>
      </c>
      <c r="J54" s="68">
        <f>IF(OR(ISBLANK(G54),G54=0),0,F54/ROUND(G54,4))</f>
        <v>0</v>
      </c>
      <c r="K54" s="60">
        <f>ROUND(I54,2)*J54</f>
        <v>0</v>
      </c>
      <c r="L54" s="68">
        <f>J54*dagenperjaar1</f>
        <v>0</v>
      </c>
      <c r="M54" s="60">
        <f>L54*ROUND(I54,2)</f>
        <v>0</v>
      </c>
    </row>
    <row r="55" spans="1:13" x14ac:dyDescent="0.2">
      <c r="A55" s="56" t="s">
        <v>277</v>
      </c>
      <c r="B55" s="56" t="s">
        <v>9</v>
      </c>
      <c r="C55" s="56" t="s">
        <v>235</v>
      </c>
      <c r="D55" s="56" t="s">
        <v>278</v>
      </c>
      <c r="E55" s="68">
        <v>158.25</v>
      </c>
      <c r="F55" s="68">
        <f>E55*VLOOKUP(B55,dagsoorttabel1,2,FALSE)</f>
        <v>158.25</v>
      </c>
      <c r="G55" s="69">
        <f>IF(AND(catpn_1_SKHB_1&gt;0,catpn_1_SKHV_51&gt;0),(dagenperjaar1*VLOOKUP(B55,dagsoorttabel1,2,FALSE))/(((dagenperjaar1*VLOOKUP(B55,dagsoorttabel1,2,FALSE))-catfd_1_SKHV_51)/catpn_1_SKHB_1+catfd_1_SKHV_51/catpn_1_SKHV_51),0)</f>
        <v>0</v>
      </c>
      <c r="H55" s="56" t="s">
        <v>101</v>
      </c>
      <c r="I55" s="60">
        <f>IF(AND(catpn_1_SKHB_1&gt;0,catpn_1_SKHV_51&gt;0),(cattf_1_SKHB_1*((dagenperjaar1*VLOOKUP(B55,dagsoorttabel1,2,FALSE))-catfd_1_SKHV_51)/catpn_1_SKHB_1+cattf_1_SKHV_51*catfd_1_SKHV_51/catpn_1_SKHV_51)/(((dagenperjaar1*VLOOKUP(B55,dagsoorttabel1,2,FALSE))-catfd_1_SKHV_51)/catpn_1_SKHB_1+catfd_1_SKHV_51/catpn_1_SKHV_51),0)</f>
        <v>0</v>
      </c>
      <c r="J55" s="68">
        <f>IF(OR(ISBLANK(G55),G55=0),0,F55/ROUND(G55,4))</f>
        <v>0</v>
      </c>
      <c r="K55" s="60">
        <f>ROUND(I55,2)*J55</f>
        <v>0</v>
      </c>
      <c r="L55" s="68">
        <f>J55*dagenperjaar1</f>
        <v>0</v>
      </c>
      <c r="M55" s="60">
        <f>L55*ROUND(I55,2)</f>
        <v>0</v>
      </c>
    </row>
    <row r="56" spans="1:13" x14ac:dyDescent="0.2">
      <c r="A56" s="56" t="s">
        <v>279</v>
      </c>
      <c r="B56" s="56" t="s">
        <v>13</v>
      </c>
      <c r="C56" s="56" t="s">
        <v>235</v>
      </c>
      <c r="D56" s="56" t="s">
        <v>280</v>
      </c>
      <c r="E56" s="68">
        <v>379.76000000000005</v>
      </c>
      <c r="F56" s="68">
        <f>E56*VLOOKUP(B56,dagsoorttabel1,2,FALSE)</f>
        <v>75.952000000000012</v>
      </c>
      <c r="G56" s="69">
        <f>IF(AND(catpn_1_STHB_1&gt;0,catpn_1_STHV_51&gt;0),(dagenperjaar1*VLOOKUP(B56,dagsoorttabel1,2,FALSE))/(((dagenperjaar1*VLOOKUP(B56,dagsoorttabel1,2,FALSE))-catfd_1_STHV_51)/catpn_1_STHB_1+catfd_1_STHV_51/catpn_1_STHV_51),0)</f>
        <v>0</v>
      </c>
      <c r="H56" s="56" t="s">
        <v>101</v>
      </c>
      <c r="I56" s="60">
        <f>IF(AND(catpn_1_STHB_1&gt;0,catpn_1_STHV_51&gt;0),(cattf_1_STHB_1*((dagenperjaar1*VLOOKUP(B56,dagsoorttabel1,2,FALSE))-catfd_1_STHV_51)/catpn_1_STHB_1+cattf_1_STHV_51*catfd_1_STHV_51/catpn_1_STHV_51)/(((dagenperjaar1*VLOOKUP(B56,dagsoorttabel1,2,FALSE))-catfd_1_STHV_51)/catpn_1_STHB_1+catfd_1_STHV_51/catpn_1_STHV_51),0)</f>
        <v>0</v>
      </c>
      <c r="J56" s="68">
        <f>IF(OR(ISBLANK(G56),G56=0),0,F56/ROUND(G56,4))</f>
        <v>0</v>
      </c>
      <c r="K56" s="60">
        <f>ROUND(I56,2)*J56</f>
        <v>0</v>
      </c>
      <c r="L56" s="68">
        <f>J56*dagenperjaar1</f>
        <v>0</v>
      </c>
      <c r="M56" s="60">
        <f>L56*ROUND(I56,2)</f>
        <v>0</v>
      </c>
    </row>
    <row r="57" spans="1:13" x14ac:dyDescent="0.2">
      <c r="A57" s="56" t="s">
        <v>279</v>
      </c>
      <c r="B57" s="56" t="s">
        <v>12</v>
      </c>
      <c r="C57" s="56" t="s">
        <v>235</v>
      </c>
      <c r="D57" s="56" t="s">
        <v>280</v>
      </c>
      <c r="E57" s="68">
        <v>146.15</v>
      </c>
      <c r="F57" s="68">
        <f>E57*VLOOKUP(B57,dagsoorttabel1,2,FALSE)</f>
        <v>58.460000000000008</v>
      </c>
      <c r="G57" s="69">
        <f>IF(AND(catpn_1_STHB_1&gt;0,catpn_1_STHV_51&gt;0),(dagenperjaar1*VLOOKUP(B57,dagsoorttabel1,2,FALSE))/(((dagenperjaar1*VLOOKUP(B57,dagsoorttabel1,2,FALSE))-catfd_1_STHV_51)/catpn_1_STHB_1+catfd_1_STHV_51/catpn_1_STHV_51),0)</f>
        <v>0</v>
      </c>
      <c r="H57" s="56" t="s">
        <v>101</v>
      </c>
      <c r="I57" s="60">
        <f>IF(AND(catpn_1_STHB_1&gt;0,catpn_1_STHV_51&gt;0),(cattf_1_STHB_1*((dagenperjaar1*VLOOKUP(B57,dagsoorttabel1,2,FALSE))-catfd_1_STHV_51)/catpn_1_STHB_1+cattf_1_STHV_51*catfd_1_STHV_51/catpn_1_STHV_51)/(((dagenperjaar1*VLOOKUP(B57,dagsoorttabel1,2,FALSE))-catfd_1_STHV_51)/catpn_1_STHB_1+catfd_1_STHV_51/catpn_1_STHV_51),0)</f>
        <v>0</v>
      </c>
      <c r="J57" s="68">
        <f>IF(OR(ISBLANK(G57),G57=0),0,F57/ROUND(G57,4))</f>
        <v>0</v>
      </c>
      <c r="K57" s="60">
        <f>ROUND(I57,2)*J57</f>
        <v>0</v>
      </c>
      <c r="L57" s="68">
        <f>J57*dagenperjaar1</f>
        <v>0</v>
      </c>
      <c r="M57" s="60">
        <f>L57*ROUND(I57,2)</f>
        <v>0</v>
      </c>
    </row>
    <row r="58" spans="1:13" x14ac:dyDescent="0.2">
      <c r="A58" s="56" t="s">
        <v>279</v>
      </c>
      <c r="B58" s="56" t="s">
        <v>9</v>
      </c>
      <c r="C58" s="56" t="s">
        <v>235</v>
      </c>
      <c r="D58" s="56" t="s">
        <v>280</v>
      </c>
      <c r="E58" s="68">
        <v>192.10999999999999</v>
      </c>
      <c r="F58" s="68">
        <f>E58*VLOOKUP(B58,dagsoorttabel1,2,FALSE)</f>
        <v>192.10999999999999</v>
      </c>
      <c r="G58" s="69">
        <f>IF(AND(catpn_1_STHB_1&gt;0,catpn_1_STHV_51&gt;0),(dagenperjaar1*VLOOKUP(B58,dagsoorttabel1,2,FALSE))/(((dagenperjaar1*VLOOKUP(B58,dagsoorttabel1,2,FALSE))-catfd_1_STHV_51)/catpn_1_STHB_1+catfd_1_STHV_51/catpn_1_STHV_51),0)</f>
        <v>0</v>
      </c>
      <c r="H58" s="56" t="s">
        <v>101</v>
      </c>
      <c r="I58" s="60">
        <f>IF(AND(catpn_1_STHB_1&gt;0,catpn_1_STHV_51&gt;0),(cattf_1_STHB_1*((dagenperjaar1*VLOOKUP(B58,dagsoorttabel1,2,FALSE))-catfd_1_STHV_51)/catpn_1_STHB_1+cattf_1_STHV_51*catfd_1_STHV_51/catpn_1_STHV_51)/(((dagenperjaar1*VLOOKUP(B58,dagsoorttabel1,2,FALSE))-catfd_1_STHV_51)/catpn_1_STHB_1+catfd_1_STHV_51/catpn_1_STHV_51),0)</f>
        <v>0</v>
      </c>
      <c r="J58" s="68">
        <f>IF(OR(ISBLANK(G58),G58=0),0,F58/ROUND(G58,4))</f>
        <v>0</v>
      </c>
      <c r="K58" s="60">
        <f>ROUND(I58,2)*J58</f>
        <v>0</v>
      </c>
      <c r="L58" s="68">
        <f>J58*dagenperjaar1</f>
        <v>0</v>
      </c>
      <c r="M58" s="60">
        <f>L58*ROUND(I58,2)</f>
        <v>0</v>
      </c>
    </row>
    <row r="59" spans="1:13" x14ac:dyDescent="0.2">
      <c r="A59" s="56" t="s">
        <v>281</v>
      </c>
      <c r="B59" s="56" t="s">
        <v>21</v>
      </c>
      <c r="C59" s="56" t="s">
        <v>235</v>
      </c>
      <c r="D59" s="56" t="s">
        <v>282</v>
      </c>
      <c r="E59" s="68">
        <v>173.81</v>
      </c>
      <c r="F59" s="68">
        <f>E59*VLOOKUP(B59,dagsoorttabel1,2,FALSE)</f>
        <v>0.66850000000000009</v>
      </c>
      <c r="G59" s="69">
        <f>IF(AND(catpn_1_SWHB_1&gt;0,catpn_1_SWHV_51&gt;0),(dagenperjaar1*VLOOKUP(B59,dagsoorttabel1,2,FALSE))/(((dagenperjaar1*VLOOKUP(B59,dagsoorttabel1,2,FALSE))-catfd_1_SWHV_51)/catpn_1_SWHB_1+catfd_1_SWHV_51/catpn_1_SWHV_51),0)</f>
        <v>0</v>
      </c>
      <c r="H59" s="56" t="s">
        <v>101</v>
      </c>
      <c r="I59" s="60">
        <f>IF(AND(catpn_1_SWHB_1&gt;0,catpn_1_SWHV_51&gt;0),(cattf_1_SWHB_1*((dagenperjaar1*VLOOKUP(B59,dagsoorttabel1,2,FALSE))-catfd_1_SWHV_51)/catpn_1_SWHB_1+cattf_1_SWHV_51*catfd_1_SWHV_51/catpn_1_SWHV_51)/(((dagenperjaar1*VLOOKUP(B59,dagsoorttabel1,2,FALSE))-catfd_1_SWHV_51)/catpn_1_SWHB_1+catfd_1_SWHV_51/catpn_1_SWHV_51),0)</f>
        <v>0</v>
      </c>
      <c r="J59" s="68">
        <f>IF(OR(ISBLANK(G59),G59=0),0,F59/ROUND(G59,4))</f>
        <v>0</v>
      </c>
      <c r="K59" s="60">
        <f>ROUND(I59,2)*J59</f>
        <v>0</v>
      </c>
      <c r="L59" s="68">
        <f>J59*dagenperjaar1</f>
        <v>0</v>
      </c>
      <c r="M59" s="60">
        <f>L59*ROUND(I59,2)</f>
        <v>0</v>
      </c>
    </row>
    <row r="60" spans="1:13" x14ac:dyDescent="0.2">
      <c r="A60" s="56" t="s">
        <v>281</v>
      </c>
      <c r="B60" s="56" t="s">
        <v>13</v>
      </c>
      <c r="C60" s="56" t="s">
        <v>235</v>
      </c>
      <c r="D60" s="56" t="s">
        <v>282</v>
      </c>
      <c r="E60" s="68">
        <v>42</v>
      </c>
      <c r="F60" s="68">
        <f>E60*VLOOKUP(B60,dagsoorttabel1,2,FALSE)</f>
        <v>8.4</v>
      </c>
      <c r="G60" s="69">
        <f>IF(AND(catpn_1_SWHB_1&gt;0,catpn_1_SWHV_51&gt;0),(dagenperjaar1*VLOOKUP(B60,dagsoorttabel1,2,FALSE))/(((dagenperjaar1*VLOOKUP(B60,dagsoorttabel1,2,FALSE))-catfd_1_SWHV_51)/catpn_1_SWHB_1+catfd_1_SWHV_51/catpn_1_SWHV_51),0)</f>
        <v>0</v>
      </c>
      <c r="H60" s="56" t="s">
        <v>101</v>
      </c>
      <c r="I60" s="60">
        <f>IF(AND(catpn_1_SWHB_1&gt;0,catpn_1_SWHV_51&gt;0),(cattf_1_SWHB_1*((dagenperjaar1*VLOOKUP(B60,dagsoorttabel1,2,FALSE))-catfd_1_SWHV_51)/catpn_1_SWHB_1+cattf_1_SWHV_51*catfd_1_SWHV_51/catpn_1_SWHV_51)/(((dagenperjaar1*VLOOKUP(B60,dagsoorttabel1,2,FALSE))-catfd_1_SWHV_51)/catpn_1_SWHB_1+catfd_1_SWHV_51/catpn_1_SWHV_51),0)</f>
        <v>0</v>
      </c>
      <c r="J60" s="68">
        <f>IF(OR(ISBLANK(G60),G60=0),0,F60/ROUND(G60,4))</f>
        <v>0</v>
      </c>
      <c r="K60" s="60">
        <f>ROUND(I60,2)*J60</f>
        <v>0</v>
      </c>
      <c r="L60" s="68">
        <f>J60*dagenperjaar1</f>
        <v>0</v>
      </c>
      <c r="M60" s="60">
        <f>L60*ROUND(I60,2)</f>
        <v>0</v>
      </c>
    </row>
    <row r="61" spans="1:13" x14ac:dyDescent="0.2">
      <c r="A61" s="56" t="s">
        <v>281</v>
      </c>
      <c r="B61" s="56" t="s">
        <v>12</v>
      </c>
      <c r="C61" s="56" t="s">
        <v>235</v>
      </c>
      <c r="D61" s="56" t="s">
        <v>282</v>
      </c>
      <c r="E61" s="68">
        <v>52.5</v>
      </c>
      <c r="F61" s="68">
        <f>E61*VLOOKUP(B61,dagsoorttabel1,2,FALSE)</f>
        <v>21</v>
      </c>
      <c r="G61" s="69">
        <f>IF(AND(catpn_1_SWHB_1&gt;0,catpn_1_SWHV_51&gt;0),(dagenperjaar1*VLOOKUP(B61,dagsoorttabel1,2,FALSE))/(((dagenperjaar1*VLOOKUP(B61,dagsoorttabel1,2,FALSE))-catfd_1_SWHV_51)/catpn_1_SWHB_1+catfd_1_SWHV_51/catpn_1_SWHV_51),0)</f>
        <v>0</v>
      </c>
      <c r="H61" s="56" t="s">
        <v>101</v>
      </c>
      <c r="I61" s="60">
        <f>IF(AND(catpn_1_SWHB_1&gt;0,catpn_1_SWHV_51&gt;0),(cattf_1_SWHB_1*((dagenperjaar1*VLOOKUP(B61,dagsoorttabel1,2,FALSE))-catfd_1_SWHV_51)/catpn_1_SWHB_1+cattf_1_SWHV_51*catfd_1_SWHV_51/catpn_1_SWHV_51)/(((dagenperjaar1*VLOOKUP(B61,dagsoorttabel1,2,FALSE))-catfd_1_SWHV_51)/catpn_1_SWHB_1+catfd_1_SWHV_51/catpn_1_SWHV_51),0)</f>
        <v>0</v>
      </c>
      <c r="J61" s="68">
        <f>IF(OR(ISBLANK(G61),G61=0),0,F61/ROUND(G61,4))</f>
        <v>0</v>
      </c>
      <c r="K61" s="60">
        <f>ROUND(I61,2)*J61</f>
        <v>0</v>
      </c>
      <c r="L61" s="68">
        <f>J61*dagenperjaar1</f>
        <v>0</v>
      </c>
      <c r="M61" s="60">
        <f>L61*ROUND(I61,2)</f>
        <v>0</v>
      </c>
    </row>
    <row r="62" spans="1:13" x14ac:dyDescent="0.2">
      <c r="A62" s="56" t="s">
        <v>283</v>
      </c>
      <c r="B62" s="56" t="s">
        <v>13</v>
      </c>
      <c r="C62" s="56" t="s">
        <v>235</v>
      </c>
      <c r="D62" s="56" t="s">
        <v>284</v>
      </c>
      <c r="E62" s="68">
        <v>1176.24</v>
      </c>
      <c r="F62" s="68">
        <f>E62*VLOOKUP(B62,dagsoorttabel1,2,FALSE)</f>
        <v>235.24800000000002</v>
      </c>
      <c r="G62" s="69">
        <f>IF(AND(catpn_1_VAHB_1&gt;0,catpn_1_VAHV_51&gt;0),(dagenperjaar1*VLOOKUP(B62,dagsoorttabel1,2,FALSE))/(((dagenperjaar1*VLOOKUP(B62,dagsoorttabel1,2,FALSE))-catfd_1_VAHV_51)/catpn_1_VAHB_1+catfd_1_VAHV_51/catpn_1_VAHV_51),0)</f>
        <v>0</v>
      </c>
      <c r="H62" s="56" t="s">
        <v>101</v>
      </c>
      <c r="I62" s="60">
        <f>IF(AND(catpn_1_VAHB_1&gt;0,catpn_1_VAHV_51&gt;0),(cattf_1_VAHB_1*((dagenperjaar1*VLOOKUP(B62,dagsoorttabel1,2,FALSE))-catfd_1_VAHV_51)/catpn_1_VAHB_1+cattf_1_VAHV_51*catfd_1_VAHV_51/catpn_1_VAHV_51)/(((dagenperjaar1*VLOOKUP(B62,dagsoorttabel1,2,FALSE))-catfd_1_VAHV_51)/catpn_1_VAHB_1+catfd_1_VAHV_51/catpn_1_VAHV_51),0)</f>
        <v>0</v>
      </c>
      <c r="J62" s="68">
        <f>IF(OR(ISBLANK(G62),G62=0),0,F62/ROUND(G62,4))</f>
        <v>0</v>
      </c>
      <c r="K62" s="60">
        <f>ROUND(I62,2)*J62</f>
        <v>0</v>
      </c>
      <c r="L62" s="68">
        <f>J62*dagenperjaar1</f>
        <v>0</v>
      </c>
      <c r="M62" s="60">
        <f>L62*ROUND(I62,2)</f>
        <v>0</v>
      </c>
    </row>
    <row r="63" spans="1:13" x14ac:dyDescent="0.2">
      <c r="A63" s="56" t="s">
        <v>283</v>
      </c>
      <c r="B63" s="56" t="s">
        <v>12</v>
      </c>
      <c r="C63" s="56" t="s">
        <v>235</v>
      </c>
      <c r="D63" s="56" t="s">
        <v>284</v>
      </c>
      <c r="E63" s="68">
        <v>506.28</v>
      </c>
      <c r="F63" s="68">
        <f>E63*VLOOKUP(B63,dagsoorttabel1,2,FALSE)</f>
        <v>202.512</v>
      </c>
      <c r="G63" s="69">
        <f>IF(AND(catpn_1_VAHB_1&gt;0,catpn_1_VAHV_51&gt;0),(dagenperjaar1*VLOOKUP(B63,dagsoorttabel1,2,FALSE))/(((dagenperjaar1*VLOOKUP(B63,dagsoorttabel1,2,FALSE))-catfd_1_VAHV_51)/catpn_1_VAHB_1+catfd_1_VAHV_51/catpn_1_VAHV_51),0)</f>
        <v>0</v>
      </c>
      <c r="H63" s="56" t="s">
        <v>101</v>
      </c>
      <c r="I63" s="60">
        <f>IF(AND(catpn_1_VAHB_1&gt;0,catpn_1_VAHV_51&gt;0),(cattf_1_VAHB_1*((dagenperjaar1*VLOOKUP(B63,dagsoorttabel1,2,FALSE))-catfd_1_VAHV_51)/catpn_1_VAHB_1+cattf_1_VAHV_51*catfd_1_VAHV_51/catpn_1_VAHV_51)/(((dagenperjaar1*VLOOKUP(B63,dagsoorttabel1,2,FALSE))-catfd_1_VAHV_51)/catpn_1_VAHB_1+catfd_1_VAHV_51/catpn_1_VAHV_51),0)</f>
        <v>0</v>
      </c>
      <c r="J63" s="68">
        <f>IF(OR(ISBLANK(G63),G63=0),0,F63/ROUND(G63,4))</f>
        <v>0</v>
      </c>
      <c r="K63" s="60">
        <f>ROUND(I63,2)*J63</f>
        <v>0</v>
      </c>
      <c r="L63" s="68">
        <f>J63*dagenperjaar1</f>
        <v>0</v>
      </c>
      <c r="M63" s="60">
        <f>L63*ROUND(I63,2)</f>
        <v>0</v>
      </c>
    </row>
    <row r="64" spans="1:13" x14ac:dyDescent="0.2">
      <c r="A64" s="56" t="s">
        <v>283</v>
      </c>
      <c r="B64" s="56" t="s">
        <v>9</v>
      </c>
      <c r="C64" s="56" t="s">
        <v>235</v>
      </c>
      <c r="D64" s="56" t="s">
        <v>284</v>
      </c>
      <c r="E64" s="68">
        <v>1079.6599999999999</v>
      </c>
      <c r="F64" s="68">
        <f>E64*VLOOKUP(B64,dagsoorttabel1,2,FALSE)</f>
        <v>1079.6599999999999</v>
      </c>
      <c r="G64" s="69">
        <f>IF(AND(catpn_1_VAHB_1&gt;0,catpn_1_VAHV_51&gt;0),(dagenperjaar1*VLOOKUP(B64,dagsoorttabel1,2,FALSE))/(((dagenperjaar1*VLOOKUP(B64,dagsoorttabel1,2,FALSE))-catfd_1_VAHV_51)/catpn_1_VAHB_1+catfd_1_VAHV_51/catpn_1_VAHV_51),0)</f>
        <v>0</v>
      </c>
      <c r="H64" s="56" t="s">
        <v>101</v>
      </c>
      <c r="I64" s="60">
        <f>IF(AND(catpn_1_VAHB_1&gt;0,catpn_1_VAHV_51&gt;0),(cattf_1_VAHB_1*((dagenperjaar1*VLOOKUP(B64,dagsoorttabel1,2,FALSE))-catfd_1_VAHV_51)/catpn_1_VAHB_1+cattf_1_VAHV_51*catfd_1_VAHV_51/catpn_1_VAHV_51)/(((dagenperjaar1*VLOOKUP(B64,dagsoorttabel1,2,FALSE))-catfd_1_VAHV_51)/catpn_1_VAHB_1+catfd_1_VAHV_51/catpn_1_VAHV_51),0)</f>
        <v>0</v>
      </c>
      <c r="J64" s="68">
        <f>IF(OR(ISBLANK(G64),G64=0),0,F64/ROUND(G64,4))</f>
        <v>0</v>
      </c>
      <c r="K64" s="60">
        <f>ROUND(I64,2)*J64</f>
        <v>0</v>
      </c>
      <c r="L64" s="68">
        <f>J64*dagenperjaar1</f>
        <v>0</v>
      </c>
      <c r="M64" s="60">
        <f>L64*ROUND(I64,2)</f>
        <v>0</v>
      </c>
    </row>
    <row r="65" spans="1:13" x14ac:dyDescent="0.2">
      <c r="A65" s="56" t="s">
        <v>285</v>
      </c>
      <c r="B65" s="56" t="s">
        <v>13</v>
      </c>
      <c r="C65" s="56" t="s">
        <v>235</v>
      </c>
      <c r="D65" s="56" t="s">
        <v>286</v>
      </c>
      <c r="E65" s="68">
        <v>47.23</v>
      </c>
      <c r="F65" s="68">
        <f>E65*VLOOKUP(B65,dagsoorttabel1,2,FALSE)</f>
        <v>9.4459999999999997</v>
      </c>
      <c r="G65" s="69">
        <f>IF(AND(catpn_1_VAZB_1&gt;0,catpn_1_VAZV_51&gt;0),(dagenperjaar1*VLOOKUP(B65,dagsoorttabel1,2,FALSE))/(((dagenperjaar1*VLOOKUP(B65,dagsoorttabel1,2,FALSE))-catfd_1_VAZV_51)/catpn_1_VAZB_1+catfd_1_VAZV_51/catpn_1_VAZV_51),0)</f>
        <v>0</v>
      </c>
      <c r="H65" s="56" t="s">
        <v>101</v>
      </c>
      <c r="I65" s="60">
        <f>IF(AND(catpn_1_VAZB_1&gt;0,catpn_1_VAZV_51&gt;0),(cattf_1_VAZB_1*((dagenperjaar1*VLOOKUP(B65,dagsoorttabel1,2,FALSE))-catfd_1_VAZV_51)/catpn_1_VAZB_1+cattf_1_VAZV_51*catfd_1_VAZV_51/catpn_1_VAZV_51)/(((dagenperjaar1*VLOOKUP(B65,dagsoorttabel1,2,FALSE))-catfd_1_VAZV_51)/catpn_1_VAZB_1+catfd_1_VAZV_51/catpn_1_VAZV_51),0)</f>
        <v>0</v>
      </c>
      <c r="J65" s="68">
        <f>IF(OR(ISBLANK(G65),G65=0),0,F65/ROUND(G65,4))</f>
        <v>0</v>
      </c>
      <c r="K65" s="60">
        <f>ROUND(I65,2)*J65</f>
        <v>0</v>
      </c>
      <c r="L65" s="68">
        <f>J65*dagenperjaar1</f>
        <v>0</v>
      </c>
      <c r="M65" s="60">
        <f>L65*ROUND(I65,2)</f>
        <v>0</v>
      </c>
    </row>
    <row r="66" spans="1:13" x14ac:dyDescent="0.2">
      <c r="A66" s="56" t="s">
        <v>285</v>
      </c>
      <c r="B66" s="56" t="s">
        <v>12</v>
      </c>
      <c r="C66" s="56" t="s">
        <v>235</v>
      </c>
      <c r="D66" s="56" t="s">
        <v>286</v>
      </c>
      <c r="E66" s="68">
        <v>63.070000000000007</v>
      </c>
      <c r="F66" s="68">
        <f>E66*VLOOKUP(B66,dagsoorttabel1,2,FALSE)</f>
        <v>25.228000000000005</v>
      </c>
      <c r="G66" s="69">
        <f>IF(AND(catpn_1_VAZB_1&gt;0,catpn_1_VAZV_51&gt;0),(dagenperjaar1*VLOOKUP(B66,dagsoorttabel1,2,FALSE))/(((dagenperjaar1*VLOOKUP(B66,dagsoorttabel1,2,FALSE))-catfd_1_VAZV_51)/catpn_1_VAZB_1+catfd_1_VAZV_51/catpn_1_VAZV_51),0)</f>
        <v>0</v>
      </c>
      <c r="H66" s="56" t="s">
        <v>101</v>
      </c>
      <c r="I66" s="60">
        <f>IF(AND(catpn_1_VAZB_1&gt;0,catpn_1_VAZV_51&gt;0),(cattf_1_VAZB_1*((dagenperjaar1*VLOOKUP(B66,dagsoorttabel1,2,FALSE))-catfd_1_VAZV_51)/catpn_1_VAZB_1+cattf_1_VAZV_51*catfd_1_VAZV_51/catpn_1_VAZV_51)/(((dagenperjaar1*VLOOKUP(B66,dagsoorttabel1,2,FALSE))-catfd_1_VAZV_51)/catpn_1_VAZB_1+catfd_1_VAZV_51/catpn_1_VAZV_51),0)</f>
        <v>0</v>
      </c>
      <c r="J66" s="68">
        <f>IF(OR(ISBLANK(G66),G66=0),0,F66/ROUND(G66,4))</f>
        <v>0</v>
      </c>
      <c r="K66" s="60">
        <f>ROUND(I66,2)*J66</f>
        <v>0</v>
      </c>
      <c r="L66" s="68">
        <f>J66*dagenperjaar1</f>
        <v>0</v>
      </c>
      <c r="M66" s="60">
        <f>L66*ROUND(I66,2)</f>
        <v>0</v>
      </c>
    </row>
    <row r="67" spans="1:13" x14ac:dyDescent="0.2">
      <c r="A67" s="56" t="s">
        <v>285</v>
      </c>
      <c r="B67" s="56" t="s">
        <v>9</v>
      </c>
      <c r="C67" s="56" t="s">
        <v>235</v>
      </c>
      <c r="D67" s="56" t="s">
        <v>286</v>
      </c>
      <c r="E67" s="68">
        <v>32.94</v>
      </c>
      <c r="F67" s="68">
        <f>E67*VLOOKUP(B67,dagsoorttabel1,2,FALSE)</f>
        <v>32.94</v>
      </c>
      <c r="G67" s="69">
        <f>IF(AND(catpn_1_VAZB_1&gt;0,catpn_1_VAZV_51&gt;0),(dagenperjaar1*VLOOKUP(B67,dagsoorttabel1,2,FALSE))/(((dagenperjaar1*VLOOKUP(B67,dagsoorttabel1,2,FALSE))-catfd_1_VAZV_51)/catpn_1_VAZB_1+catfd_1_VAZV_51/catpn_1_VAZV_51),0)</f>
        <v>0</v>
      </c>
      <c r="H67" s="56" t="s">
        <v>101</v>
      </c>
      <c r="I67" s="60">
        <f>IF(AND(catpn_1_VAZB_1&gt;0,catpn_1_VAZV_51&gt;0),(cattf_1_VAZB_1*((dagenperjaar1*VLOOKUP(B67,dagsoorttabel1,2,FALSE))-catfd_1_VAZV_51)/catpn_1_VAZB_1+cattf_1_VAZV_51*catfd_1_VAZV_51/catpn_1_VAZV_51)/(((dagenperjaar1*VLOOKUP(B67,dagsoorttabel1,2,FALSE))-catfd_1_VAZV_51)/catpn_1_VAZB_1+catfd_1_VAZV_51/catpn_1_VAZV_51),0)</f>
        <v>0</v>
      </c>
      <c r="J67" s="68">
        <f>IF(OR(ISBLANK(G67),G67=0),0,F67/ROUND(G67,4))</f>
        <v>0</v>
      </c>
      <c r="K67" s="60">
        <f>ROUND(I67,2)*J67</f>
        <v>0</v>
      </c>
      <c r="L67" s="68">
        <f>J67*dagenperjaar1</f>
        <v>0</v>
      </c>
      <c r="M67" s="60">
        <f>L67*ROUND(I67,2)</f>
        <v>0</v>
      </c>
    </row>
    <row r="68" spans="1:13" x14ac:dyDescent="0.2">
      <c r="A68" s="56" t="s">
        <v>287</v>
      </c>
      <c r="B68" s="56" t="s">
        <v>13</v>
      </c>
      <c r="C68" s="56" t="s">
        <v>235</v>
      </c>
      <c r="D68" s="56" t="s">
        <v>288</v>
      </c>
      <c r="E68" s="68">
        <v>143.5</v>
      </c>
      <c r="F68" s="68">
        <f>E68*VLOOKUP(B68,dagsoorttabel1,2,FALSE)</f>
        <v>28.700000000000003</v>
      </c>
      <c r="G68" s="69">
        <f>IF(AND(catpn_1_VEZB_1&gt;0,catpn_1_VEHV_51&gt;0),(dagenperjaar1*VLOOKUP(B68,dagsoorttabel1,2,FALSE))/(((dagenperjaar1*VLOOKUP(B68,dagsoorttabel1,2,FALSE))-catfd_1_VEHV_51)/catpn_1_VEZB_1+catfd_1_VEHV_51/catpn_1_VEHV_51),0)</f>
        <v>0</v>
      </c>
      <c r="H68" s="56" t="s">
        <v>101</v>
      </c>
      <c r="I68" s="60">
        <f>IF(AND(catpn_1_VEZB_1&gt;0,catpn_1_VEHV_51&gt;0),(cattf_1_VEZB_1*((dagenperjaar1*VLOOKUP(B68,dagsoorttabel1,2,FALSE))-catfd_1_VEHV_51)/catpn_1_VEZB_1+cattf_1_VEHV_51*catfd_1_VEHV_51/catpn_1_VEHV_51)/(((dagenperjaar1*VLOOKUP(B68,dagsoorttabel1,2,FALSE))-catfd_1_VEHV_51)/catpn_1_VEZB_1+catfd_1_VEHV_51/catpn_1_VEHV_51),0)</f>
        <v>0</v>
      </c>
      <c r="J68" s="68">
        <f>IF(OR(ISBLANK(G68),G68=0),0,F68/ROUND(G68,4))</f>
        <v>0</v>
      </c>
      <c r="K68" s="60">
        <f>ROUND(I68,2)*J68</f>
        <v>0</v>
      </c>
      <c r="L68" s="68">
        <f>J68*dagenperjaar1</f>
        <v>0</v>
      </c>
      <c r="M68" s="60">
        <f>L68*ROUND(I68,2)</f>
        <v>0</v>
      </c>
    </row>
    <row r="69" spans="1:13" x14ac:dyDescent="0.2">
      <c r="A69" s="56" t="s">
        <v>289</v>
      </c>
      <c r="B69" s="56" t="s">
        <v>13</v>
      </c>
      <c r="C69" s="56" t="s">
        <v>235</v>
      </c>
      <c r="D69" s="56" t="s">
        <v>290</v>
      </c>
      <c r="E69" s="68">
        <v>159.92000000000002</v>
      </c>
      <c r="F69" s="68">
        <f>E69*VLOOKUP(B69,dagsoorttabel1,2,FALSE)</f>
        <v>31.984000000000005</v>
      </c>
      <c r="G69" s="69">
        <f>IF(AND(catpn_1_VEZB_1&gt;0,catpn_1_VEZV_51&gt;0),(dagenperjaar1*VLOOKUP(B69,dagsoorttabel1,2,FALSE))/(((dagenperjaar1*VLOOKUP(B69,dagsoorttabel1,2,FALSE))-catfd_1_VEZV_51)/catpn_1_VEZB_1+catfd_1_VEZV_51/catpn_1_VEZV_51),0)</f>
        <v>0</v>
      </c>
      <c r="H69" s="56" t="s">
        <v>101</v>
      </c>
      <c r="I69" s="60">
        <f>IF(AND(catpn_1_VEZB_1&gt;0,catpn_1_VEZV_51&gt;0),(cattf_1_VEZB_1*((dagenperjaar1*VLOOKUP(B69,dagsoorttabel1,2,FALSE))-catfd_1_VEZV_51)/catpn_1_VEZB_1+cattf_1_VEZV_51*catfd_1_VEZV_51/catpn_1_VEZV_51)/(((dagenperjaar1*VLOOKUP(B69,dagsoorttabel1,2,FALSE))-catfd_1_VEZV_51)/catpn_1_VEZB_1+catfd_1_VEZV_51/catpn_1_VEZV_51),0)</f>
        <v>0</v>
      </c>
      <c r="J69" s="68">
        <f>IF(OR(ISBLANK(G69),G69=0),0,F69/ROUND(G69,4))</f>
        <v>0</v>
      </c>
      <c r="K69" s="60">
        <f>ROUND(I69,2)*J69</f>
        <v>0</v>
      </c>
      <c r="L69" s="68">
        <f>J69*dagenperjaar1</f>
        <v>0</v>
      </c>
      <c r="M69" s="60">
        <f>L69*ROUND(I69,2)</f>
        <v>0</v>
      </c>
    </row>
    <row r="70" spans="1:13" x14ac:dyDescent="0.2">
      <c r="A70" s="56" t="s">
        <v>289</v>
      </c>
      <c r="B70" s="56" t="s">
        <v>12</v>
      </c>
      <c r="C70" s="56" t="s">
        <v>235</v>
      </c>
      <c r="D70" s="56" t="s">
        <v>290</v>
      </c>
      <c r="E70" s="68">
        <v>109.80999999999999</v>
      </c>
      <c r="F70" s="68">
        <f>E70*VLOOKUP(B70,dagsoorttabel1,2,FALSE)</f>
        <v>43.923999999999999</v>
      </c>
      <c r="G70" s="69">
        <f>IF(AND(catpn_1_VEZB_1&gt;0,catpn_1_VEZV_51&gt;0),(dagenperjaar1*VLOOKUP(B70,dagsoorttabel1,2,FALSE))/(((dagenperjaar1*VLOOKUP(B70,dagsoorttabel1,2,FALSE))-catfd_1_VEZV_51)/catpn_1_VEZB_1+catfd_1_VEZV_51/catpn_1_VEZV_51),0)</f>
        <v>0</v>
      </c>
      <c r="H70" s="56" t="s">
        <v>101</v>
      </c>
      <c r="I70" s="60">
        <f>IF(AND(catpn_1_VEZB_1&gt;0,catpn_1_VEZV_51&gt;0),(cattf_1_VEZB_1*((dagenperjaar1*VLOOKUP(B70,dagsoorttabel1,2,FALSE))-catfd_1_VEZV_51)/catpn_1_VEZB_1+cattf_1_VEZV_51*catfd_1_VEZV_51/catpn_1_VEZV_51)/(((dagenperjaar1*VLOOKUP(B70,dagsoorttabel1,2,FALSE))-catfd_1_VEZV_51)/catpn_1_VEZB_1+catfd_1_VEZV_51/catpn_1_VEZV_51),0)</f>
        <v>0</v>
      </c>
      <c r="J70" s="68">
        <f>IF(OR(ISBLANK(G70),G70=0),0,F70/ROUND(G70,4))</f>
        <v>0</v>
      </c>
      <c r="K70" s="60">
        <f>ROUND(I70,2)*J70</f>
        <v>0</v>
      </c>
      <c r="L70" s="68">
        <f>J70*dagenperjaar1</f>
        <v>0</v>
      </c>
      <c r="M70" s="60">
        <f>L70*ROUND(I70,2)</f>
        <v>0</v>
      </c>
    </row>
    <row r="71" spans="1:13" x14ac:dyDescent="0.2">
      <c r="A71" s="56" t="s">
        <v>289</v>
      </c>
      <c r="B71" s="56" t="s">
        <v>9</v>
      </c>
      <c r="C71" s="56" t="s">
        <v>235</v>
      </c>
      <c r="D71" s="56" t="s">
        <v>290</v>
      </c>
      <c r="E71" s="68">
        <v>50.45</v>
      </c>
      <c r="F71" s="68">
        <f>E71*VLOOKUP(B71,dagsoorttabel1,2,FALSE)</f>
        <v>50.45</v>
      </c>
      <c r="G71" s="69">
        <f>IF(AND(catpn_1_VEZB_1&gt;0,catpn_1_VEZV_51&gt;0),(dagenperjaar1*VLOOKUP(B71,dagsoorttabel1,2,FALSE))/(((dagenperjaar1*VLOOKUP(B71,dagsoorttabel1,2,FALSE))-catfd_1_VEZV_51)/catpn_1_VEZB_1+catfd_1_VEZV_51/catpn_1_VEZV_51),0)</f>
        <v>0</v>
      </c>
      <c r="H71" s="56" t="s">
        <v>101</v>
      </c>
      <c r="I71" s="60">
        <f>IF(AND(catpn_1_VEZB_1&gt;0,catpn_1_VEZV_51&gt;0),(cattf_1_VEZB_1*((dagenperjaar1*VLOOKUP(B71,dagsoorttabel1,2,FALSE))-catfd_1_VEZV_51)/catpn_1_VEZB_1+cattf_1_VEZV_51*catfd_1_VEZV_51/catpn_1_VEZV_51)/(((dagenperjaar1*VLOOKUP(B71,dagsoorttabel1,2,FALSE))-catfd_1_VEZV_51)/catpn_1_VEZB_1+catfd_1_VEZV_51/catpn_1_VEZV_51),0)</f>
        <v>0</v>
      </c>
      <c r="J71" s="68">
        <f>IF(OR(ISBLANK(G71),G71=0),0,F71/ROUND(G71,4))</f>
        <v>0</v>
      </c>
      <c r="K71" s="60">
        <f>ROUND(I71,2)*J71</f>
        <v>0</v>
      </c>
      <c r="L71" s="68">
        <f>J71*dagenperjaar1</f>
        <v>0</v>
      </c>
      <c r="M71" s="60">
        <f>L71*ROUND(I71,2)</f>
        <v>0</v>
      </c>
    </row>
    <row r="72" spans="1:13" x14ac:dyDescent="0.2">
      <c r="A72" s="56" t="s">
        <v>291</v>
      </c>
      <c r="B72" s="56" t="s">
        <v>13</v>
      </c>
      <c r="C72" s="56" t="s">
        <v>235</v>
      </c>
      <c r="D72" s="56" t="s">
        <v>292</v>
      </c>
      <c r="E72" s="68">
        <v>16.71</v>
      </c>
      <c r="F72" s="68">
        <f>E72*VLOOKUP(B72,dagsoorttabel1,2,FALSE)</f>
        <v>3.3420000000000005</v>
      </c>
      <c r="G72" s="69">
        <f>IF(AND(catpn_1_VLHB_1&gt;0,catpn_1_VLHV_51&gt;0),(dagenperjaar1*VLOOKUP(B72,dagsoorttabel1,2,FALSE))/(((dagenperjaar1*VLOOKUP(B72,dagsoorttabel1,2,FALSE))-catfd_1_VLHV_51)/catpn_1_VLHB_1+catfd_1_VLHV_51/catpn_1_VLHV_51),0)</f>
        <v>0</v>
      </c>
      <c r="H72" s="56" t="s">
        <v>101</v>
      </c>
      <c r="I72" s="60">
        <f>IF(AND(catpn_1_VLHB_1&gt;0,catpn_1_VLHV_51&gt;0),(cattf_1_VLHB_1*((dagenperjaar1*VLOOKUP(B72,dagsoorttabel1,2,FALSE))-catfd_1_VLHV_51)/catpn_1_VLHB_1+cattf_1_VLHV_51*catfd_1_VLHV_51/catpn_1_VLHV_51)/(((dagenperjaar1*VLOOKUP(B72,dagsoorttabel1,2,FALSE))-catfd_1_VLHV_51)/catpn_1_VLHB_1+catfd_1_VLHV_51/catpn_1_VLHV_51),0)</f>
        <v>0</v>
      </c>
      <c r="J72" s="68">
        <f>IF(OR(ISBLANK(G72),G72=0),0,F72/ROUND(G72,4))</f>
        <v>0</v>
      </c>
      <c r="K72" s="60">
        <f>ROUND(I72,2)*J72</f>
        <v>0</v>
      </c>
      <c r="L72" s="68">
        <f>J72*dagenperjaar1</f>
        <v>0</v>
      </c>
      <c r="M72" s="60">
        <f>L72*ROUND(I72,2)</f>
        <v>0</v>
      </c>
    </row>
    <row r="73" spans="1:13" x14ac:dyDescent="0.2">
      <c r="A73" s="56" t="s">
        <v>291</v>
      </c>
      <c r="B73" s="56" t="s">
        <v>9</v>
      </c>
      <c r="C73" s="56" t="s">
        <v>235</v>
      </c>
      <c r="D73" s="56" t="s">
        <v>292</v>
      </c>
      <c r="E73" s="68">
        <v>10.86</v>
      </c>
      <c r="F73" s="68">
        <f>E73*VLOOKUP(B73,dagsoorttabel1,2,FALSE)</f>
        <v>10.86</v>
      </c>
      <c r="G73" s="69">
        <f>IF(AND(catpn_1_VLHB_1&gt;0,catpn_1_VLHV_51&gt;0),(dagenperjaar1*VLOOKUP(B73,dagsoorttabel1,2,FALSE))/(((dagenperjaar1*VLOOKUP(B73,dagsoorttabel1,2,FALSE))-catfd_1_VLHV_51)/catpn_1_VLHB_1+catfd_1_VLHV_51/catpn_1_VLHV_51),0)</f>
        <v>0</v>
      </c>
      <c r="H73" s="56" t="s">
        <v>101</v>
      </c>
      <c r="I73" s="60">
        <f>IF(AND(catpn_1_VLHB_1&gt;0,catpn_1_VLHV_51&gt;0),(cattf_1_VLHB_1*((dagenperjaar1*VLOOKUP(B73,dagsoorttabel1,2,FALSE))-catfd_1_VLHV_51)/catpn_1_VLHB_1+cattf_1_VLHV_51*catfd_1_VLHV_51/catpn_1_VLHV_51)/(((dagenperjaar1*VLOOKUP(B73,dagsoorttabel1,2,FALSE))-catfd_1_VLHV_51)/catpn_1_VLHB_1+catfd_1_VLHV_51/catpn_1_VLHV_51),0)</f>
        <v>0</v>
      </c>
      <c r="J73" s="68">
        <f>IF(OR(ISBLANK(G73),G73=0),0,F73/ROUND(G73,4))</f>
        <v>0</v>
      </c>
      <c r="K73" s="60">
        <f>ROUND(I73,2)*J73</f>
        <v>0</v>
      </c>
      <c r="L73" s="68">
        <f>J73*dagenperjaar1</f>
        <v>0</v>
      </c>
      <c r="M73" s="60">
        <f>L73*ROUND(I73,2)</f>
        <v>0</v>
      </c>
    </row>
    <row r="74" spans="1:13" x14ac:dyDescent="0.2">
      <c r="A74" s="56" t="s">
        <v>293</v>
      </c>
      <c r="B74" s="56" t="s">
        <v>21</v>
      </c>
      <c r="C74" s="56" t="s">
        <v>235</v>
      </c>
      <c r="D74" s="56" t="s">
        <v>294</v>
      </c>
      <c r="E74" s="68">
        <v>363.61</v>
      </c>
      <c r="F74" s="68">
        <f>E74*VLOOKUP(B74,dagsoorttabel1,2,FALSE)</f>
        <v>1.3985000000000001</v>
      </c>
      <c r="G74" s="69">
        <f>IF(AND(catpn_1_VOHB_1&gt;0,catpn_1_VOHV_51&gt;0),(dagenperjaar1*VLOOKUP(B74,dagsoorttabel1,2,FALSE))/(((dagenperjaar1*VLOOKUP(B74,dagsoorttabel1,2,FALSE))-catfd_1_VOHV_51)/catpn_1_VOHB_1+catfd_1_VOHV_51/catpn_1_VOHV_51),0)</f>
        <v>0</v>
      </c>
      <c r="H74" s="56" t="s">
        <v>101</v>
      </c>
      <c r="I74" s="60">
        <f>IF(AND(catpn_1_VOHB_1&gt;0,catpn_1_VOHV_51&gt;0),(cattf_1_VOHB_1*((dagenperjaar1*VLOOKUP(B74,dagsoorttabel1,2,FALSE))-catfd_1_VOHV_51)/catpn_1_VOHB_1+cattf_1_VOHV_51*catfd_1_VOHV_51/catpn_1_VOHV_51)/(((dagenperjaar1*VLOOKUP(B74,dagsoorttabel1,2,FALSE))-catfd_1_VOHV_51)/catpn_1_VOHB_1+catfd_1_VOHV_51/catpn_1_VOHV_51),0)</f>
        <v>0</v>
      </c>
      <c r="J74" s="68">
        <f>IF(OR(ISBLANK(G74),G74=0),0,F74/ROUND(G74,4))</f>
        <v>0</v>
      </c>
      <c r="K74" s="60">
        <f>ROUND(I74,2)*J74</f>
        <v>0</v>
      </c>
      <c r="L74" s="68">
        <f>J74*dagenperjaar1</f>
        <v>0</v>
      </c>
      <c r="M74" s="60">
        <f>L74*ROUND(I74,2)</f>
        <v>0</v>
      </c>
    </row>
    <row r="75" spans="1:13" x14ac:dyDescent="0.2">
      <c r="A75" s="56" t="s">
        <v>293</v>
      </c>
      <c r="B75" s="56" t="s">
        <v>13</v>
      </c>
      <c r="C75" s="56" t="s">
        <v>235</v>
      </c>
      <c r="D75" s="56" t="s">
        <v>294</v>
      </c>
      <c r="E75" s="68">
        <v>930.26</v>
      </c>
      <c r="F75" s="68">
        <f>E75*VLOOKUP(B75,dagsoorttabel1,2,FALSE)</f>
        <v>186.05200000000002</v>
      </c>
      <c r="G75" s="69">
        <f>IF(AND(catpn_1_VOHB_1&gt;0,catpn_1_VOHV_51&gt;0),(dagenperjaar1*VLOOKUP(B75,dagsoorttabel1,2,FALSE))/(((dagenperjaar1*VLOOKUP(B75,dagsoorttabel1,2,FALSE))-catfd_1_VOHV_51)/catpn_1_VOHB_1+catfd_1_VOHV_51/catpn_1_VOHV_51),0)</f>
        <v>0</v>
      </c>
      <c r="H75" s="56" t="s">
        <v>101</v>
      </c>
      <c r="I75" s="60">
        <f>IF(AND(catpn_1_VOHB_1&gt;0,catpn_1_VOHV_51&gt;0),(cattf_1_VOHB_1*((dagenperjaar1*VLOOKUP(B75,dagsoorttabel1,2,FALSE))-catfd_1_VOHV_51)/catpn_1_VOHB_1+cattf_1_VOHV_51*catfd_1_VOHV_51/catpn_1_VOHV_51)/(((dagenperjaar1*VLOOKUP(B75,dagsoorttabel1,2,FALSE))-catfd_1_VOHV_51)/catpn_1_VOHB_1+catfd_1_VOHV_51/catpn_1_VOHV_51),0)</f>
        <v>0</v>
      </c>
      <c r="J75" s="68">
        <f>IF(OR(ISBLANK(G75),G75=0),0,F75/ROUND(G75,4))</f>
        <v>0</v>
      </c>
      <c r="K75" s="60">
        <f>ROUND(I75,2)*J75</f>
        <v>0</v>
      </c>
      <c r="L75" s="68">
        <f>J75*dagenperjaar1</f>
        <v>0</v>
      </c>
      <c r="M75" s="60">
        <f>L75*ROUND(I75,2)</f>
        <v>0</v>
      </c>
    </row>
    <row r="76" spans="1:13" x14ac:dyDescent="0.2">
      <c r="A76" s="56" t="s">
        <v>293</v>
      </c>
      <c r="B76" s="56" t="s">
        <v>9</v>
      </c>
      <c r="C76" s="56" t="s">
        <v>235</v>
      </c>
      <c r="D76" s="56" t="s">
        <v>294</v>
      </c>
      <c r="E76" s="68">
        <v>20.100000000000001</v>
      </c>
      <c r="F76" s="68">
        <f>E76*VLOOKUP(B76,dagsoorttabel1,2,FALSE)</f>
        <v>20.100000000000001</v>
      </c>
      <c r="G76" s="69">
        <f>IF(AND(catpn_1_VOHB_1&gt;0,catpn_1_VOHV_51&gt;0),(dagenperjaar1*VLOOKUP(B76,dagsoorttabel1,2,FALSE))/(((dagenperjaar1*VLOOKUP(B76,dagsoorttabel1,2,FALSE))-catfd_1_VOHV_51)/catpn_1_VOHB_1+catfd_1_VOHV_51/catpn_1_VOHV_51),0)</f>
        <v>0</v>
      </c>
      <c r="H76" s="56" t="s">
        <v>101</v>
      </c>
      <c r="I76" s="60">
        <f>IF(AND(catpn_1_VOHB_1&gt;0,catpn_1_VOHV_51&gt;0),(cattf_1_VOHB_1*((dagenperjaar1*VLOOKUP(B76,dagsoorttabel1,2,FALSE))-catfd_1_VOHV_51)/catpn_1_VOHB_1+cattf_1_VOHV_51*catfd_1_VOHV_51/catpn_1_VOHV_51)/(((dagenperjaar1*VLOOKUP(B76,dagsoorttabel1,2,FALSE))-catfd_1_VOHV_51)/catpn_1_VOHB_1+catfd_1_VOHV_51/catpn_1_VOHV_51),0)</f>
        <v>0</v>
      </c>
      <c r="J76" s="68">
        <f>IF(OR(ISBLANK(G76),G76=0),0,F76/ROUND(G76,4))</f>
        <v>0</v>
      </c>
      <c r="K76" s="60">
        <f>ROUND(I76,2)*J76</f>
        <v>0</v>
      </c>
      <c r="L76" s="68">
        <f>J76*dagenperjaar1</f>
        <v>0</v>
      </c>
      <c r="M76" s="60">
        <f>L76*ROUND(I76,2)</f>
        <v>0</v>
      </c>
    </row>
    <row r="77" spans="1:13" x14ac:dyDescent="0.2">
      <c r="A77" s="56" t="s">
        <v>295</v>
      </c>
      <c r="B77" s="56" t="s">
        <v>13</v>
      </c>
      <c r="C77" s="56" t="s">
        <v>235</v>
      </c>
      <c r="D77" s="56" t="s">
        <v>294</v>
      </c>
      <c r="E77" s="68">
        <v>13.67</v>
      </c>
      <c r="F77" s="68">
        <f>E77*VLOOKUP(B77,dagsoorttabel1,2,FALSE)</f>
        <v>2.734</v>
      </c>
      <c r="G77" s="69">
        <f>IF(AND(catpn_1_VOZB_1&gt;0,catpn_1_VOZV_51&gt;0),(dagenperjaar1*VLOOKUP(B77,dagsoorttabel1,2,FALSE))/(((dagenperjaar1*VLOOKUP(B77,dagsoorttabel1,2,FALSE))-catfd_1_VOZV_51)/catpn_1_VOZB_1+catfd_1_VOZV_51/catpn_1_VOZV_51),0)</f>
        <v>0</v>
      </c>
      <c r="H77" s="56" t="s">
        <v>101</v>
      </c>
      <c r="I77" s="60">
        <f>IF(AND(catpn_1_VOZB_1&gt;0,catpn_1_VOZV_51&gt;0),(cattf_1_VOZB_1*((dagenperjaar1*VLOOKUP(B77,dagsoorttabel1,2,FALSE))-catfd_1_VOZV_51)/catpn_1_VOZB_1+cattf_1_VOZV_51*catfd_1_VOZV_51/catpn_1_VOZV_51)/(((dagenperjaar1*VLOOKUP(B77,dagsoorttabel1,2,FALSE))-catfd_1_VOZV_51)/catpn_1_VOZB_1+catfd_1_VOZV_51/catpn_1_VOZV_51),0)</f>
        <v>0</v>
      </c>
      <c r="J77" s="68">
        <f>IF(OR(ISBLANK(G77),G77=0),0,F77/ROUND(G77,4))</f>
        <v>0</v>
      </c>
      <c r="K77" s="60">
        <f>ROUND(I77,2)*J77</f>
        <v>0</v>
      </c>
      <c r="L77" s="68">
        <f>J77*dagenperjaar1</f>
        <v>0</v>
      </c>
      <c r="M77" s="60">
        <f>L77*ROUND(I77,2)</f>
        <v>0</v>
      </c>
    </row>
    <row r="78" spans="1:13" x14ac:dyDescent="0.2">
      <c r="A78" s="56" t="s">
        <v>296</v>
      </c>
      <c r="B78" s="56" t="s">
        <v>13</v>
      </c>
      <c r="C78" s="56" t="s">
        <v>235</v>
      </c>
      <c r="D78" s="56" t="s">
        <v>297</v>
      </c>
      <c r="E78" s="68">
        <v>170.6</v>
      </c>
      <c r="F78" s="68">
        <f>E78*VLOOKUP(B78,dagsoorttabel1,2,FALSE)</f>
        <v>34.119999999999997</v>
      </c>
      <c r="G78" s="69">
        <f>IF(AND(catpn_1_VSHB_1&gt;0,catpn_1_VSHV_51&gt;0),(dagenperjaar1*VLOOKUP(B78,dagsoorttabel1,2,FALSE))/(((dagenperjaar1*VLOOKUP(B78,dagsoorttabel1,2,FALSE))-catfd_1_VSHV_51)/catpn_1_VSHB_1+catfd_1_VSHV_51/catpn_1_VSHV_51),0)</f>
        <v>0</v>
      </c>
      <c r="H78" s="56" t="s">
        <v>101</v>
      </c>
      <c r="I78" s="60">
        <f>IF(AND(catpn_1_VSHB_1&gt;0,catpn_1_VSHV_51&gt;0),(cattf_1_VSHB_1*((dagenperjaar1*VLOOKUP(B78,dagsoorttabel1,2,FALSE))-catfd_1_VSHV_51)/catpn_1_VSHB_1+cattf_1_VSHV_51*catfd_1_VSHV_51/catpn_1_VSHV_51)/(((dagenperjaar1*VLOOKUP(B78,dagsoorttabel1,2,FALSE))-catfd_1_VSHV_51)/catpn_1_VSHB_1+catfd_1_VSHV_51/catpn_1_VSHV_51),0)</f>
        <v>0</v>
      </c>
      <c r="J78" s="68">
        <f>IF(OR(ISBLANK(G78),G78=0),0,F78/ROUND(G78,4))</f>
        <v>0</v>
      </c>
      <c r="K78" s="60">
        <f>ROUND(I78,2)*J78</f>
        <v>0</v>
      </c>
      <c r="L78" s="68">
        <f>J78*dagenperjaar1</f>
        <v>0</v>
      </c>
      <c r="M78" s="60">
        <f>L78*ROUND(I78,2)</f>
        <v>0</v>
      </c>
    </row>
    <row r="79" spans="1:13" x14ac:dyDescent="0.2">
      <c r="A79" s="56" t="s">
        <v>298</v>
      </c>
      <c r="B79" s="56" t="s">
        <v>21</v>
      </c>
      <c r="C79" s="56" t="s">
        <v>235</v>
      </c>
      <c r="D79" s="56" t="s">
        <v>299</v>
      </c>
      <c r="E79" s="68">
        <v>67</v>
      </c>
      <c r="F79" s="68">
        <f>E79*VLOOKUP(B79,dagsoorttabel1,2,FALSE)</f>
        <v>0.25769230769230772</v>
      </c>
      <c r="G79" s="69">
        <f>IF(AND(catpn_1_VTHB_1&gt;0,catpn_1_VTHV_51&gt;0),(dagenperjaar1*VLOOKUP(B79,dagsoorttabel1,2,FALSE))/(((dagenperjaar1*VLOOKUP(B79,dagsoorttabel1,2,FALSE))-catfd_1_VTHV_51)/catpn_1_VTHB_1+catfd_1_VTHV_51/catpn_1_VTHV_51),0)</f>
        <v>0</v>
      </c>
      <c r="H79" s="56" t="s">
        <v>101</v>
      </c>
      <c r="I79" s="60">
        <f>IF(AND(catpn_1_VTHB_1&gt;0,catpn_1_VTHV_51&gt;0),(cattf_1_VTHB_1*((dagenperjaar1*VLOOKUP(B79,dagsoorttabel1,2,FALSE))-catfd_1_VTHV_51)/catpn_1_VTHB_1+cattf_1_VTHV_51*catfd_1_VTHV_51/catpn_1_VTHV_51)/(((dagenperjaar1*VLOOKUP(B79,dagsoorttabel1,2,FALSE))-catfd_1_VTHV_51)/catpn_1_VTHB_1+catfd_1_VTHV_51/catpn_1_VTHV_51),0)</f>
        <v>0</v>
      </c>
      <c r="J79" s="68">
        <f>IF(OR(ISBLANK(G79),G79=0),0,F79/ROUND(G79,4))</f>
        <v>0</v>
      </c>
      <c r="K79" s="60">
        <f>ROUND(I79,2)*J79</f>
        <v>0</v>
      </c>
      <c r="L79" s="68">
        <f>J79*dagenperjaar1</f>
        <v>0</v>
      </c>
      <c r="M79" s="60">
        <f>L79*ROUND(I79,2)</f>
        <v>0</v>
      </c>
    </row>
    <row r="80" spans="1:13" x14ac:dyDescent="0.2">
      <c r="A80" s="56" t="s">
        <v>298</v>
      </c>
      <c r="B80" s="56" t="s">
        <v>13</v>
      </c>
      <c r="C80" s="56" t="s">
        <v>235</v>
      </c>
      <c r="D80" s="56" t="s">
        <v>299</v>
      </c>
      <c r="E80" s="68">
        <v>230.85</v>
      </c>
      <c r="F80" s="68">
        <f>E80*VLOOKUP(B80,dagsoorttabel1,2,FALSE)</f>
        <v>46.17</v>
      </c>
      <c r="G80" s="69">
        <f>IF(AND(catpn_1_VTHB_1&gt;0,catpn_1_VTHV_51&gt;0),(dagenperjaar1*VLOOKUP(B80,dagsoorttabel1,2,FALSE))/(((dagenperjaar1*VLOOKUP(B80,dagsoorttabel1,2,FALSE))-catfd_1_VTHV_51)/catpn_1_VTHB_1+catfd_1_VTHV_51/catpn_1_VTHV_51),0)</f>
        <v>0</v>
      </c>
      <c r="H80" s="56" t="s">
        <v>101</v>
      </c>
      <c r="I80" s="60">
        <f>IF(AND(catpn_1_VTHB_1&gt;0,catpn_1_VTHV_51&gt;0),(cattf_1_VTHB_1*((dagenperjaar1*VLOOKUP(B80,dagsoorttabel1,2,FALSE))-catfd_1_VTHV_51)/catpn_1_VTHB_1+cattf_1_VTHV_51*catfd_1_VTHV_51/catpn_1_VTHV_51)/(((dagenperjaar1*VLOOKUP(B80,dagsoorttabel1,2,FALSE))-catfd_1_VTHV_51)/catpn_1_VTHB_1+catfd_1_VTHV_51/catpn_1_VTHV_51),0)</f>
        <v>0</v>
      </c>
      <c r="J80" s="68">
        <f>IF(OR(ISBLANK(G80),G80=0),0,F80/ROUND(G80,4))</f>
        <v>0</v>
      </c>
      <c r="K80" s="60">
        <f>ROUND(I80,2)*J80</f>
        <v>0</v>
      </c>
      <c r="L80" s="68">
        <f>J80*dagenperjaar1</f>
        <v>0</v>
      </c>
      <c r="M80" s="60">
        <f>L80*ROUND(I80,2)</f>
        <v>0</v>
      </c>
    </row>
    <row r="81" spans="1:13" x14ac:dyDescent="0.2">
      <c r="A81" s="56" t="s">
        <v>298</v>
      </c>
      <c r="B81" s="56" t="s">
        <v>12</v>
      </c>
      <c r="C81" s="56" t="s">
        <v>235</v>
      </c>
      <c r="D81" s="56" t="s">
        <v>299</v>
      </c>
      <c r="E81" s="68">
        <v>47.8</v>
      </c>
      <c r="F81" s="68">
        <f>E81*VLOOKUP(B81,dagsoorttabel1,2,FALSE)</f>
        <v>19.12</v>
      </c>
      <c r="G81" s="69">
        <f>IF(AND(catpn_1_VTHB_1&gt;0,catpn_1_VTHV_51&gt;0),(dagenperjaar1*VLOOKUP(B81,dagsoorttabel1,2,FALSE))/(((dagenperjaar1*VLOOKUP(B81,dagsoorttabel1,2,FALSE))-catfd_1_VTHV_51)/catpn_1_VTHB_1+catfd_1_VTHV_51/catpn_1_VTHV_51),0)</f>
        <v>0</v>
      </c>
      <c r="H81" s="56" t="s">
        <v>101</v>
      </c>
      <c r="I81" s="60">
        <f>IF(AND(catpn_1_VTHB_1&gt;0,catpn_1_VTHV_51&gt;0),(cattf_1_VTHB_1*((dagenperjaar1*VLOOKUP(B81,dagsoorttabel1,2,FALSE))-catfd_1_VTHV_51)/catpn_1_VTHB_1+cattf_1_VTHV_51*catfd_1_VTHV_51/catpn_1_VTHV_51)/(((dagenperjaar1*VLOOKUP(B81,dagsoorttabel1,2,FALSE))-catfd_1_VTHV_51)/catpn_1_VTHB_1+catfd_1_VTHV_51/catpn_1_VTHV_51),0)</f>
        <v>0</v>
      </c>
      <c r="J81" s="68">
        <f>IF(OR(ISBLANK(G81),G81=0),0,F81/ROUND(G81,4))</f>
        <v>0</v>
      </c>
      <c r="K81" s="60">
        <f>ROUND(I81,2)*J81</f>
        <v>0</v>
      </c>
      <c r="L81" s="68">
        <f>J81*dagenperjaar1</f>
        <v>0</v>
      </c>
      <c r="M81" s="60">
        <f>L81*ROUND(I81,2)</f>
        <v>0</v>
      </c>
    </row>
    <row r="82" spans="1:13" x14ac:dyDescent="0.2">
      <c r="A82" s="61" t="s">
        <v>298</v>
      </c>
      <c r="B82" s="61" t="s">
        <v>9</v>
      </c>
      <c r="C82" s="61" t="s">
        <v>235</v>
      </c>
      <c r="D82" s="61" t="s">
        <v>299</v>
      </c>
      <c r="E82" s="70">
        <v>213.21</v>
      </c>
      <c r="F82" s="70">
        <f>E82*VLOOKUP(B82,dagsoorttabel1,2,FALSE)</f>
        <v>213.21</v>
      </c>
      <c r="G82" s="71">
        <f>IF(AND(catpn_1_VTHB_1&gt;0,catpn_1_VTHV_51&gt;0),(dagenperjaar1*VLOOKUP(B82,dagsoorttabel1,2,FALSE))/(((dagenperjaar1*VLOOKUP(B82,dagsoorttabel1,2,FALSE))-catfd_1_VTHV_51)/catpn_1_VTHB_1+catfd_1_VTHV_51/catpn_1_VTHV_51),0)</f>
        <v>0</v>
      </c>
      <c r="H82" s="61" t="s">
        <v>101</v>
      </c>
      <c r="I82" s="65">
        <f>IF(AND(catpn_1_VTHB_1&gt;0,catpn_1_VTHV_51&gt;0),(cattf_1_VTHB_1*((dagenperjaar1*VLOOKUP(B82,dagsoorttabel1,2,FALSE))-catfd_1_VTHV_51)/catpn_1_VTHB_1+cattf_1_VTHV_51*catfd_1_VTHV_51/catpn_1_VTHV_51)/(((dagenperjaar1*VLOOKUP(B82,dagsoorttabel1,2,FALSE))-catfd_1_VTHV_51)/catpn_1_VTHB_1+catfd_1_VTHV_51/catpn_1_VTHV_51),0)</f>
        <v>0</v>
      </c>
      <c r="J82" s="70">
        <f>IF(OR(ISBLANK(G82),G82=0),0,F82/ROUND(G82,4))</f>
        <v>0</v>
      </c>
      <c r="K82" s="65">
        <f>ROUND(I82,2)*J82</f>
        <v>0</v>
      </c>
      <c r="L82" s="70">
        <f>J82*dagenperjaar1</f>
        <v>0</v>
      </c>
      <c r="M82" s="65">
        <f>L82*ROUND(I82,2)</f>
        <v>0</v>
      </c>
    </row>
    <row r="83" spans="1:13" x14ac:dyDescent="0.2">
      <c r="A83" s="73" t="s">
        <v>300</v>
      </c>
      <c r="B83" s="74"/>
      <c r="C83" s="74"/>
      <c r="D83" s="74"/>
      <c r="E83" s="74"/>
      <c r="F83" s="74"/>
      <c r="G83" s="74"/>
      <c r="H83" s="74"/>
      <c r="I83" s="74"/>
      <c r="J83" s="75">
        <f>SUM(J6:J82)</f>
        <v>0</v>
      </c>
      <c r="K83" s="76">
        <f>SUM(K6:K82)</f>
        <v>0</v>
      </c>
      <c r="L83" s="75">
        <f>SUM(L6:L82)</f>
        <v>0</v>
      </c>
      <c r="M83" s="77">
        <f>SUM(M6:M82)</f>
        <v>0</v>
      </c>
    </row>
    <row r="84" spans="1:13" x14ac:dyDescent="0.2">
      <c r="A84" s="78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9"/>
    </row>
    <row r="85" spans="1:13" x14ac:dyDescent="0.2">
      <c r="A85" s="73" t="s">
        <v>301</v>
      </c>
      <c r="B85" s="74"/>
      <c r="C85" s="74"/>
      <c r="D85" s="74"/>
      <c r="E85" s="74"/>
      <c r="F85" s="74"/>
      <c r="G85" s="74"/>
      <c r="H85" s="74"/>
      <c r="I85" s="76">
        <f>IF(urenjaar1&gt;0,SUMIF(L6:L82,"&gt;0",M6:M82)/urenjaar1,0)</f>
        <v>0</v>
      </c>
      <c r="J85" s="74"/>
      <c r="K85" s="74"/>
      <c r="L85" s="74"/>
      <c r="M85" s="79"/>
    </row>
    <row r="86" spans="1:13" x14ac:dyDescent="0.2">
      <c r="A86" s="78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9"/>
    </row>
    <row r="88" spans="1:13" x14ac:dyDescent="0.2">
      <c r="A88" s="73" t="s">
        <v>302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5">
        <f>urenjaar1</f>
        <v>0</v>
      </c>
      <c r="M88" s="76">
        <f>prijsjaar1</f>
        <v>0</v>
      </c>
    </row>
  </sheetData>
  <sheetProtection algorithmName="SHA-512" hashValue="Y/n1LJfi7jmWCeD1jQ0CXldUyP2YdR2GjDcYCefMZTc3DQ8gOzKOdjpto3G8+NDIVVcGbXQVQw4XA6F26WZX1A==" saltValue="75Hj1XMkEeA859Et2QvSAA==" spinCount="100000" sheet="1" objects="1" scenarios="1" autoFilter="0"/>
  <pageMargins left="0.7" right="0.7" top="0.75" bottom="0.75" header="0.3" footer="0.3"/>
  <pageSetup scale="70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1DB9-C21B-410E-8AB0-E4B98FD59AD1}">
  <dimension ref="A1:S123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40.6328125" customWidth="1"/>
    <col min="11" max="12" width="10.6328125" customWidth="1"/>
    <col min="13" max="13" width="11.6328125" customWidth="1"/>
    <col min="14" max="14" width="9.6328125" customWidth="1"/>
    <col min="15" max="17" width="11.6328125" customWidth="1"/>
    <col min="18" max="18" width="12.6328125" customWidth="1"/>
    <col min="19" max="19" width="14.6328125" customWidth="1"/>
  </cols>
  <sheetData>
    <row r="1" spans="1:19" x14ac:dyDescent="0.2">
      <c r="A1" s="1" t="str">
        <f>CONCATENATE("Bijlage H  .3: ",tabeltype," ruimten werkdag")</f>
        <v>Bijlage H  .3: Invultabel ruimten werkdag</v>
      </c>
    </row>
    <row r="3" spans="1:19" ht="37.799999999999997" x14ac:dyDescent="0.2">
      <c r="A3" s="80" t="s">
        <v>303</v>
      </c>
      <c r="B3" s="44" t="s">
        <v>304</v>
      </c>
      <c r="C3" s="44" t="s">
        <v>305</v>
      </c>
      <c r="D3" s="44" t="s">
        <v>306</v>
      </c>
      <c r="E3" s="44" t="s">
        <v>307</v>
      </c>
      <c r="F3" s="44" t="s">
        <v>308</v>
      </c>
      <c r="G3" s="44" t="s">
        <v>226</v>
      </c>
      <c r="H3" s="44" t="s">
        <v>7</v>
      </c>
      <c r="I3" s="44" t="s">
        <v>309</v>
      </c>
      <c r="J3" s="44" t="s">
        <v>310</v>
      </c>
      <c r="K3" s="44" t="s">
        <v>228</v>
      </c>
      <c r="L3" s="44" t="s">
        <v>229</v>
      </c>
      <c r="M3" s="44" t="s">
        <v>93</v>
      </c>
      <c r="N3" s="44" t="s">
        <v>95</v>
      </c>
      <c r="O3" s="44" t="s">
        <v>96</v>
      </c>
      <c r="P3" s="44" t="s">
        <v>230</v>
      </c>
      <c r="Q3" s="44" t="s">
        <v>231</v>
      </c>
      <c r="R3" s="44" t="s">
        <v>232</v>
      </c>
      <c r="S3" s="81" t="s">
        <v>233</v>
      </c>
    </row>
    <row r="4" spans="1:19" x14ac:dyDescent="0.2">
      <c r="A4" s="82" t="s">
        <v>311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2"/>
    </row>
    <row r="5" spans="1:19" x14ac:dyDescent="0.2">
      <c r="A5" s="83" t="s">
        <v>312</v>
      </c>
      <c r="B5" s="84" t="s">
        <v>35</v>
      </c>
      <c r="C5" s="84" t="s">
        <v>313</v>
      </c>
      <c r="D5" s="84" t="s">
        <v>314</v>
      </c>
      <c r="E5" s="85" t="s">
        <v>315</v>
      </c>
      <c r="F5" s="84" t="s">
        <v>316</v>
      </c>
      <c r="G5" s="84" t="s">
        <v>287</v>
      </c>
      <c r="H5" s="84" t="s">
        <v>13</v>
      </c>
      <c r="I5" s="84" t="s">
        <v>235</v>
      </c>
      <c r="J5" s="85" t="s">
        <v>288</v>
      </c>
      <c r="K5" s="86">
        <v>10</v>
      </c>
      <c r="L5" s="86">
        <f>K5*VLOOKUP(H5,dagsoorttabel1,2,FALSE)</f>
        <v>2</v>
      </c>
      <c r="M5" s="87">
        <f>prodnorm112</f>
        <v>0</v>
      </c>
      <c r="N5" s="84" t="s">
        <v>101</v>
      </c>
      <c r="O5" s="88">
        <f>uurtarief112</f>
        <v>0</v>
      </c>
      <c r="P5" s="86" t="e">
        <f>IF(ISBLANK(M5),0,L5/ROUND(M5,4))</f>
        <v>#DIV/0!</v>
      </c>
      <c r="Q5" s="88" t="e">
        <f>ROUND(O5,2)*P5</f>
        <v>#DIV/0!</v>
      </c>
      <c r="R5" s="86" t="e">
        <f>P5*dagenperjaar1</f>
        <v>#DIV/0!</v>
      </c>
      <c r="S5" s="89" t="e">
        <f>R5*ROUND(O5,2)</f>
        <v>#DIV/0!</v>
      </c>
    </row>
    <row r="6" spans="1:19" x14ac:dyDescent="0.2">
      <c r="A6" s="90" t="s">
        <v>312</v>
      </c>
      <c r="B6" s="91" t="s">
        <v>35</v>
      </c>
      <c r="C6" s="91" t="s">
        <v>313</v>
      </c>
      <c r="D6" s="91" t="s">
        <v>317</v>
      </c>
      <c r="E6" s="92" t="s">
        <v>318</v>
      </c>
      <c r="F6" s="91" t="s">
        <v>319</v>
      </c>
      <c r="G6" s="91" t="s">
        <v>298</v>
      </c>
      <c r="H6" s="91" t="s">
        <v>13</v>
      </c>
      <c r="I6" s="91" t="s">
        <v>235</v>
      </c>
      <c r="J6" s="92" t="s">
        <v>299</v>
      </c>
      <c r="K6" s="93">
        <v>5.5</v>
      </c>
      <c r="L6" s="93">
        <f>K6*VLOOKUP(H6,dagsoorttabel1,2,FALSE)</f>
        <v>1.1000000000000001</v>
      </c>
      <c r="M6" s="94">
        <f>prodnorm124</f>
        <v>0</v>
      </c>
      <c r="N6" s="91" t="s">
        <v>101</v>
      </c>
      <c r="O6" s="26">
        <f>uurtarief124</f>
        <v>0</v>
      </c>
      <c r="P6" s="93" t="e">
        <f>IF(ISBLANK(M6),0,L6/ROUND(M6,4))</f>
        <v>#DIV/0!</v>
      </c>
      <c r="Q6" s="26" t="e">
        <f>ROUND(O6,2)*P6</f>
        <v>#DIV/0!</v>
      </c>
      <c r="R6" s="93" t="e">
        <f>P6*dagenperjaar1</f>
        <v>#DIV/0!</v>
      </c>
      <c r="S6" s="27" t="e">
        <f>R6*ROUND(O6,2)</f>
        <v>#DIV/0!</v>
      </c>
    </row>
    <row r="7" spans="1:19" x14ac:dyDescent="0.2">
      <c r="A7" s="90" t="s">
        <v>312</v>
      </c>
      <c r="B7" s="91" t="s">
        <v>35</v>
      </c>
      <c r="C7" s="91" t="s">
        <v>313</v>
      </c>
      <c r="D7" s="91" t="s">
        <v>320</v>
      </c>
      <c r="E7" s="92" t="s">
        <v>321</v>
      </c>
      <c r="F7" s="91" t="s">
        <v>316</v>
      </c>
      <c r="G7" s="91" t="s">
        <v>283</v>
      </c>
      <c r="H7" s="91" t="s">
        <v>13</v>
      </c>
      <c r="I7" s="91" t="s">
        <v>235</v>
      </c>
      <c r="J7" s="92" t="s">
        <v>284</v>
      </c>
      <c r="K7" s="93">
        <v>12.2</v>
      </c>
      <c r="L7" s="93">
        <f>K7*VLOOKUP(H7,dagsoorttabel1,2,FALSE)</f>
        <v>2.44</v>
      </c>
      <c r="M7" s="94">
        <f>prodnorm106</f>
        <v>0</v>
      </c>
      <c r="N7" s="91" t="s">
        <v>101</v>
      </c>
      <c r="O7" s="26">
        <f>uurtarief106</f>
        <v>0</v>
      </c>
      <c r="P7" s="93" t="e">
        <f>IF(ISBLANK(M7),0,L7/ROUND(M7,4))</f>
        <v>#DIV/0!</v>
      </c>
      <c r="Q7" s="26" t="e">
        <f>ROUND(O7,2)*P7</f>
        <v>#DIV/0!</v>
      </c>
      <c r="R7" s="93" t="e">
        <f>P7*dagenperjaar1</f>
        <v>#DIV/0!</v>
      </c>
      <c r="S7" s="27" t="e">
        <f>R7*ROUND(O7,2)</f>
        <v>#DIV/0!</v>
      </c>
    </row>
    <row r="8" spans="1:19" x14ac:dyDescent="0.2">
      <c r="A8" s="90" t="s">
        <v>312</v>
      </c>
      <c r="B8" s="91" t="s">
        <v>35</v>
      </c>
      <c r="C8" s="91" t="s">
        <v>313</v>
      </c>
      <c r="D8" s="91" t="s">
        <v>322</v>
      </c>
      <c r="E8" s="92" t="s">
        <v>323</v>
      </c>
      <c r="F8" s="91" t="s">
        <v>316</v>
      </c>
      <c r="G8" s="91" t="s">
        <v>239</v>
      </c>
      <c r="H8" s="91" t="s">
        <v>13</v>
      </c>
      <c r="I8" s="91" t="s">
        <v>235</v>
      </c>
      <c r="J8" s="92" t="s">
        <v>240</v>
      </c>
      <c r="K8" s="93">
        <v>18.2</v>
      </c>
      <c r="L8" s="93">
        <f>K8*VLOOKUP(H8,dagsoorttabel1,2,FALSE)</f>
        <v>3.64</v>
      </c>
      <c r="M8" s="94">
        <f>prodnorm53</f>
        <v>0</v>
      </c>
      <c r="N8" s="91" t="s">
        <v>101</v>
      </c>
      <c r="O8" s="26">
        <f>uurtarief53</f>
        <v>0</v>
      </c>
      <c r="P8" s="93" t="e">
        <f>IF(ISBLANK(M8),0,L8/ROUND(M8,4))</f>
        <v>#DIV/0!</v>
      </c>
      <c r="Q8" s="26" t="e">
        <f>ROUND(O8,2)*P8</f>
        <v>#DIV/0!</v>
      </c>
      <c r="R8" s="93" t="e">
        <f>P8*dagenperjaar1</f>
        <v>#DIV/0!</v>
      </c>
      <c r="S8" s="27" t="e">
        <f>R8*ROUND(O8,2)</f>
        <v>#DIV/0!</v>
      </c>
    </row>
    <row r="9" spans="1:19" x14ac:dyDescent="0.2">
      <c r="A9" s="90" t="s">
        <v>312</v>
      </c>
      <c r="B9" s="91" t="s">
        <v>35</v>
      </c>
      <c r="C9" s="91" t="s">
        <v>313</v>
      </c>
      <c r="D9" s="91" t="s">
        <v>324</v>
      </c>
      <c r="E9" s="92" t="s">
        <v>321</v>
      </c>
      <c r="F9" s="91" t="s">
        <v>316</v>
      </c>
      <c r="G9" s="91" t="s">
        <v>283</v>
      </c>
      <c r="H9" s="91" t="s">
        <v>13</v>
      </c>
      <c r="I9" s="91" t="s">
        <v>235</v>
      </c>
      <c r="J9" s="92" t="s">
        <v>284</v>
      </c>
      <c r="K9" s="93">
        <v>5.7</v>
      </c>
      <c r="L9" s="93">
        <f>K9*VLOOKUP(H9,dagsoorttabel1,2,FALSE)</f>
        <v>1.1400000000000001</v>
      </c>
      <c r="M9" s="94">
        <f>prodnorm106</f>
        <v>0</v>
      </c>
      <c r="N9" s="91" t="s">
        <v>101</v>
      </c>
      <c r="O9" s="26">
        <f>uurtarief106</f>
        <v>0</v>
      </c>
      <c r="P9" s="93" t="e">
        <f>IF(ISBLANK(M9),0,L9/ROUND(M9,4))</f>
        <v>#DIV/0!</v>
      </c>
      <c r="Q9" s="26" t="e">
        <f>ROUND(O9,2)*P9</f>
        <v>#DIV/0!</v>
      </c>
      <c r="R9" s="93" t="e">
        <f>P9*dagenperjaar1</f>
        <v>#DIV/0!</v>
      </c>
      <c r="S9" s="27" t="e">
        <f>R9*ROUND(O9,2)</f>
        <v>#DIV/0!</v>
      </c>
    </row>
    <row r="10" spans="1:19" x14ac:dyDescent="0.2">
      <c r="A10" s="90" t="s">
        <v>312</v>
      </c>
      <c r="B10" s="91" t="s">
        <v>35</v>
      </c>
      <c r="C10" s="91" t="s">
        <v>313</v>
      </c>
      <c r="D10" s="91" t="s">
        <v>325</v>
      </c>
      <c r="E10" s="92" t="s">
        <v>326</v>
      </c>
      <c r="F10" s="91" t="s">
        <v>316</v>
      </c>
      <c r="G10" s="91" t="s">
        <v>260</v>
      </c>
      <c r="H10" s="91" t="s">
        <v>13</v>
      </c>
      <c r="I10" s="91" t="s">
        <v>235</v>
      </c>
      <c r="J10" s="92" t="s">
        <v>261</v>
      </c>
      <c r="K10" s="93">
        <v>22</v>
      </c>
      <c r="L10" s="93">
        <f>K10*VLOOKUP(H10,dagsoorttabel1,2,FALSE)</f>
        <v>4.4000000000000004</v>
      </c>
      <c r="M10" s="94">
        <f>prodnorm75</f>
        <v>0</v>
      </c>
      <c r="N10" s="91" t="s">
        <v>101</v>
      </c>
      <c r="O10" s="26">
        <f>uurtarief75</f>
        <v>0</v>
      </c>
      <c r="P10" s="93" t="e">
        <f>IF(ISBLANK(M10),0,L10/ROUND(M10,4))</f>
        <v>#DIV/0!</v>
      </c>
      <c r="Q10" s="26" t="e">
        <f>ROUND(O10,2)*P10</f>
        <v>#DIV/0!</v>
      </c>
      <c r="R10" s="93" t="e">
        <f>P10*dagenperjaar1</f>
        <v>#DIV/0!</v>
      </c>
      <c r="S10" s="27" t="e">
        <f>R10*ROUND(O10,2)</f>
        <v>#DIV/0!</v>
      </c>
    </row>
    <row r="11" spans="1:19" x14ac:dyDescent="0.2">
      <c r="A11" s="90" t="s">
        <v>312</v>
      </c>
      <c r="B11" s="91" t="s">
        <v>35</v>
      </c>
      <c r="C11" s="91" t="s">
        <v>313</v>
      </c>
      <c r="D11" s="91" t="s">
        <v>327</v>
      </c>
      <c r="E11" s="92" t="s">
        <v>328</v>
      </c>
      <c r="F11" s="91" t="s">
        <v>329</v>
      </c>
      <c r="G11" s="91" t="s">
        <v>275</v>
      </c>
      <c r="H11" s="91" t="s">
        <v>13</v>
      </c>
      <c r="I11" s="91" t="s">
        <v>235</v>
      </c>
      <c r="J11" s="92" t="s">
        <v>276</v>
      </c>
      <c r="K11" s="93">
        <v>2.7</v>
      </c>
      <c r="L11" s="93">
        <f>K11*VLOOKUP(H11,dagsoorttabel1,2,FALSE)</f>
        <v>0.54</v>
      </c>
      <c r="M11" s="94">
        <f>prodnorm94</f>
        <v>0</v>
      </c>
      <c r="N11" s="91" t="s">
        <v>101</v>
      </c>
      <c r="O11" s="26">
        <f>uurtarief94</f>
        <v>0</v>
      </c>
      <c r="P11" s="93" t="e">
        <f>IF(ISBLANK(M11),0,L11/ROUND(M11,4))</f>
        <v>#DIV/0!</v>
      </c>
      <c r="Q11" s="26" t="e">
        <f>ROUND(O11,2)*P11</f>
        <v>#DIV/0!</v>
      </c>
      <c r="R11" s="93" t="e">
        <f>P11*dagenperjaar1</f>
        <v>#DIV/0!</v>
      </c>
      <c r="S11" s="27" t="e">
        <f>R11*ROUND(O11,2)</f>
        <v>#DIV/0!</v>
      </c>
    </row>
    <row r="12" spans="1:19" x14ac:dyDescent="0.2">
      <c r="A12" s="90" t="s">
        <v>312</v>
      </c>
      <c r="B12" s="91" t="s">
        <v>35</v>
      </c>
      <c r="C12" s="91" t="s">
        <v>313</v>
      </c>
      <c r="D12" s="91" t="s">
        <v>330</v>
      </c>
      <c r="E12" s="92" t="s">
        <v>331</v>
      </c>
      <c r="F12" s="91" t="s">
        <v>316</v>
      </c>
      <c r="G12" s="91" t="s">
        <v>279</v>
      </c>
      <c r="H12" s="91" t="s">
        <v>13</v>
      </c>
      <c r="I12" s="91" t="s">
        <v>235</v>
      </c>
      <c r="J12" s="92" t="s">
        <v>280</v>
      </c>
      <c r="K12" s="93">
        <v>4.5</v>
      </c>
      <c r="L12" s="93">
        <f>K12*VLOOKUP(H12,dagsoorttabel1,2,FALSE)</f>
        <v>0.9</v>
      </c>
      <c r="M12" s="94">
        <f>prodnorm100</f>
        <v>0</v>
      </c>
      <c r="N12" s="91" t="s">
        <v>101</v>
      </c>
      <c r="O12" s="26">
        <f>uurtarief100</f>
        <v>0</v>
      </c>
      <c r="P12" s="93" t="e">
        <f>IF(ISBLANK(M12),0,L12/ROUND(M12,4))</f>
        <v>#DIV/0!</v>
      </c>
      <c r="Q12" s="26" t="e">
        <f>ROUND(O12,2)*P12</f>
        <v>#DIV/0!</v>
      </c>
      <c r="R12" s="93" t="e">
        <f>P12*dagenperjaar1</f>
        <v>#DIV/0!</v>
      </c>
      <c r="S12" s="27" t="e">
        <f>R12*ROUND(O12,2)</f>
        <v>#DIV/0!</v>
      </c>
    </row>
    <row r="13" spans="1:19" x14ac:dyDescent="0.2">
      <c r="A13" s="90" t="s">
        <v>312</v>
      </c>
      <c r="B13" s="91" t="s">
        <v>35</v>
      </c>
      <c r="C13" s="91" t="s">
        <v>313</v>
      </c>
      <c r="D13" s="91" t="s">
        <v>332</v>
      </c>
      <c r="E13" s="92" t="s">
        <v>333</v>
      </c>
      <c r="F13" s="91" t="s">
        <v>316</v>
      </c>
      <c r="G13" s="91" t="s">
        <v>279</v>
      </c>
      <c r="H13" s="91" t="s">
        <v>13</v>
      </c>
      <c r="I13" s="91" t="s">
        <v>235</v>
      </c>
      <c r="J13" s="92" t="s">
        <v>280</v>
      </c>
      <c r="K13" s="93">
        <v>1.1000000000000001</v>
      </c>
      <c r="L13" s="93">
        <f>K13*VLOOKUP(H13,dagsoorttabel1,2,FALSE)</f>
        <v>0.22000000000000003</v>
      </c>
      <c r="M13" s="94">
        <f>prodnorm100</f>
        <v>0</v>
      </c>
      <c r="N13" s="91" t="s">
        <v>101</v>
      </c>
      <c r="O13" s="26">
        <f>uurtarief100</f>
        <v>0</v>
      </c>
      <c r="P13" s="93" t="e">
        <f>IF(ISBLANK(M13),0,L13/ROUND(M13,4))</f>
        <v>#DIV/0!</v>
      </c>
      <c r="Q13" s="26" t="e">
        <f>ROUND(O13,2)*P13</f>
        <v>#DIV/0!</v>
      </c>
      <c r="R13" s="93" t="e">
        <f>P13*dagenperjaar1</f>
        <v>#DIV/0!</v>
      </c>
      <c r="S13" s="27" t="e">
        <f>R13*ROUND(O13,2)</f>
        <v>#DIV/0!</v>
      </c>
    </row>
    <row r="14" spans="1:19" x14ac:dyDescent="0.2">
      <c r="A14" s="90" t="s">
        <v>312</v>
      </c>
      <c r="B14" s="91" t="s">
        <v>35</v>
      </c>
      <c r="C14" s="91" t="s">
        <v>313</v>
      </c>
      <c r="D14" s="91" t="s">
        <v>334</v>
      </c>
      <c r="E14" s="92" t="s">
        <v>335</v>
      </c>
      <c r="F14" s="91" t="s">
        <v>316</v>
      </c>
      <c r="G14" s="91" t="s">
        <v>287</v>
      </c>
      <c r="H14" s="91" t="s">
        <v>13</v>
      </c>
      <c r="I14" s="91" t="s">
        <v>235</v>
      </c>
      <c r="J14" s="92" t="s">
        <v>288</v>
      </c>
      <c r="K14" s="93">
        <v>3.8</v>
      </c>
      <c r="L14" s="93">
        <f>K14*VLOOKUP(H14,dagsoorttabel1,2,FALSE)</f>
        <v>0.76</v>
      </c>
      <c r="M14" s="94">
        <f>prodnorm112</f>
        <v>0</v>
      </c>
      <c r="N14" s="91" t="s">
        <v>101</v>
      </c>
      <c r="O14" s="26">
        <f>uurtarief112</f>
        <v>0</v>
      </c>
      <c r="P14" s="93" t="e">
        <f>IF(ISBLANK(M14),0,L14/ROUND(M14,4))</f>
        <v>#DIV/0!</v>
      </c>
      <c r="Q14" s="26" t="e">
        <f>ROUND(O14,2)*P14</f>
        <v>#DIV/0!</v>
      </c>
      <c r="R14" s="93" t="e">
        <f>P14*dagenperjaar1</f>
        <v>#DIV/0!</v>
      </c>
      <c r="S14" s="27" t="e">
        <f>R14*ROUND(O14,2)</f>
        <v>#DIV/0!</v>
      </c>
    </row>
    <row r="15" spans="1:19" x14ac:dyDescent="0.2">
      <c r="A15" s="90" t="s">
        <v>312</v>
      </c>
      <c r="B15" s="91" t="s">
        <v>35</v>
      </c>
      <c r="C15" s="91" t="s">
        <v>313</v>
      </c>
      <c r="D15" s="91" t="s">
        <v>336</v>
      </c>
      <c r="E15" s="92" t="s">
        <v>337</v>
      </c>
      <c r="F15" s="91" t="s">
        <v>329</v>
      </c>
      <c r="G15" s="91" t="s">
        <v>277</v>
      </c>
      <c r="H15" s="91" t="s">
        <v>13</v>
      </c>
      <c r="I15" s="91" t="s">
        <v>235</v>
      </c>
      <c r="J15" s="92" t="s">
        <v>278</v>
      </c>
      <c r="K15" s="93">
        <v>8.5</v>
      </c>
      <c r="L15" s="93">
        <f>K15*VLOOKUP(H15,dagsoorttabel1,2,FALSE)</f>
        <v>1.7000000000000002</v>
      </c>
      <c r="M15" s="94">
        <f>prodnorm97</f>
        <v>0</v>
      </c>
      <c r="N15" s="91" t="s">
        <v>101</v>
      </c>
      <c r="O15" s="26">
        <f>uurtarief97</f>
        <v>0</v>
      </c>
      <c r="P15" s="93" t="e">
        <f>IF(ISBLANK(M15),0,L15/ROUND(M15,4))</f>
        <v>#DIV/0!</v>
      </c>
      <c r="Q15" s="26" t="e">
        <f>ROUND(O15,2)*P15</f>
        <v>#DIV/0!</v>
      </c>
      <c r="R15" s="93" t="e">
        <f>P15*dagenperjaar1</f>
        <v>#DIV/0!</v>
      </c>
      <c r="S15" s="27" t="e">
        <f>R15*ROUND(O15,2)</f>
        <v>#DIV/0!</v>
      </c>
    </row>
    <row r="16" spans="1:19" x14ac:dyDescent="0.2">
      <c r="A16" s="90" t="s">
        <v>312</v>
      </c>
      <c r="B16" s="91" t="s">
        <v>35</v>
      </c>
      <c r="C16" s="91" t="s">
        <v>313</v>
      </c>
      <c r="D16" s="91" t="s">
        <v>338</v>
      </c>
      <c r="E16" s="92" t="s">
        <v>328</v>
      </c>
      <c r="F16" s="91" t="s">
        <v>329</v>
      </c>
      <c r="G16" s="91" t="s">
        <v>275</v>
      </c>
      <c r="H16" s="91" t="s">
        <v>13</v>
      </c>
      <c r="I16" s="91" t="s">
        <v>235</v>
      </c>
      <c r="J16" s="92" t="s">
        <v>276</v>
      </c>
      <c r="K16" s="93">
        <v>5.4</v>
      </c>
      <c r="L16" s="93">
        <f>K16*VLOOKUP(H16,dagsoorttabel1,2,FALSE)</f>
        <v>1.08</v>
      </c>
      <c r="M16" s="94">
        <f>prodnorm94</f>
        <v>0</v>
      </c>
      <c r="N16" s="91" t="s">
        <v>101</v>
      </c>
      <c r="O16" s="26">
        <f>uurtarief94</f>
        <v>0</v>
      </c>
      <c r="P16" s="93" t="e">
        <f>IF(ISBLANK(M16),0,L16/ROUND(M16,4))</f>
        <v>#DIV/0!</v>
      </c>
      <c r="Q16" s="26" t="e">
        <f>ROUND(O16,2)*P16</f>
        <v>#DIV/0!</v>
      </c>
      <c r="R16" s="93" t="e">
        <f>P16*dagenperjaar1</f>
        <v>#DIV/0!</v>
      </c>
      <c r="S16" s="27" t="e">
        <f>R16*ROUND(O16,2)</f>
        <v>#DIV/0!</v>
      </c>
    </row>
    <row r="17" spans="1:19" x14ac:dyDescent="0.2">
      <c r="A17" s="90" t="s">
        <v>312</v>
      </c>
      <c r="B17" s="91" t="s">
        <v>35</v>
      </c>
      <c r="C17" s="91" t="s">
        <v>313</v>
      </c>
      <c r="D17" s="91" t="s">
        <v>339</v>
      </c>
      <c r="E17" s="92" t="s">
        <v>340</v>
      </c>
      <c r="F17" s="91" t="s">
        <v>329</v>
      </c>
      <c r="G17" s="91" t="s">
        <v>252</v>
      </c>
      <c r="H17" s="91" t="s">
        <v>21</v>
      </c>
      <c r="I17" s="91" t="s">
        <v>235</v>
      </c>
      <c r="J17" s="92" t="s">
        <v>253</v>
      </c>
      <c r="K17" s="93">
        <v>230</v>
      </c>
      <c r="L17" s="93">
        <f>K17*VLOOKUP(H17,dagsoorttabel1,2,FALSE)</f>
        <v>0.88461538461538469</v>
      </c>
      <c r="M17" s="94">
        <f>prodnorm67</f>
        <v>0</v>
      </c>
      <c r="N17" s="91" t="s">
        <v>101</v>
      </c>
      <c r="O17" s="26">
        <f>uurtarief67</f>
        <v>0</v>
      </c>
      <c r="P17" s="93" t="e">
        <f>IF(ISBLANK(M17),0,L17/ROUND(M17,4))</f>
        <v>#DIV/0!</v>
      </c>
      <c r="Q17" s="26" t="e">
        <f>ROUND(O17,2)*P17</f>
        <v>#DIV/0!</v>
      </c>
      <c r="R17" s="93" t="e">
        <f>P17*dagenperjaar1</f>
        <v>#DIV/0!</v>
      </c>
      <c r="S17" s="27" t="e">
        <f>R17*ROUND(O17,2)</f>
        <v>#DIV/0!</v>
      </c>
    </row>
    <row r="18" spans="1:19" x14ac:dyDescent="0.2">
      <c r="A18" s="90" t="s">
        <v>312</v>
      </c>
      <c r="B18" s="91" t="s">
        <v>35</v>
      </c>
      <c r="C18" s="91" t="s">
        <v>313</v>
      </c>
      <c r="D18" s="91" t="s">
        <v>341</v>
      </c>
      <c r="E18" s="92" t="s">
        <v>342</v>
      </c>
      <c r="F18" s="91" t="s">
        <v>329</v>
      </c>
      <c r="G18" s="91" t="s">
        <v>252</v>
      </c>
      <c r="H18" s="91" t="s">
        <v>21</v>
      </c>
      <c r="I18" s="91" t="s">
        <v>235</v>
      </c>
      <c r="J18" s="92" t="s">
        <v>253</v>
      </c>
      <c r="K18" s="93">
        <v>15.6</v>
      </c>
      <c r="L18" s="93">
        <f>K18*VLOOKUP(H18,dagsoorttabel1,2,FALSE)</f>
        <v>6.0000000000000005E-2</v>
      </c>
      <c r="M18" s="94">
        <f>prodnorm67</f>
        <v>0</v>
      </c>
      <c r="N18" s="91" t="s">
        <v>101</v>
      </c>
      <c r="O18" s="26">
        <f>uurtarief67</f>
        <v>0</v>
      </c>
      <c r="P18" s="93" t="e">
        <f>IF(ISBLANK(M18),0,L18/ROUND(M18,4))</f>
        <v>#DIV/0!</v>
      </c>
      <c r="Q18" s="26" t="e">
        <f>ROUND(O18,2)*P18</f>
        <v>#DIV/0!</v>
      </c>
      <c r="R18" s="93" t="e">
        <f>P18*dagenperjaar1</f>
        <v>#DIV/0!</v>
      </c>
      <c r="S18" s="27" t="e">
        <f>R18*ROUND(O18,2)</f>
        <v>#DIV/0!</v>
      </c>
    </row>
    <row r="19" spans="1:19" x14ac:dyDescent="0.2">
      <c r="A19" s="90" t="s">
        <v>312</v>
      </c>
      <c r="B19" s="91" t="s">
        <v>35</v>
      </c>
      <c r="C19" s="91" t="s">
        <v>343</v>
      </c>
      <c r="D19" s="91" t="s">
        <v>344</v>
      </c>
      <c r="E19" s="92" t="s">
        <v>321</v>
      </c>
      <c r="F19" s="91" t="s">
        <v>316</v>
      </c>
      <c r="G19" s="91" t="s">
        <v>283</v>
      </c>
      <c r="H19" s="91" t="s">
        <v>13</v>
      </c>
      <c r="I19" s="91" t="s">
        <v>235</v>
      </c>
      <c r="J19" s="92" t="s">
        <v>284</v>
      </c>
      <c r="K19" s="93">
        <v>7.4</v>
      </c>
      <c r="L19" s="93">
        <f>K19*VLOOKUP(H19,dagsoorttabel1,2,FALSE)</f>
        <v>1.4800000000000002</v>
      </c>
      <c r="M19" s="94">
        <f>prodnorm106</f>
        <v>0</v>
      </c>
      <c r="N19" s="91" t="s">
        <v>101</v>
      </c>
      <c r="O19" s="26">
        <f>uurtarief106</f>
        <v>0</v>
      </c>
      <c r="P19" s="93" t="e">
        <f>IF(ISBLANK(M19),0,L19/ROUND(M19,4))</f>
        <v>#DIV/0!</v>
      </c>
      <c r="Q19" s="26" t="e">
        <f>ROUND(O19,2)*P19</f>
        <v>#DIV/0!</v>
      </c>
      <c r="R19" s="93" t="e">
        <f>P19*dagenperjaar1</f>
        <v>#DIV/0!</v>
      </c>
      <c r="S19" s="27" t="e">
        <f>R19*ROUND(O19,2)</f>
        <v>#DIV/0!</v>
      </c>
    </row>
    <row r="20" spans="1:19" x14ac:dyDescent="0.2">
      <c r="A20" s="90" t="s">
        <v>312</v>
      </c>
      <c r="B20" s="91" t="s">
        <v>35</v>
      </c>
      <c r="C20" s="91" t="s">
        <v>343</v>
      </c>
      <c r="D20" s="91" t="s">
        <v>345</v>
      </c>
      <c r="E20" s="92" t="s">
        <v>346</v>
      </c>
      <c r="F20" s="91" t="s">
        <v>347</v>
      </c>
      <c r="G20" s="91" t="s">
        <v>262</v>
      </c>
      <c r="H20" s="91" t="s">
        <v>13</v>
      </c>
      <c r="I20" s="91" t="s">
        <v>235</v>
      </c>
      <c r="J20" s="92" t="s">
        <v>263</v>
      </c>
      <c r="K20" s="93">
        <v>42</v>
      </c>
      <c r="L20" s="93">
        <f>K20*VLOOKUP(H20,dagsoorttabel1,2,FALSE)</f>
        <v>8.4</v>
      </c>
      <c r="M20" s="94">
        <f>prodnorm78</f>
        <v>0</v>
      </c>
      <c r="N20" s="91" t="s">
        <v>101</v>
      </c>
      <c r="O20" s="26">
        <f>uurtarief78</f>
        <v>0</v>
      </c>
      <c r="P20" s="93" t="e">
        <f>IF(ISBLANK(M20),0,L20/ROUND(M20,4))</f>
        <v>#DIV/0!</v>
      </c>
      <c r="Q20" s="26" t="e">
        <f>ROUND(O20,2)*P20</f>
        <v>#DIV/0!</v>
      </c>
      <c r="R20" s="93" t="e">
        <f>P20*dagenperjaar1</f>
        <v>#DIV/0!</v>
      </c>
      <c r="S20" s="27" t="e">
        <f>R20*ROUND(O20,2)</f>
        <v>#DIV/0!</v>
      </c>
    </row>
    <row r="21" spans="1:19" x14ac:dyDescent="0.2">
      <c r="A21" s="90" t="s">
        <v>312</v>
      </c>
      <c r="B21" s="91" t="s">
        <v>35</v>
      </c>
      <c r="C21" s="91" t="s">
        <v>343</v>
      </c>
      <c r="D21" s="91" t="s">
        <v>348</v>
      </c>
      <c r="E21" s="92" t="s">
        <v>349</v>
      </c>
      <c r="F21" s="91" t="s">
        <v>316</v>
      </c>
      <c r="G21" s="91" t="s">
        <v>266</v>
      </c>
      <c r="H21" s="91" t="s">
        <v>13</v>
      </c>
      <c r="I21" s="91" t="s">
        <v>235</v>
      </c>
      <c r="J21" s="92" t="s">
        <v>267</v>
      </c>
      <c r="K21" s="93">
        <v>12.2</v>
      </c>
      <c r="L21" s="93">
        <f>K21*VLOOKUP(H21,dagsoorttabel1,2,FALSE)</f>
        <v>2.44</v>
      </c>
      <c r="M21" s="94">
        <f>prodnorm83</f>
        <v>0</v>
      </c>
      <c r="N21" s="91" t="s">
        <v>101</v>
      </c>
      <c r="O21" s="26">
        <f>uurtarief83</f>
        <v>0</v>
      </c>
      <c r="P21" s="93" t="e">
        <f>IF(ISBLANK(M21),0,L21/ROUND(M21,4))</f>
        <v>#DIV/0!</v>
      </c>
      <c r="Q21" s="26" t="e">
        <f>ROUND(O21,2)*P21</f>
        <v>#DIV/0!</v>
      </c>
      <c r="R21" s="93" t="e">
        <f>P21*dagenperjaar1</f>
        <v>#DIV/0!</v>
      </c>
      <c r="S21" s="27" t="e">
        <f>R21*ROUND(O21,2)</f>
        <v>#DIV/0!</v>
      </c>
    </row>
    <row r="22" spans="1:19" x14ac:dyDescent="0.2">
      <c r="A22" s="90" t="s">
        <v>312</v>
      </c>
      <c r="B22" s="91" t="s">
        <v>35</v>
      </c>
      <c r="C22" s="91" t="s">
        <v>343</v>
      </c>
      <c r="D22" s="91" t="s">
        <v>350</v>
      </c>
      <c r="E22" s="92" t="s">
        <v>351</v>
      </c>
      <c r="F22" s="91" t="s">
        <v>316</v>
      </c>
      <c r="G22" s="91" t="s">
        <v>352</v>
      </c>
      <c r="H22" s="91"/>
      <c r="I22" s="91"/>
      <c r="J22" s="91"/>
      <c r="K22" s="93">
        <v>4</v>
      </c>
      <c r="L22" s="93"/>
      <c r="M22" s="94"/>
      <c r="N22" s="91"/>
      <c r="O22" s="26"/>
      <c r="P22" s="93"/>
      <c r="Q22" s="26"/>
      <c r="R22" s="95"/>
      <c r="S22" s="27"/>
    </row>
    <row r="23" spans="1:19" x14ac:dyDescent="0.2">
      <c r="A23" s="90" t="s">
        <v>312</v>
      </c>
      <c r="B23" s="91" t="s">
        <v>35</v>
      </c>
      <c r="C23" s="91" t="s">
        <v>343</v>
      </c>
      <c r="D23" s="91" t="s">
        <v>353</v>
      </c>
      <c r="E23" s="92" t="s">
        <v>354</v>
      </c>
      <c r="F23" s="91" t="s">
        <v>316</v>
      </c>
      <c r="G23" s="91" t="s">
        <v>352</v>
      </c>
      <c r="H23" s="91"/>
      <c r="I23" s="91"/>
      <c r="J23" s="91"/>
      <c r="K23" s="93">
        <v>4</v>
      </c>
      <c r="L23" s="93"/>
      <c r="M23" s="94"/>
      <c r="N23" s="91"/>
      <c r="O23" s="26"/>
      <c r="P23" s="93"/>
      <c r="Q23" s="26"/>
      <c r="R23" s="95"/>
      <c r="S23" s="27"/>
    </row>
    <row r="24" spans="1:19" x14ac:dyDescent="0.2">
      <c r="A24" s="96" t="s">
        <v>312</v>
      </c>
      <c r="B24" s="97" t="s">
        <v>35</v>
      </c>
      <c r="C24" s="97" t="s">
        <v>343</v>
      </c>
      <c r="D24" s="97" t="s">
        <v>355</v>
      </c>
      <c r="E24" s="98" t="s">
        <v>333</v>
      </c>
      <c r="F24" s="97" t="s">
        <v>316</v>
      </c>
      <c r="G24" s="97" t="s">
        <v>279</v>
      </c>
      <c r="H24" s="97" t="s">
        <v>13</v>
      </c>
      <c r="I24" s="97" t="s">
        <v>235</v>
      </c>
      <c r="J24" s="98" t="s">
        <v>280</v>
      </c>
      <c r="K24" s="99">
        <v>7</v>
      </c>
      <c r="L24" s="99">
        <f>K24*VLOOKUP(H24,dagsoorttabel1,2,FALSE)</f>
        <v>1.4000000000000001</v>
      </c>
      <c r="M24" s="100">
        <f>prodnorm100</f>
        <v>0</v>
      </c>
      <c r="N24" s="97" t="s">
        <v>101</v>
      </c>
      <c r="O24" s="36">
        <f>uurtarief100</f>
        <v>0</v>
      </c>
      <c r="P24" s="99" t="e">
        <f>IF(ISBLANK(M24),0,L24/ROUND(M24,4))</f>
        <v>#DIV/0!</v>
      </c>
      <c r="Q24" s="36" t="e">
        <f>ROUND(O24,2)*P24</f>
        <v>#DIV/0!</v>
      </c>
      <c r="R24" s="99" t="e">
        <f>P24*dagenperjaar1</f>
        <v>#DIV/0!</v>
      </c>
      <c r="S24" s="37" t="e">
        <f>R24*ROUND(O24,2)</f>
        <v>#DIV/0!</v>
      </c>
    </row>
    <row r="25" spans="1:19" x14ac:dyDescent="0.2">
      <c r="A25" s="101" t="s">
        <v>356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6" t="e">
        <f>IF(_xlfn.SINGLE(object1_urenjaar1)&gt;0,_xlfn.SINGLE(object1_prijsjaar1)/_xlfn.SINGLE(object1_urenjaar1),0)</f>
        <v>#DIV/0!</v>
      </c>
      <c r="P25" s="75" t="e">
        <f>SUM(P5:P24)</f>
        <v>#DIV/0!</v>
      </c>
      <c r="Q25" s="76" t="e">
        <f>SUM(Q5:Q24)</f>
        <v>#DIV/0!</v>
      </c>
      <c r="R25" s="75" t="e">
        <f>SUM(R5:R24)</f>
        <v>#DIV/0!</v>
      </c>
      <c r="S25" s="77" t="e">
        <f>SUM(S5:S24)</f>
        <v>#DIV/0!</v>
      </c>
    </row>
    <row r="26" spans="1:19" x14ac:dyDescent="0.2">
      <c r="A26" s="82" t="s">
        <v>357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72"/>
    </row>
    <row r="27" spans="1:19" x14ac:dyDescent="0.2">
      <c r="A27" s="83" t="s">
        <v>358</v>
      </c>
      <c r="B27" s="84" t="s">
        <v>35</v>
      </c>
      <c r="C27" s="84" t="s">
        <v>313</v>
      </c>
      <c r="D27" s="84" t="s">
        <v>314</v>
      </c>
      <c r="E27" s="85" t="s">
        <v>315</v>
      </c>
      <c r="F27" s="84" t="s">
        <v>316</v>
      </c>
      <c r="G27" s="84" t="s">
        <v>287</v>
      </c>
      <c r="H27" s="84" t="s">
        <v>13</v>
      </c>
      <c r="I27" s="84" t="s">
        <v>235</v>
      </c>
      <c r="J27" s="85" t="s">
        <v>288</v>
      </c>
      <c r="K27" s="86">
        <v>8</v>
      </c>
      <c r="L27" s="86">
        <f>K27*VLOOKUP(H27,dagsoorttabel1,2,FALSE)</f>
        <v>1.6</v>
      </c>
      <c r="M27" s="87">
        <f>prodnorm112</f>
        <v>0</v>
      </c>
      <c r="N27" s="84" t="s">
        <v>101</v>
      </c>
      <c r="O27" s="88">
        <f>uurtarief112</f>
        <v>0</v>
      </c>
      <c r="P27" s="86" t="e">
        <f>IF(ISBLANK(M27),0,L27/ROUND(M27,4))</f>
        <v>#DIV/0!</v>
      </c>
      <c r="Q27" s="88" t="e">
        <f>ROUND(O27,2)*P27</f>
        <v>#DIV/0!</v>
      </c>
      <c r="R27" s="86" t="e">
        <f>P27*dagenperjaar1</f>
        <v>#DIV/0!</v>
      </c>
      <c r="S27" s="89" t="e">
        <f>R27*ROUND(O27,2)</f>
        <v>#DIV/0!</v>
      </c>
    </row>
    <row r="28" spans="1:19" ht="25.2" x14ac:dyDescent="0.2">
      <c r="A28" s="90" t="s">
        <v>358</v>
      </c>
      <c r="B28" s="91" t="s">
        <v>35</v>
      </c>
      <c r="C28" s="91" t="s">
        <v>313</v>
      </c>
      <c r="D28" s="91" t="s">
        <v>359</v>
      </c>
      <c r="E28" s="92" t="s">
        <v>360</v>
      </c>
      <c r="F28" s="91" t="s">
        <v>316</v>
      </c>
      <c r="G28" s="91" t="s">
        <v>293</v>
      </c>
      <c r="H28" s="91" t="s">
        <v>13</v>
      </c>
      <c r="I28" s="91" t="s">
        <v>235</v>
      </c>
      <c r="J28" s="92" t="s">
        <v>294</v>
      </c>
      <c r="K28" s="93">
        <v>23.64</v>
      </c>
      <c r="L28" s="93">
        <f>K28*VLOOKUP(H28,dagsoorttabel1,2,FALSE)</f>
        <v>4.7280000000000006</v>
      </c>
      <c r="M28" s="94">
        <f>prodnorm119</f>
        <v>0</v>
      </c>
      <c r="N28" s="91" t="s">
        <v>101</v>
      </c>
      <c r="O28" s="26">
        <f>uurtarief119</f>
        <v>0</v>
      </c>
      <c r="P28" s="93" t="e">
        <f>IF(ISBLANK(M28),0,L28/ROUND(M28,4))</f>
        <v>#DIV/0!</v>
      </c>
      <c r="Q28" s="26" t="e">
        <f>ROUND(O28,2)*P28</f>
        <v>#DIV/0!</v>
      </c>
      <c r="R28" s="93" t="e">
        <f>P28*dagenperjaar1</f>
        <v>#DIV/0!</v>
      </c>
      <c r="S28" s="27" t="e">
        <f>R28*ROUND(O28,2)</f>
        <v>#DIV/0!</v>
      </c>
    </row>
    <row r="29" spans="1:19" x14ac:dyDescent="0.2">
      <c r="A29" s="90" t="s">
        <v>358</v>
      </c>
      <c r="B29" s="91" t="s">
        <v>35</v>
      </c>
      <c r="C29" s="91" t="s">
        <v>313</v>
      </c>
      <c r="D29" s="91" t="s">
        <v>317</v>
      </c>
      <c r="E29" s="92" t="s">
        <v>318</v>
      </c>
      <c r="F29" s="91" t="s">
        <v>361</v>
      </c>
      <c r="G29" s="91" t="s">
        <v>298</v>
      </c>
      <c r="H29" s="91" t="s">
        <v>13</v>
      </c>
      <c r="I29" s="91" t="s">
        <v>235</v>
      </c>
      <c r="J29" s="92" t="s">
        <v>299</v>
      </c>
      <c r="K29" s="93">
        <v>3.75</v>
      </c>
      <c r="L29" s="93">
        <f>K29*VLOOKUP(H29,dagsoorttabel1,2,FALSE)</f>
        <v>0.75</v>
      </c>
      <c r="M29" s="94">
        <f>prodnorm124</f>
        <v>0</v>
      </c>
      <c r="N29" s="91" t="s">
        <v>101</v>
      </c>
      <c r="O29" s="26">
        <f>uurtarief124</f>
        <v>0</v>
      </c>
      <c r="P29" s="93" t="e">
        <f>IF(ISBLANK(M29),0,L29/ROUND(M29,4))</f>
        <v>#DIV/0!</v>
      </c>
      <c r="Q29" s="26" t="e">
        <f>ROUND(O29,2)*P29</f>
        <v>#DIV/0!</v>
      </c>
      <c r="R29" s="93" t="e">
        <f>P29*dagenperjaar1</f>
        <v>#DIV/0!</v>
      </c>
      <c r="S29" s="27" t="e">
        <f>R29*ROUND(O29,2)</f>
        <v>#DIV/0!</v>
      </c>
    </row>
    <row r="30" spans="1:19" x14ac:dyDescent="0.2">
      <c r="A30" s="90" t="s">
        <v>358</v>
      </c>
      <c r="B30" s="91" t="s">
        <v>35</v>
      </c>
      <c r="C30" s="91" t="s">
        <v>313</v>
      </c>
      <c r="D30" s="91" t="s">
        <v>320</v>
      </c>
      <c r="E30" s="92" t="s">
        <v>362</v>
      </c>
      <c r="F30" s="91" t="s">
        <v>316</v>
      </c>
      <c r="G30" s="91" t="s">
        <v>277</v>
      </c>
      <c r="H30" s="91" t="s">
        <v>13</v>
      </c>
      <c r="I30" s="91" t="s">
        <v>235</v>
      </c>
      <c r="J30" s="92" t="s">
        <v>278</v>
      </c>
      <c r="K30" s="93">
        <v>10.92</v>
      </c>
      <c r="L30" s="93">
        <f>K30*VLOOKUP(H30,dagsoorttabel1,2,FALSE)</f>
        <v>2.1840000000000002</v>
      </c>
      <c r="M30" s="94">
        <f>prodnorm97</f>
        <v>0</v>
      </c>
      <c r="N30" s="91" t="s">
        <v>101</v>
      </c>
      <c r="O30" s="26">
        <f>uurtarief97</f>
        <v>0</v>
      </c>
      <c r="P30" s="93" t="e">
        <f>IF(ISBLANK(M30),0,L30/ROUND(M30,4))</f>
        <v>#DIV/0!</v>
      </c>
      <c r="Q30" s="26" t="e">
        <f>ROUND(O30,2)*P30</f>
        <v>#DIV/0!</v>
      </c>
      <c r="R30" s="93" t="e">
        <f>P30*dagenperjaar1</f>
        <v>#DIV/0!</v>
      </c>
      <c r="S30" s="27" t="e">
        <f>R30*ROUND(O30,2)</f>
        <v>#DIV/0!</v>
      </c>
    </row>
    <row r="31" spans="1:19" x14ac:dyDescent="0.2">
      <c r="A31" s="90" t="s">
        <v>358</v>
      </c>
      <c r="B31" s="91" t="s">
        <v>35</v>
      </c>
      <c r="C31" s="91" t="s">
        <v>313</v>
      </c>
      <c r="D31" s="91" t="s">
        <v>322</v>
      </c>
      <c r="E31" s="92" t="s">
        <v>363</v>
      </c>
      <c r="F31" s="91" t="s">
        <v>316</v>
      </c>
      <c r="G31" s="91" t="s">
        <v>277</v>
      </c>
      <c r="H31" s="91" t="s">
        <v>13</v>
      </c>
      <c r="I31" s="91" t="s">
        <v>235</v>
      </c>
      <c r="J31" s="92" t="s">
        <v>278</v>
      </c>
      <c r="K31" s="93">
        <v>34.43</v>
      </c>
      <c r="L31" s="93">
        <f>K31*VLOOKUP(H31,dagsoorttabel1,2,FALSE)</f>
        <v>6.8860000000000001</v>
      </c>
      <c r="M31" s="94">
        <f>prodnorm97</f>
        <v>0</v>
      </c>
      <c r="N31" s="91" t="s">
        <v>101</v>
      </c>
      <c r="O31" s="26">
        <f>uurtarief97</f>
        <v>0</v>
      </c>
      <c r="P31" s="93" t="e">
        <f>IF(ISBLANK(M31),0,L31/ROUND(M31,4))</f>
        <v>#DIV/0!</v>
      </c>
      <c r="Q31" s="26" t="e">
        <f>ROUND(O31,2)*P31</f>
        <v>#DIV/0!</v>
      </c>
      <c r="R31" s="93" t="e">
        <f>P31*dagenperjaar1</f>
        <v>#DIV/0!</v>
      </c>
      <c r="S31" s="27" t="e">
        <f>R31*ROUND(O31,2)</f>
        <v>#DIV/0!</v>
      </c>
    </row>
    <row r="32" spans="1:19" x14ac:dyDescent="0.2">
      <c r="A32" s="90" t="s">
        <v>358</v>
      </c>
      <c r="B32" s="91" t="s">
        <v>35</v>
      </c>
      <c r="C32" s="91" t="s">
        <v>313</v>
      </c>
      <c r="D32" s="91" t="s">
        <v>324</v>
      </c>
      <c r="E32" s="92" t="s">
        <v>364</v>
      </c>
      <c r="F32" s="91" t="s">
        <v>316</v>
      </c>
      <c r="G32" s="91" t="s">
        <v>352</v>
      </c>
      <c r="H32" s="91"/>
      <c r="I32" s="91"/>
      <c r="J32" s="91"/>
      <c r="K32" s="93">
        <v>3.2600000000000002</v>
      </c>
      <c r="L32" s="93"/>
      <c r="M32" s="94"/>
      <c r="N32" s="91"/>
      <c r="O32" s="26"/>
      <c r="P32" s="93"/>
      <c r="Q32" s="26"/>
      <c r="R32" s="95"/>
      <c r="S32" s="27"/>
    </row>
    <row r="33" spans="1:19" x14ac:dyDescent="0.2">
      <c r="A33" s="90" t="s">
        <v>358</v>
      </c>
      <c r="B33" s="91" t="s">
        <v>35</v>
      </c>
      <c r="C33" s="91" t="s">
        <v>313</v>
      </c>
      <c r="D33" s="91" t="s">
        <v>325</v>
      </c>
      <c r="E33" s="92" t="s">
        <v>365</v>
      </c>
      <c r="F33" s="91" t="s">
        <v>316</v>
      </c>
      <c r="G33" s="91" t="s">
        <v>279</v>
      </c>
      <c r="H33" s="91" t="s">
        <v>13</v>
      </c>
      <c r="I33" s="91" t="s">
        <v>235</v>
      </c>
      <c r="J33" s="92" t="s">
        <v>280</v>
      </c>
      <c r="K33" s="93">
        <v>4.34</v>
      </c>
      <c r="L33" s="93">
        <f>K33*VLOOKUP(H33,dagsoorttabel1,2,FALSE)</f>
        <v>0.86799999999999999</v>
      </c>
      <c r="M33" s="94">
        <f>prodnorm100</f>
        <v>0</v>
      </c>
      <c r="N33" s="91" t="s">
        <v>101</v>
      </c>
      <c r="O33" s="26">
        <f>uurtarief100</f>
        <v>0</v>
      </c>
      <c r="P33" s="93" t="e">
        <f>IF(ISBLANK(M33),0,L33/ROUND(M33,4))</f>
        <v>#DIV/0!</v>
      </c>
      <c r="Q33" s="26" t="e">
        <f>ROUND(O33,2)*P33</f>
        <v>#DIV/0!</v>
      </c>
      <c r="R33" s="93" t="e">
        <f>P33*dagenperjaar1</f>
        <v>#DIV/0!</v>
      </c>
      <c r="S33" s="27" t="e">
        <f>R33*ROUND(O33,2)</f>
        <v>#DIV/0!</v>
      </c>
    </row>
    <row r="34" spans="1:19" x14ac:dyDescent="0.2">
      <c r="A34" s="90" t="s">
        <v>358</v>
      </c>
      <c r="B34" s="91" t="s">
        <v>35</v>
      </c>
      <c r="C34" s="91" t="s">
        <v>313</v>
      </c>
      <c r="D34" s="91" t="s">
        <v>327</v>
      </c>
      <c r="E34" s="92" t="s">
        <v>366</v>
      </c>
      <c r="F34" s="91" t="s">
        <v>329</v>
      </c>
      <c r="G34" s="91" t="s">
        <v>352</v>
      </c>
      <c r="H34" s="91"/>
      <c r="I34" s="91"/>
      <c r="J34" s="91"/>
      <c r="K34" s="93">
        <v>6.51</v>
      </c>
      <c r="L34" s="93"/>
      <c r="M34" s="94"/>
      <c r="N34" s="91"/>
      <c r="O34" s="26"/>
      <c r="P34" s="93"/>
      <c r="Q34" s="26"/>
      <c r="R34" s="95"/>
      <c r="S34" s="27"/>
    </row>
    <row r="35" spans="1:19" x14ac:dyDescent="0.2">
      <c r="A35" s="90" t="s">
        <v>358</v>
      </c>
      <c r="B35" s="91" t="s">
        <v>35</v>
      </c>
      <c r="C35" s="91" t="s">
        <v>313</v>
      </c>
      <c r="D35" s="91" t="s">
        <v>330</v>
      </c>
      <c r="E35" s="92" t="s">
        <v>367</v>
      </c>
      <c r="F35" s="91" t="s">
        <v>329</v>
      </c>
      <c r="G35" s="91" t="s">
        <v>283</v>
      </c>
      <c r="H35" s="91" t="s">
        <v>13</v>
      </c>
      <c r="I35" s="91" t="s">
        <v>235</v>
      </c>
      <c r="J35" s="92" t="s">
        <v>284</v>
      </c>
      <c r="K35" s="93">
        <v>28.12</v>
      </c>
      <c r="L35" s="93">
        <f>K35*VLOOKUP(H35,dagsoorttabel1,2,FALSE)</f>
        <v>5.6240000000000006</v>
      </c>
      <c r="M35" s="94">
        <f>prodnorm106</f>
        <v>0</v>
      </c>
      <c r="N35" s="91" t="s">
        <v>101</v>
      </c>
      <c r="O35" s="26">
        <f>uurtarief106</f>
        <v>0</v>
      </c>
      <c r="P35" s="93" t="e">
        <f>IF(ISBLANK(M35),0,L35/ROUND(M35,4))</f>
        <v>#DIV/0!</v>
      </c>
      <c r="Q35" s="26" t="e">
        <f>ROUND(O35,2)*P35</f>
        <v>#DIV/0!</v>
      </c>
      <c r="R35" s="93" t="e">
        <f>P35*dagenperjaar1</f>
        <v>#DIV/0!</v>
      </c>
      <c r="S35" s="27" t="e">
        <f>R35*ROUND(O35,2)</f>
        <v>#DIV/0!</v>
      </c>
    </row>
    <row r="36" spans="1:19" x14ac:dyDescent="0.2">
      <c r="A36" s="90" t="s">
        <v>358</v>
      </c>
      <c r="B36" s="91" t="s">
        <v>35</v>
      </c>
      <c r="C36" s="91" t="s">
        <v>313</v>
      </c>
      <c r="D36" s="91" t="s">
        <v>332</v>
      </c>
      <c r="E36" s="92" t="s">
        <v>366</v>
      </c>
      <c r="F36" s="91" t="s">
        <v>329</v>
      </c>
      <c r="G36" s="91" t="s">
        <v>352</v>
      </c>
      <c r="H36" s="91"/>
      <c r="I36" s="91"/>
      <c r="J36" s="91"/>
      <c r="K36" s="93">
        <v>3.7800000000000002</v>
      </c>
      <c r="L36" s="93"/>
      <c r="M36" s="94"/>
      <c r="N36" s="91"/>
      <c r="O36" s="26"/>
      <c r="P36" s="93"/>
      <c r="Q36" s="26"/>
      <c r="R36" s="95"/>
      <c r="S36" s="27"/>
    </row>
    <row r="37" spans="1:19" x14ac:dyDescent="0.2">
      <c r="A37" s="90" t="s">
        <v>358</v>
      </c>
      <c r="B37" s="91" t="s">
        <v>35</v>
      </c>
      <c r="C37" s="91" t="s">
        <v>313</v>
      </c>
      <c r="D37" s="91" t="s">
        <v>334</v>
      </c>
      <c r="E37" s="92" t="s">
        <v>368</v>
      </c>
      <c r="F37" s="91" t="s">
        <v>329</v>
      </c>
      <c r="G37" s="91" t="s">
        <v>352</v>
      </c>
      <c r="H37" s="91"/>
      <c r="I37" s="91"/>
      <c r="J37" s="91"/>
      <c r="K37" s="93">
        <v>7.98</v>
      </c>
      <c r="L37" s="93"/>
      <c r="M37" s="94"/>
      <c r="N37" s="91"/>
      <c r="O37" s="26"/>
      <c r="P37" s="93"/>
      <c r="Q37" s="26"/>
      <c r="R37" s="95"/>
      <c r="S37" s="27"/>
    </row>
    <row r="38" spans="1:19" ht="25.2" x14ac:dyDescent="0.2">
      <c r="A38" s="90" t="s">
        <v>358</v>
      </c>
      <c r="B38" s="91" t="s">
        <v>35</v>
      </c>
      <c r="C38" s="91" t="s">
        <v>313</v>
      </c>
      <c r="D38" s="91" t="s">
        <v>336</v>
      </c>
      <c r="E38" s="92" t="s">
        <v>369</v>
      </c>
      <c r="F38" s="91" t="s">
        <v>329</v>
      </c>
      <c r="G38" s="91" t="s">
        <v>293</v>
      </c>
      <c r="H38" s="91" t="s">
        <v>21</v>
      </c>
      <c r="I38" s="91" t="s">
        <v>235</v>
      </c>
      <c r="J38" s="92" t="s">
        <v>294</v>
      </c>
      <c r="K38" s="93">
        <v>24.259999999999998</v>
      </c>
      <c r="L38" s="93">
        <f>K38*VLOOKUP(H38,dagsoorttabel1,2,FALSE)</f>
        <v>9.33076923076923E-2</v>
      </c>
      <c r="M38" s="94">
        <f>prodnorm118</f>
        <v>0</v>
      </c>
      <c r="N38" s="91" t="s">
        <v>101</v>
      </c>
      <c r="O38" s="26">
        <f>uurtarief118</f>
        <v>0</v>
      </c>
      <c r="P38" s="93" t="e">
        <f>IF(ISBLANK(M38),0,L38/ROUND(M38,4))</f>
        <v>#DIV/0!</v>
      </c>
      <c r="Q38" s="26" t="e">
        <f>ROUND(O38,2)*P38</f>
        <v>#DIV/0!</v>
      </c>
      <c r="R38" s="93" t="e">
        <f>P38*dagenperjaar1</f>
        <v>#DIV/0!</v>
      </c>
      <c r="S38" s="27" t="e">
        <f>R38*ROUND(O38,2)</f>
        <v>#DIV/0!</v>
      </c>
    </row>
    <row r="39" spans="1:19" x14ac:dyDescent="0.2">
      <c r="A39" s="90" t="s">
        <v>358</v>
      </c>
      <c r="B39" s="91" t="s">
        <v>35</v>
      </c>
      <c r="C39" s="91" t="s">
        <v>313</v>
      </c>
      <c r="D39" s="91" t="s">
        <v>338</v>
      </c>
      <c r="E39" s="92" t="s">
        <v>366</v>
      </c>
      <c r="F39" s="91" t="s">
        <v>329</v>
      </c>
      <c r="G39" s="91" t="s">
        <v>352</v>
      </c>
      <c r="H39" s="91"/>
      <c r="I39" s="91"/>
      <c r="J39" s="91"/>
      <c r="K39" s="93">
        <v>17.87</v>
      </c>
      <c r="L39" s="93"/>
      <c r="M39" s="94"/>
      <c r="N39" s="91"/>
      <c r="O39" s="26"/>
      <c r="P39" s="93"/>
      <c r="Q39" s="26"/>
      <c r="R39" s="95"/>
      <c r="S39" s="27"/>
    </row>
    <row r="40" spans="1:19" x14ac:dyDescent="0.2">
      <c r="A40" s="90" t="s">
        <v>358</v>
      </c>
      <c r="B40" s="91" t="s">
        <v>35</v>
      </c>
      <c r="C40" s="91" t="s">
        <v>313</v>
      </c>
      <c r="D40" s="91" t="s">
        <v>339</v>
      </c>
      <c r="E40" s="92" t="s">
        <v>370</v>
      </c>
      <c r="F40" s="91" t="s">
        <v>329</v>
      </c>
      <c r="G40" s="91" t="s">
        <v>252</v>
      </c>
      <c r="H40" s="91" t="s">
        <v>21</v>
      </c>
      <c r="I40" s="91" t="s">
        <v>235</v>
      </c>
      <c r="J40" s="92" t="s">
        <v>253</v>
      </c>
      <c r="K40" s="93">
        <v>146.07</v>
      </c>
      <c r="L40" s="93">
        <f>K40*VLOOKUP(H40,dagsoorttabel1,2,FALSE)</f>
        <v>0.56180769230769234</v>
      </c>
      <c r="M40" s="94">
        <f>prodnorm67</f>
        <v>0</v>
      </c>
      <c r="N40" s="91" t="s">
        <v>101</v>
      </c>
      <c r="O40" s="26">
        <f>uurtarief67</f>
        <v>0</v>
      </c>
      <c r="P40" s="93" t="e">
        <f>IF(ISBLANK(M40),0,L40/ROUND(M40,4))</f>
        <v>#DIV/0!</v>
      </c>
      <c r="Q40" s="26" t="e">
        <f>ROUND(O40,2)*P40</f>
        <v>#DIV/0!</v>
      </c>
      <c r="R40" s="93" t="e">
        <f>P40*dagenperjaar1</f>
        <v>#DIV/0!</v>
      </c>
      <c r="S40" s="27" t="e">
        <f>R40*ROUND(O40,2)</f>
        <v>#DIV/0!</v>
      </c>
    </row>
    <row r="41" spans="1:19" x14ac:dyDescent="0.2">
      <c r="A41" s="90" t="s">
        <v>358</v>
      </c>
      <c r="B41" s="91" t="s">
        <v>35</v>
      </c>
      <c r="C41" s="91" t="s">
        <v>313</v>
      </c>
      <c r="D41" s="91" t="s">
        <v>341</v>
      </c>
      <c r="E41" s="92" t="s">
        <v>371</v>
      </c>
      <c r="F41" s="91" t="s">
        <v>361</v>
      </c>
      <c r="G41" s="91" t="s">
        <v>239</v>
      </c>
      <c r="H41" s="91" t="s">
        <v>13</v>
      </c>
      <c r="I41" s="91" t="s">
        <v>235</v>
      </c>
      <c r="J41" s="92" t="s">
        <v>240</v>
      </c>
      <c r="K41" s="93">
        <v>24.64</v>
      </c>
      <c r="L41" s="93">
        <f>K41*VLOOKUP(H41,dagsoorttabel1,2,FALSE)</f>
        <v>4.9280000000000008</v>
      </c>
      <c r="M41" s="94">
        <f>prodnorm53</f>
        <v>0</v>
      </c>
      <c r="N41" s="91" t="s">
        <v>101</v>
      </c>
      <c r="O41" s="26">
        <f>uurtarief53</f>
        <v>0</v>
      </c>
      <c r="P41" s="93" t="e">
        <f>IF(ISBLANK(M41),0,L41/ROUND(M41,4))</f>
        <v>#DIV/0!</v>
      </c>
      <c r="Q41" s="26" t="e">
        <f>ROUND(O41,2)*P41</f>
        <v>#DIV/0!</v>
      </c>
      <c r="R41" s="93" t="e">
        <f>P41*dagenperjaar1</f>
        <v>#DIV/0!</v>
      </c>
      <c r="S41" s="27" t="e">
        <f>R41*ROUND(O41,2)</f>
        <v>#DIV/0!</v>
      </c>
    </row>
    <row r="42" spans="1:19" x14ac:dyDescent="0.2">
      <c r="A42" s="90" t="s">
        <v>358</v>
      </c>
      <c r="B42" s="91" t="s">
        <v>35</v>
      </c>
      <c r="C42" s="91" t="s">
        <v>313</v>
      </c>
      <c r="D42" s="91" t="s">
        <v>372</v>
      </c>
      <c r="E42" s="92" t="s">
        <v>373</v>
      </c>
      <c r="F42" s="91" t="s">
        <v>329</v>
      </c>
      <c r="G42" s="91" t="s">
        <v>277</v>
      </c>
      <c r="H42" s="91" t="s">
        <v>13</v>
      </c>
      <c r="I42" s="91" t="s">
        <v>235</v>
      </c>
      <c r="J42" s="92" t="s">
        <v>278</v>
      </c>
      <c r="K42" s="93">
        <v>23.439999999999998</v>
      </c>
      <c r="L42" s="93">
        <f>K42*VLOOKUP(H42,dagsoorttabel1,2,FALSE)</f>
        <v>4.6879999999999997</v>
      </c>
      <c r="M42" s="94">
        <f>prodnorm97</f>
        <v>0</v>
      </c>
      <c r="N42" s="91" t="s">
        <v>101</v>
      </c>
      <c r="O42" s="26">
        <f>uurtarief97</f>
        <v>0</v>
      </c>
      <c r="P42" s="93" t="e">
        <f>IF(ISBLANK(M42),0,L42/ROUND(M42,4))</f>
        <v>#DIV/0!</v>
      </c>
      <c r="Q42" s="26" t="e">
        <f>ROUND(O42,2)*P42</f>
        <v>#DIV/0!</v>
      </c>
      <c r="R42" s="93" t="e">
        <f>P42*dagenperjaar1</f>
        <v>#DIV/0!</v>
      </c>
      <c r="S42" s="27" t="e">
        <f>R42*ROUND(O42,2)</f>
        <v>#DIV/0!</v>
      </c>
    </row>
    <row r="43" spans="1:19" x14ac:dyDescent="0.2">
      <c r="A43" s="90" t="s">
        <v>358</v>
      </c>
      <c r="B43" s="91" t="s">
        <v>35</v>
      </c>
      <c r="C43" s="91" t="s">
        <v>343</v>
      </c>
      <c r="D43" s="91" t="s">
        <v>344</v>
      </c>
      <c r="E43" s="92" t="s">
        <v>374</v>
      </c>
      <c r="F43" s="91" t="s">
        <v>316</v>
      </c>
      <c r="G43" s="91" t="s">
        <v>352</v>
      </c>
      <c r="H43" s="91"/>
      <c r="I43" s="91"/>
      <c r="J43" s="91"/>
      <c r="K43" s="93">
        <v>29.88</v>
      </c>
      <c r="L43" s="93"/>
      <c r="M43" s="94"/>
      <c r="N43" s="91"/>
      <c r="O43" s="26"/>
      <c r="P43" s="93"/>
      <c r="Q43" s="26"/>
      <c r="R43" s="95"/>
      <c r="S43" s="27"/>
    </row>
    <row r="44" spans="1:19" x14ac:dyDescent="0.2">
      <c r="A44" s="90" t="s">
        <v>358</v>
      </c>
      <c r="B44" s="91" t="s">
        <v>35</v>
      </c>
      <c r="C44" s="91" t="s">
        <v>343</v>
      </c>
      <c r="D44" s="91" t="s">
        <v>345</v>
      </c>
      <c r="E44" s="92" t="s">
        <v>375</v>
      </c>
      <c r="F44" s="91" t="s">
        <v>316</v>
      </c>
      <c r="G44" s="91" t="s">
        <v>352</v>
      </c>
      <c r="H44" s="91"/>
      <c r="I44" s="91"/>
      <c r="J44" s="91"/>
      <c r="K44" s="93">
        <v>9</v>
      </c>
      <c r="L44" s="93"/>
      <c r="M44" s="94"/>
      <c r="N44" s="91"/>
      <c r="O44" s="26"/>
      <c r="P44" s="93"/>
      <c r="Q44" s="26"/>
      <c r="R44" s="95"/>
      <c r="S44" s="27"/>
    </row>
    <row r="45" spans="1:19" x14ac:dyDescent="0.2">
      <c r="A45" s="90" t="s">
        <v>358</v>
      </c>
      <c r="B45" s="91" t="s">
        <v>35</v>
      </c>
      <c r="C45" s="91" t="s">
        <v>343</v>
      </c>
      <c r="D45" s="91" t="s">
        <v>348</v>
      </c>
      <c r="E45" s="92" t="s">
        <v>376</v>
      </c>
      <c r="F45" s="91" t="s">
        <v>316</v>
      </c>
      <c r="G45" s="91" t="s">
        <v>283</v>
      </c>
      <c r="H45" s="91" t="s">
        <v>13</v>
      </c>
      <c r="I45" s="91" t="s">
        <v>235</v>
      </c>
      <c r="J45" s="92" t="s">
        <v>284</v>
      </c>
      <c r="K45" s="93">
        <v>22.9</v>
      </c>
      <c r="L45" s="93">
        <f>K45*VLOOKUP(H45,dagsoorttabel1,2,FALSE)</f>
        <v>4.58</v>
      </c>
      <c r="M45" s="94">
        <f>prodnorm106</f>
        <v>0</v>
      </c>
      <c r="N45" s="91" t="s">
        <v>101</v>
      </c>
      <c r="O45" s="26">
        <f>uurtarief106</f>
        <v>0</v>
      </c>
      <c r="P45" s="93" t="e">
        <f>IF(ISBLANK(M45),0,L45/ROUND(M45,4))</f>
        <v>#DIV/0!</v>
      </c>
      <c r="Q45" s="26" t="e">
        <f>ROUND(O45,2)*P45</f>
        <v>#DIV/0!</v>
      </c>
      <c r="R45" s="93" t="e">
        <f>P45*dagenperjaar1</f>
        <v>#DIV/0!</v>
      </c>
      <c r="S45" s="27" t="e">
        <f>R45*ROUND(O45,2)</f>
        <v>#DIV/0!</v>
      </c>
    </row>
    <row r="46" spans="1:19" x14ac:dyDescent="0.2">
      <c r="A46" s="90" t="s">
        <v>358</v>
      </c>
      <c r="B46" s="91" t="s">
        <v>35</v>
      </c>
      <c r="C46" s="91" t="s">
        <v>343</v>
      </c>
      <c r="D46" s="91" t="s">
        <v>350</v>
      </c>
      <c r="E46" s="92" t="s">
        <v>377</v>
      </c>
      <c r="F46" s="91" t="s">
        <v>316</v>
      </c>
      <c r="G46" s="91" t="s">
        <v>279</v>
      </c>
      <c r="H46" s="91" t="s">
        <v>13</v>
      </c>
      <c r="I46" s="91" t="s">
        <v>235</v>
      </c>
      <c r="J46" s="92" t="s">
        <v>280</v>
      </c>
      <c r="K46" s="93">
        <v>4.4700000000000006</v>
      </c>
      <c r="L46" s="93">
        <f>K46*VLOOKUP(H46,dagsoorttabel1,2,FALSE)</f>
        <v>0.89400000000000013</v>
      </c>
      <c r="M46" s="94">
        <f>prodnorm100</f>
        <v>0</v>
      </c>
      <c r="N46" s="91" t="s">
        <v>101</v>
      </c>
      <c r="O46" s="26">
        <f>uurtarief100</f>
        <v>0</v>
      </c>
      <c r="P46" s="93" t="e">
        <f>IF(ISBLANK(M46),0,L46/ROUND(M46,4))</f>
        <v>#DIV/0!</v>
      </c>
      <c r="Q46" s="26" t="e">
        <f>ROUND(O46,2)*P46</f>
        <v>#DIV/0!</v>
      </c>
      <c r="R46" s="93" t="e">
        <f>P46*dagenperjaar1</f>
        <v>#DIV/0!</v>
      </c>
      <c r="S46" s="27" t="e">
        <f>R46*ROUND(O46,2)</f>
        <v>#DIV/0!</v>
      </c>
    </row>
    <row r="47" spans="1:19" x14ac:dyDescent="0.2">
      <c r="A47" s="90" t="s">
        <v>358</v>
      </c>
      <c r="B47" s="91" t="s">
        <v>35</v>
      </c>
      <c r="C47" s="91" t="s">
        <v>343</v>
      </c>
      <c r="D47" s="91" t="s">
        <v>353</v>
      </c>
      <c r="E47" s="92" t="s">
        <v>331</v>
      </c>
      <c r="F47" s="91" t="s">
        <v>316</v>
      </c>
      <c r="G47" s="91" t="s">
        <v>279</v>
      </c>
      <c r="H47" s="91" t="s">
        <v>13</v>
      </c>
      <c r="I47" s="91" t="s">
        <v>235</v>
      </c>
      <c r="J47" s="92" t="s">
        <v>280</v>
      </c>
      <c r="K47" s="93">
        <v>7.8</v>
      </c>
      <c r="L47" s="93">
        <f>K47*VLOOKUP(H47,dagsoorttabel1,2,FALSE)</f>
        <v>1.56</v>
      </c>
      <c r="M47" s="94">
        <f>prodnorm100</f>
        <v>0</v>
      </c>
      <c r="N47" s="91" t="s">
        <v>101</v>
      </c>
      <c r="O47" s="26">
        <f>uurtarief100</f>
        <v>0</v>
      </c>
      <c r="P47" s="93" t="e">
        <f>IF(ISBLANK(M47),0,L47/ROUND(M47,4))</f>
        <v>#DIV/0!</v>
      </c>
      <c r="Q47" s="26" t="e">
        <f>ROUND(O47,2)*P47</f>
        <v>#DIV/0!</v>
      </c>
      <c r="R47" s="93" t="e">
        <f>P47*dagenperjaar1</f>
        <v>#DIV/0!</v>
      </c>
      <c r="S47" s="27" t="e">
        <f>R47*ROUND(O47,2)</f>
        <v>#DIV/0!</v>
      </c>
    </row>
    <row r="48" spans="1:19" x14ac:dyDescent="0.2">
      <c r="A48" s="90" t="s">
        <v>358</v>
      </c>
      <c r="B48" s="91" t="s">
        <v>35</v>
      </c>
      <c r="C48" s="91" t="s">
        <v>343</v>
      </c>
      <c r="D48" s="91" t="s">
        <v>355</v>
      </c>
      <c r="E48" s="92" t="s">
        <v>378</v>
      </c>
      <c r="F48" s="91" t="s">
        <v>316</v>
      </c>
      <c r="G48" s="91" t="s">
        <v>270</v>
      </c>
      <c r="H48" s="91" t="s">
        <v>13</v>
      </c>
      <c r="I48" s="91" t="s">
        <v>235</v>
      </c>
      <c r="J48" s="92" t="s">
        <v>271</v>
      </c>
      <c r="K48" s="93">
        <v>81.900000000000006</v>
      </c>
      <c r="L48" s="93">
        <f>K48*VLOOKUP(H48,dagsoorttabel1,2,FALSE)</f>
        <v>16.380000000000003</v>
      </c>
      <c r="M48" s="94">
        <f>prodnorm89</f>
        <v>0</v>
      </c>
      <c r="N48" s="91" t="s">
        <v>101</v>
      </c>
      <c r="O48" s="26">
        <f>uurtarief89</f>
        <v>0</v>
      </c>
      <c r="P48" s="93" t="e">
        <f>IF(ISBLANK(M48),0,L48/ROUND(M48,4))</f>
        <v>#DIV/0!</v>
      </c>
      <c r="Q48" s="26" t="e">
        <f>ROUND(O48,2)*P48</f>
        <v>#DIV/0!</v>
      </c>
      <c r="R48" s="93" t="e">
        <f>P48*dagenperjaar1</f>
        <v>#DIV/0!</v>
      </c>
      <c r="S48" s="27" t="e">
        <f>R48*ROUND(O48,2)</f>
        <v>#DIV/0!</v>
      </c>
    </row>
    <row r="49" spans="1:19" x14ac:dyDescent="0.2">
      <c r="A49" s="96" t="s">
        <v>358</v>
      </c>
      <c r="B49" s="97" t="s">
        <v>35</v>
      </c>
      <c r="C49" s="97" t="s">
        <v>343</v>
      </c>
      <c r="D49" s="97" t="s">
        <v>379</v>
      </c>
      <c r="E49" s="98" t="s">
        <v>380</v>
      </c>
      <c r="F49" s="97" t="s">
        <v>316</v>
      </c>
      <c r="G49" s="97" t="s">
        <v>352</v>
      </c>
      <c r="H49" s="97"/>
      <c r="I49" s="97"/>
      <c r="J49" s="97"/>
      <c r="K49" s="99">
        <v>0.55000000000000004</v>
      </c>
      <c r="L49" s="99"/>
      <c r="M49" s="100"/>
      <c r="N49" s="97"/>
      <c r="O49" s="36"/>
      <c r="P49" s="99"/>
      <c r="Q49" s="36"/>
      <c r="R49" s="102"/>
      <c r="S49" s="37"/>
    </row>
    <row r="50" spans="1:19" x14ac:dyDescent="0.2">
      <c r="A50" s="101" t="s">
        <v>356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6" t="e">
        <f>IF(_xlfn.SINGLE(object2_urenjaar1)&gt;0,_xlfn.SINGLE(object2_prijsjaar1)/_xlfn.SINGLE(object2_urenjaar1),0)</f>
        <v>#DIV/0!</v>
      </c>
      <c r="P50" s="75" t="e">
        <f>SUM(P27:P49)</f>
        <v>#DIV/0!</v>
      </c>
      <c r="Q50" s="76" t="e">
        <f>SUM(Q27:Q49)</f>
        <v>#DIV/0!</v>
      </c>
      <c r="R50" s="75" t="e">
        <f>SUM(R27:R49)</f>
        <v>#DIV/0!</v>
      </c>
      <c r="S50" s="77" t="e">
        <f>SUM(S27:S49)</f>
        <v>#DIV/0!</v>
      </c>
    </row>
    <row r="51" spans="1:19" x14ac:dyDescent="0.2">
      <c r="A51" s="82" t="s">
        <v>381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72"/>
    </row>
    <row r="52" spans="1:19" x14ac:dyDescent="0.2">
      <c r="A52" s="83" t="s">
        <v>382</v>
      </c>
      <c r="B52" s="84" t="s">
        <v>35</v>
      </c>
      <c r="C52" s="84" t="s">
        <v>313</v>
      </c>
      <c r="D52" s="84" t="s">
        <v>314</v>
      </c>
      <c r="E52" s="85" t="s">
        <v>383</v>
      </c>
      <c r="F52" s="84" t="s">
        <v>361</v>
      </c>
      <c r="G52" s="84" t="s">
        <v>291</v>
      </c>
      <c r="H52" s="84" t="s">
        <v>13</v>
      </c>
      <c r="I52" s="84" t="s">
        <v>235</v>
      </c>
      <c r="J52" s="85" t="s">
        <v>292</v>
      </c>
      <c r="K52" s="86">
        <v>6</v>
      </c>
      <c r="L52" s="86">
        <f>K52*VLOOKUP(H52,dagsoorttabel1,2,FALSE)</f>
        <v>1.2000000000000002</v>
      </c>
      <c r="M52" s="87">
        <f>prodnorm116</f>
        <v>0</v>
      </c>
      <c r="N52" s="84" t="s">
        <v>101</v>
      </c>
      <c r="O52" s="88">
        <f>uurtarief116</f>
        <v>0</v>
      </c>
      <c r="P52" s="86" t="e">
        <f>IF(ISBLANK(M52),0,L52/ROUND(M52,4))</f>
        <v>#DIV/0!</v>
      </c>
      <c r="Q52" s="88" t="e">
        <f>ROUND(O52,2)*P52</f>
        <v>#DIV/0!</v>
      </c>
      <c r="R52" s="86" t="e">
        <f>P52*dagenperjaar1</f>
        <v>#DIV/0!</v>
      </c>
      <c r="S52" s="89" t="e">
        <f>R52*ROUND(O52,2)</f>
        <v>#DIV/0!</v>
      </c>
    </row>
    <row r="53" spans="1:19" x14ac:dyDescent="0.2">
      <c r="A53" s="90" t="s">
        <v>382</v>
      </c>
      <c r="B53" s="91" t="s">
        <v>35</v>
      </c>
      <c r="C53" s="91" t="s">
        <v>313</v>
      </c>
      <c r="D53" s="91" t="s">
        <v>317</v>
      </c>
      <c r="E53" s="92" t="s">
        <v>384</v>
      </c>
      <c r="F53" s="91" t="s">
        <v>385</v>
      </c>
      <c r="G53" s="91" t="s">
        <v>298</v>
      </c>
      <c r="H53" s="91" t="s">
        <v>13</v>
      </c>
      <c r="I53" s="91" t="s">
        <v>235</v>
      </c>
      <c r="J53" s="92" t="s">
        <v>299</v>
      </c>
      <c r="K53" s="93">
        <v>13.7</v>
      </c>
      <c r="L53" s="93">
        <f>K53*VLOOKUP(H53,dagsoorttabel1,2,FALSE)</f>
        <v>2.74</v>
      </c>
      <c r="M53" s="94">
        <f>prodnorm124</f>
        <v>0</v>
      </c>
      <c r="N53" s="91" t="s">
        <v>101</v>
      </c>
      <c r="O53" s="26">
        <f>uurtarief124</f>
        <v>0</v>
      </c>
      <c r="P53" s="93" t="e">
        <f>IF(ISBLANK(M53),0,L53/ROUND(M53,4))</f>
        <v>#DIV/0!</v>
      </c>
      <c r="Q53" s="26" t="e">
        <f>ROUND(O53,2)*P53</f>
        <v>#DIV/0!</v>
      </c>
      <c r="R53" s="93" t="e">
        <f>P53*dagenperjaar1</f>
        <v>#DIV/0!</v>
      </c>
      <c r="S53" s="27" t="e">
        <f>R53*ROUND(O53,2)</f>
        <v>#DIV/0!</v>
      </c>
    </row>
    <row r="54" spans="1:19" x14ac:dyDescent="0.2">
      <c r="A54" s="90" t="s">
        <v>382</v>
      </c>
      <c r="B54" s="91" t="s">
        <v>35</v>
      </c>
      <c r="C54" s="91" t="s">
        <v>313</v>
      </c>
      <c r="D54" s="91" t="s">
        <v>320</v>
      </c>
      <c r="E54" s="92" t="s">
        <v>386</v>
      </c>
      <c r="F54" s="91" t="s">
        <v>385</v>
      </c>
      <c r="G54" s="91" t="s">
        <v>352</v>
      </c>
      <c r="H54" s="91"/>
      <c r="I54" s="91"/>
      <c r="J54" s="91"/>
      <c r="K54" s="93">
        <v>4.76</v>
      </c>
      <c r="L54" s="93"/>
      <c r="M54" s="94"/>
      <c r="N54" s="91"/>
      <c r="O54" s="26"/>
      <c r="P54" s="93"/>
      <c r="Q54" s="26"/>
      <c r="R54" s="95"/>
      <c r="S54" s="27"/>
    </row>
    <row r="55" spans="1:19" x14ac:dyDescent="0.2">
      <c r="A55" s="90" t="s">
        <v>382</v>
      </c>
      <c r="B55" s="91" t="s">
        <v>35</v>
      </c>
      <c r="C55" s="91" t="s">
        <v>313</v>
      </c>
      <c r="D55" s="91" t="s">
        <v>322</v>
      </c>
      <c r="E55" s="92" t="s">
        <v>321</v>
      </c>
      <c r="F55" s="91" t="s">
        <v>387</v>
      </c>
      <c r="G55" s="91" t="s">
        <v>283</v>
      </c>
      <c r="H55" s="91" t="s">
        <v>13</v>
      </c>
      <c r="I55" s="91" t="s">
        <v>235</v>
      </c>
      <c r="J55" s="92" t="s">
        <v>284</v>
      </c>
      <c r="K55" s="93">
        <v>7.1899999999999995</v>
      </c>
      <c r="L55" s="93">
        <f>K55*VLOOKUP(H55,dagsoorttabel1,2,FALSE)</f>
        <v>1.4379999999999999</v>
      </c>
      <c r="M55" s="94">
        <f>prodnorm106</f>
        <v>0</v>
      </c>
      <c r="N55" s="91" t="s">
        <v>101</v>
      </c>
      <c r="O55" s="26">
        <f>uurtarief106</f>
        <v>0</v>
      </c>
      <c r="P55" s="93" t="e">
        <f>IF(ISBLANK(M55),0,L55/ROUND(M55,4))</f>
        <v>#DIV/0!</v>
      </c>
      <c r="Q55" s="26" t="e">
        <f>ROUND(O55,2)*P55</f>
        <v>#DIV/0!</v>
      </c>
      <c r="R55" s="93" t="e">
        <f>P55*dagenperjaar1</f>
        <v>#DIV/0!</v>
      </c>
      <c r="S55" s="27" t="e">
        <f>R55*ROUND(O55,2)</f>
        <v>#DIV/0!</v>
      </c>
    </row>
    <row r="56" spans="1:19" x14ac:dyDescent="0.2">
      <c r="A56" s="90" t="s">
        <v>382</v>
      </c>
      <c r="B56" s="91" t="s">
        <v>35</v>
      </c>
      <c r="C56" s="91" t="s">
        <v>313</v>
      </c>
      <c r="D56" s="91" t="s">
        <v>324</v>
      </c>
      <c r="E56" s="92" t="s">
        <v>367</v>
      </c>
      <c r="F56" s="91" t="s">
        <v>361</v>
      </c>
      <c r="G56" s="91" t="s">
        <v>283</v>
      </c>
      <c r="H56" s="91" t="s">
        <v>13</v>
      </c>
      <c r="I56" s="91" t="s">
        <v>235</v>
      </c>
      <c r="J56" s="92" t="s">
        <v>284</v>
      </c>
      <c r="K56" s="93">
        <v>23.56</v>
      </c>
      <c r="L56" s="93">
        <f>K56*VLOOKUP(H56,dagsoorttabel1,2,FALSE)</f>
        <v>4.7119999999999997</v>
      </c>
      <c r="M56" s="94">
        <f>prodnorm106</f>
        <v>0</v>
      </c>
      <c r="N56" s="91" t="s">
        <v>101</v>
      </c>
      <c r="O56" s="26">
        <f>uurtarief106</f>
        <v>0</v>
      </c>
      <c r="P56" s="93" t="e">
        <f>IF(ISBLANK(M56),0,L56/ROUND(M56,4))</f>
        <v>#DIV/0!</v>
      </c>
      <c r="Q56" s="26" t="e">
        <f>ROUND(O56,2)*P56</f>
        <v>#DIV/0!</v>
      </c>
      <c r="R56" s="93" t="e">
        <f>P56*dagenperjaar1</f>
        <v>#DIV/0!</v>
      </c>
      <c r="S56" s="27" t="e">
        <f>R56*ROUND(O56,2)</f>
        <v>#DIV/0!</v>
      </c>
    </row>
    <row r="57" spans="1:19" x14ac:dyDescent="0.2">
      <c r="A57" s="90" t="s">
        <v>382</v>
      </c>
      <c r="B57" s="91" t="s">
        <v>35</v>
      </c>
      <c r="C57" s="91" t="s">
        <v>313</v>
      </c>
      <c r="D57" s="91" t="s">
        <v>325</v>
      </c>
      <c r="E57" s="92" t="s">
        <v>388</v>
      </c>
      <c r="F57" s="91" t="s">
        <v>361</v>
      </c>
      <c r="G57" s="91" t="s">
        <v>239</v>
      </c>
      <c r="H57" s="91" t="s">
        <v>13</v>
      </c>
      <c r="I57" s="91" t="s">
        <v>235</v>
      </c>
      <c r="J57" s="92" t="s">
        <v>240</v>
      </c>
      <c r="K57" s="93">
        <v>14.9</v>
      </c>
      <c r="L57" s="93">
        <f>K57*VLOOKUP(H57,dagsoorttabel1,2,FALSE)</f>
        <v>2.9800000000000004</v>
      </c>
      <c r="M57" s="94">
        <f>prodnorm53</f>
        <v>0</v>
      </c>
      <c r="N57" s="91" t="s">
        <v>101</v>
      </c>
      <c r="O57" s="26">
        <f>uurtarief53</f>
        <v>0</v>
      </c>
      <c r="P57" s="93" t="e">
        <f>IF(ISBLANK(M57),0,L57/ROUND(M57,4))</f>
        <v>#DIV/0!</v>
      </c>
      <c r="Q57" s="26" t="e">
        <f>ROUND(O57,2)*P57</f>
        <v>#DIV/0!</v>
      </c>
      <c r="R57" s="93" t="e">
        <f>P57*dagenperjaar1</f>
        <v>#DIV/0!</v>
      </c>
      <c r="S57" s="27" t="e">
        <f>R57*ROUND(O57,2)</f>
        <v>#DIV/0!</v>
      </c>
    </row>
    <row r="58" spans="1:19" x14ac:dyDescent="0.2">
      <c r="A58" s="90" t="s">
        <v>382</v>
      </c>
      <c r="B58" s="91" t="s">
        <v>35</v>
      </c>
      <c r="C58" s="91" t="s">
        <v>313</v>
      </c>
      <c r="D58" s="91" t="s">
        <v>327</v>
      </c>
      <c r="E58" s="92" t="s">
        <v>389</v>
      </c>
      <c r="F58" s="91" t="s">
        <v>316</v>
      </c>
      <c r="G58" s="91" t="s">
        <v>279</v>
      </c>
      <c r="H58" s="91" t="s">
        <v>13</v>
      </c>
      <c r="I58" s="91" t="s">
        <v>235</v>
      </c>
      <c r="J58" s="92" t="s">
        <v>280</v>
      </c>
      <c r="K58" s="93">
        <v>4.45</v>
      </c>
      <c r="L58" s="93">
        <f>K58*VLOOKUP(H58,dagsoorttabel1,2,FALSE)</f>
        <v>0.89000000000000012</v>
      </c>
      <c r="M58" s="94">
        <f>prodnorm100</f>
        <v>0</v>
      </c>
      <c r="N58" s="91" t="s">
        <v>101</v>
      </c>
      <c r="O58" s="26">
        <f>uurtarief100</f>
        <v>0</v>
      </c>
      <c r="P58" s="93" t="e">
        <f>IF(ISBLANK(M58),0,L58/ROUND(M58,4))</f>
        <v>#DIV/0!</v>
      </c>
      <c r="Q58" s="26" t="e">
        <f>ROUND(O58,2)*P58</f>
        <v>#DIV/0!</v>
      </c>
      <c r="R58" s="93" t="e">
        <f>P58*dagenperjaar1</f>
        <v>#DIV/0!</v>
      </c>
      <c r="S58" s="27" t="e">
        <f>R58*ROUND(O58,2)</f>
        <v>#DIV/0!</v>
      </c>
    </row>
    <row r="59" spans="1:19" x14ac:dyDescent="0.2">
      <c r="A59" s="90" t="s">
        <v>382</v>
      </c>
      <c r="B59" s="91" t="s">
        <v>35</v>
      </c>
      <c r="C59" s="91" t="s">
        <v>313</v>
      </c>
      <c r="D59" s="91" t="s">
        <v>330</v>
      </c>
      <c r="E59" s="92" t="s">
        <v>333</v>
      </c>
      <c r="F59" s="91" t="s">
        <v>316</v>
      </c>
      <c r="G59" s="91" t="s">
        <v>279</v>
      </c>
      <c r="H59" s="91" t="s">
        <v>13</v>
      </c>
      <c r="I59" s="91" t="s">
        <v>235</v>
      </c>
      <c r="J59" s="92" t="s">
        <v>280</v>
      </c>
      <c r="K59" s="93">
        <v>2.6</v>
      </c>
      <c r="L59" s="93">
        <f>K59*VLOOKUP(H59,dagsoorttabel1,2,FALSE)</f>
        <v>0.52</v>
      </c>
      <c r="M59" s="94">
        <f>prodnorm100</f>
        <v>0</v>
      </c>
      <c r="N59" s="91" t="s">
        <v>101</v>
      </c>
      <c r="O59" s="26">
        <f>uurtarief100</f>
        <v>0</v>
      </c>
      <c r="P59" s="93" t="e">
        <f>IF(ISBLANK(M59),0,L59/ROUND(M59,4))</f>
        <v>#DIV/0!</v>
      </c>
      <c r="Q59" s="26" t="e">
        <f>ROUND(O59,2)*P59</f>
        <v>#DIV/0!</v>
      </c>
      <c r="R59" s="93" t="e">
        <f>P59*dagenperjaar1</f>
        <v>#DIV/0!</v>
      </c>
      <c r="S59" s="27" t="e">
        <f>R59*ROUND(O59,2)</f>
        <v>#DIV/0!</v>
      </c>
    </row>
    <row r="60" spans="1:19" x14ac:dyDescent="0.2">
      <c r="A60" s="90" t="s">
        <v>382</v>
      </c>
      <c r="B60" s="91" t="s">
        <v>35</v>
      </c>
      <c r="C60" s="91" t="s">
        <v>313</v>
      </c>
      <c r="D60" s="91" t="s">
        <v>332</v>
      </c>
      <c r="E60" s="92" t="s">
        <v>328</v>
      </c>
      <c r="F60" s="91" t="s">
        <v>316</v>
      </c>
      <c r="G60" s="91" t="s">
        <v>275</v>
      </c>
      <c r="H60" s="91" t="s">
        <v>13</v>
      </c>
      <c r="I60" s="91" t="s">
        <v>235</v>
      </c>
      <c r="J60" s="92" t="s">
        <v>276</v>
      </c>
      <c r="K60" s="93">
        <v>2.4</v>
      </c>
      <c r="L60" s="93">
        <f>K60*VLOOKUP(H60,dagsoorttabel1,2,FALSE)</f>
        <v>0.48</v>
      </c>
      <c r="M60" s="94">
        <f>prodnorm94</f>
        <v>0</v>
      </c>
      <c r="N60" s="91" t="s">
        <v>101</v>
      </c>
      <c r="O60" s="26">
        <f>uurtarief94</f>
        <v>0</v>
      </c>
      <c r="P60" s="93" t="e">
        <f>IF(ISBLANK(M60),0,L60/ROUND(M60,4))</f>
        <v>#DIV/0!</v>
      </c>
      <c r="Q60" s="26" t="e">
        <f>ROUND(O60,2)*P60</f>
        <v>#DIV/0!</v>
      </c>
      <c r="R60" s="93" t="e">
        <f>P60*dagenperjaar1</f>
        <v>#DIV/0!</v>
      </c>
      <c r="S60" s="27" t="e">
        <f>R60*ROUND(O60,2)</f>
        <v>#DIV/0!</v>
      </c>
    </row>
    <row r="61" spans="1:19" x14ac:dyDescent="0.2">
      <c r="A61" s="90" t="s">
        <v>382</v>
      </c>
      <c r="B61" s="91" t="s">
        <v>35</v>
      </c>
      <c r="C61" s="91" t="s">
        <v>313</v>
      </c>
      <c r="D61" s="91" t="s">
        <v>334</v>
      </c>
      <c r="E61" s="92" t="s">
        <v>337</v>
      </c>
      <c r="F61" s="91" t="s">
        <v>316</v>
      </c>
      <c r="G61" s="91" t="s">
        <v>277</v>
      </c>
      <c r="H61" s="91" t="s">
        <v>13</v>
      </c>
      <c r="I61" s="91" t="s">
        <v>235</v>
      </c>
      <c r="J61" s="92" t="s">
        <v>278</v>
      </c>
      <c r="K61" s="93">
        <v>11</v>
      </c>
      <c r="L61" s="93">
        <f>K61*VLOOKUP(H61,dagsoorttabel1,2,FALSE)</f>
        <v>2.2000000000000002</v>
      </c>
      <c r="M61" s="94">
        <f>prodnorm97</f>
        <v>0</v>
      </c>
      <c r="N61" s="91" t="s">
        <v>101</v>
      </c>
      <c r="O61" s="26">
        <f>uurtarief97</f>
        <v>0</v>
      </c>
      <c r="P61" s="93" t="e">
        <f>IF(ISBLANK(M61),0,L61/ROUND(M61,4))</f>
        <v>#DIV/0!</v>
      </c>
      <c r="Q61" s="26" t="e">
        <f>ROUND(O61,2)*P61</f>
        <v>#DIV/0!</v>
      </c>
      <c r="R61" s="93" t="e">
        <f>P61*dagenperjaar1</f>
        <v>#DIV/0!</v>
      </c>
      <c r="S61" s="27" t="e">
        <f>R61*ROUND(O61,2)</f>
        <v>#DIV/0!</v>
      </c>
    </row>
    <row r="62" spans="1:19" x14ac:dyDescent="0.2">
      <c r="A62" s="90" t="s">
        <v>382</v>
      </c>
      <c r="B62" s="91" t="s">
        <v>35</v>
      </c>
      <c r="C62" s="91" t="s">
        <v>313</v>
      </c>
      <c r="D62" s="91" t="s">
        <v>338</v>
      </c>
      <c r="E62" s="92" t="s">
        <v>367</v>
      </c>
      <c r="F62" s="91" t="s">
        <v>361</v>
      </c>
      <c r="G62" s="91" t="s">
        <v>283</v>
      </c>
      <c r="H62" s="91" t="s">
        <v>13</v>
      </c>
      <c r="I62" s="91" t="s">
        <v>235</v>
      </c>
      <c r="J62" s="92" t="s">
        <v>284</v>
      </c>
      <c r="K62" s="93">
        <v>14.2</v>
      </c>
      <c r="L62" s="93">
        <f>K62*VLOOKUP(H62,dagsoorttabel1,2,FALSE)</f>
        <v>2.84</v>
      </c>
      <c r="M62" s="94">
        <f>prodnorm106</f>
        <v>0</v>
      </c>
      <c r="N62" s="91" t="s">
        <v>101</v>
      </c>
      <c r="O62" s="26">
        <f>uurtarief106</f>
        <v>0</v>
      </c>
      <c r="P62" s="93" t="e">
        <f>IF(ISBLANK(M62),0,L62/ROUND(M62,4))</f>
        <v>#DIV/0!</v>
      </c>
      <c r="Q62" s="26" t="e">
        <f>ROUND(O62,2)*P62</f>
        <v>#DIV/0!</v>
      </c>
      <c r="R62" s="93" t="e">
        <f>P62*dagenperjaar1</f>
        <v>#DIV/0!</v>
      </c>
      <c r="S62" s="27" t="e">
        <f>R62*ROUND(O62,2)</f>
        <v>#DIV/0!</v>
      </c>
    </row>
    <row r="63" spans="1:19" x14ac:dyDescent="0.2">
      <c r="A63" s="90" t="s">
        <v>382</v>
      </c>
      <c r="B63" s="91" t="s">
        <v>35</v>
      </c>
      <c r="C63" s="91" t="s">
        <v>313</v>
      </c>
      <c r="D63" s="91" t="s">
        <v>339</v>
      </c>
      <c r="E63" s="92" t="s">
        <v>318</v>
      </c>
      <c r="F63" s="91" t="s">
        <v>390</v>
      </c>
      <c r="G63" s="91" t="s">
        <v>298</v>
      </c>
      <c r="H63" s="91" t="s">
        <v>13</v>
      </c>
      <c r="I63" s="91" t="s">
        <v>235</v>
      </c>
      <c r="J63" s="92" t="s">
        <v>299</v>
      </c>
      <c r="K63" s="93">
        <v>9.5</v>
      </c>
      <c r="L63" s="93">
        <f>K63*VLOOKUP(H63,dagsoorttabel1,2,FALSE)</f>
        <v>1.9000000000000001</v>
      </c>
      <c r="M63" s="94">
        <f>prodnorm124</f>
        <v>0</v>
      </c>
      <c r="N63" s="91" t="s">
        <v>101</v>
      </c>
      <c r="O63" s="26">
        <f>uurtarief124</f>
        <v>0</v>
      </c>
      <c r="P63" s="93" t="e">
        <f>IF(ISBLANK(M63),0,L63/ROUND(M63,4))</f>
        <v>#DIV/0!</v>
      </c>
      <c r="Q63" s="26" t="e">
        <f>ROUND(O63,2)*P63</f>
        <v>#DIV/0!</v>
      </c>
      <c r="R63" s="93" t="e">
        <f>P63*dagenperjaar1</f>
        <v>#DIV/0!</v>
      </c>
      <c r="S63" s="27" t="e">
        <f>R63*ROUND(O63,2)</f>
        <v>#DIV/0!</v>
      </c>
    </row>
    <row r="64" spans="1:19" x14ac:dyDescent="0.2">
      <c r="A64" s="90" t="s">
        <v>382</v>
      </c>
      <c r="B64" s="91" t="s">
        <v>35</v>
      </c>
      <c r="C64" s="91" t="s">
        <v>313</v>
      </c>
      <c r="D64" s="91" t="s">
        <v>341</v>
      </c>
      <c r="E64" s="92" t="s">
        <v>337</v>
      </c>
      <c r="F64" s="91" t="s">
        <v>316</v>
      </c>
      <c r="G64" s="91" t="s">
        <v>277</v>
      </c>
      <c r="H64" s="91" t="s">
        <v>13</v>
      </c>
      <c r="I64" s="91" t="s">
        <v>235</v>
      </c>
      <c r="J64" s="92" t="s">
        <v>278</v>
      </c>
      <c r="K64" s="93">
        <v>10.7</v>
      </c>
      <c r="L64" s="93">
        <f>K64*VLOOKUP(H64,dagsoorttabel1,2,FALSE)</f>
        <v>2.14</v>
      </c>
      <c r="M64" s="94">
        <f>prodnorm97</f>
        <v>0</v>
      </c>
      <c r="N64" s="91" t="s">
        <v>101</v>
      </c>
      <c r="O64" s="26">
        <f>uurtarief97</f>
        <v>0</v>
      </c>
      <c r="P64" s="93" t="e">
        <f>IF(ISBLANK(M64),0,L64/ROUND(M64,4))</f>
        <v>#DIV/0!</v>
      </c>
      <c r="Q64" s="26" t="e">
        <f>ROUND(O64,2)*P64</f>
        <v>#DIV/0!</v>
      </c>
      <c r="R64" s="93" t="e">
        <f>P64*dagenperjaar1</f>
        <v>#DIV/0!</v>
      </c>
      <c r="S64" s="27" t="e">
        <f>R64*ROUND(O64,2)</f>
        <v>#DIV/0!</v>
      </c>
    </row>
    <row r="65" spans="1:19" x14ac:dyDescent="0.2">
      <c r="A65" s="90" t="s">
        <v>382</v>
      </c>
      <c r="B65" s="91" t="s">
        <v>35</v>
      </c>
      <c r="C65" s="91" t="s">
        <v>313</v>
      </c>
      <c r="D65" s="91" t="s">
        <v>372</v>
      </c>
      <c r="E65" s="92" t="s">
        <v>328</v>
      </c>
      <c r="F65" s="91" t="s">
        <v>316</v>
      </c>
      <c r="G65" s="91" t="s">
        <v>275</v>
      </c>
      <c r="H65" s="91" t="s">
        <v>13</v>
      </c>
      <c r="I65" s="91" t="s">
        <v>235</v>
      </c>
      <c r="J65" s="92" t="s">
        <v>276</v>
      </c>
      <c r="K65" s="93">
        <v>7.1</v>
      </c>
      <c r="L65" s="93">
        <f>K65*VLOOKUP(H65,dagsoorttabel1,2,FALSE)</f>
        <v>1.42</v>
      </c>
      <c r="M65" s="94">
        <f>prodnorm94</f>
        <v>0</v>
      </c>
      <c r="N65" s="91" t="s">
        <v>101</v>
      </c>
      <c r="O65" s="26">
        <f>uurtarief94</f>
        <v>0</v>
      </c>
      <c r="P65" s="93" t="e">
        <f>IF(ISBLANK(M65),0,L65/ROUND(M65,4))</f>
        <v>#DIV/0!</v>
      </c>
      <c r="Q65" s="26" t="e">
        <f>ROUND(O65,2)*P65</f>
        <v>#DIV/0!</v>
      </c>
      <c r="R65" s="93" t="e">
        <f>P65*dagenperjaar1</f>
        <v>#DIV/0!</v>
      </c>
      <c r="S65" s="27" t="e">
        <f>R65*ROUND(O65,2)</f>
        <v>#DIV/0!</v>
      </c>
    </row>
    <row r="66" spans="1:19" x14ac:dyDescent="0.2">
      <c r="A66" s="90" t="s">
        <v>382</v>
      </c>
      <c r="B66" s="91" t="s">
        <v>35</v>
      </c>
      <c r="C66" s="91" t="s">
        <v>313</v>
      </c>
      <c r="D66" s="91" t="s">
        <v>391</v>
      </c>
      <c r="E66" s="92" t="s">
        <v>333</v>
      </c>
      <c r="F66" s="91" t="s">
        <v>316</v>
      </c>
      <c r="G66" s="91" t="s">
        <v>279</v>
      </c>
      <c r="H66" s="91" t="s">
        <v>13</v>
      </c>
      <c r="I66" s="91" t="s">
        <v>235</v>
      </c>
      <c r="J66" s="92" t="s">
        <v>280</v>
      </c>
      <c r="K66" s="93">
        <v>2.4</v>
      </c>
      <c r="L66" s="93">
        <f>K66*VLOOKUP(H66,dagsoorttabel1,2,FALSE)</f>
        <v>0.48</v>
      </c>
      <c r="M66" s="94">
        <f>prodnorm100</f>
        <v>0</v>
      </c>
      <c r="N66" s="91" t="s">
        <v>101</v>
      </c>
      <c r="O66" s="26">
        <f>uurtarief100</f>
        <v>0</v>
      </c>
      <c r="P66" s="93" t="e">
        <f>IF(ISBLANK(M66),0,L66/ROUND(M66,4))</f>
        <v>#DIV/0!</v>
      </c>
      <c r="Q66" s="26" t="e">
        <f>ROUND(O66,2)*P66</f>
        <v>#DIV/0!</v>
      </c>
      <c r="R66" s="93" t="e">
        <f>P66*dagenperjaar1</f>
        <v>#DIV/0!</v>
      </c>
      <c r="S66" s="27" t="e">
        <f>R66*ROUND(O66,2)</f>
        <v>#DIV/0!</v>
      </c>
    </row>
    <row r="67" spans="1:19" x14ac:dyDescent="0.2">
      <c r="A67" s="90" t="s">
        <v>382</v>
      </c>
      <c r="B67" s="91" t="s">
        <v>35</v>
      </c>
      <c r="C67" s="91" t="s">
        <v>313</v>
      </c>
      <c r="D67" s="91" t="s">
        <v>392</v>
      </c>
      <c r="E67" s="92" t="s">
        <v>373</v>
      </c>
      <c r="F67" s="91" t="s">
        <v>361</v>
      </c>
      <c r="G67" s="91" t="s">
        <v>277</v>
      </c>
      <c r="H67" s="91" t="s">
        <v>13</v>
      </c>
      <c r="I67" s="91" t="s">
        <v>235</v>
      </c>
      <c r="J67" s="92" t="s">
        <v>278</v>
      </c>
      <c r="K67" s="93">
        <v>49.8</v>
      </c>
      <c r="L67" s="93">
        <f>K67*VLOOKUP(H67,dagsoorttabel1,2,FALSE)</f>
        <v>9.9600000000000009</v>
      </c>
      <c r="M67" s="94">
        <f>prodnorm97</f>
        <v>0</v>
      </c>
      <c r="N67" s="91" t="s">
        <v>101</v>
      </c>
      <c r="O67" s="26">
        <f>uurtarief97</f>
        <v>0</v>
      </c>
      <c r="P67" s="93" t="e">
        <f>IF(ISBLANK(M67),0,L67/ROUND(M67,4))</f>
        <v>#DIV/0!</v>
      </c>
      <c r="Q67" s="26" t="e">
        <f>ROUND(O67,2)*P67</f>
        <v>#DIV/0!</v>
      </c>
      <c r="R67" s="93" t="e">
        <f>P67*dagenperjaar1</f>
        <v>#DIV/0!</v>
      </c>
      <c r="S67" s="27" t="e">
        <f>R67*ROUND(O67,2)</f>
        <v>#DIV/0!</v>
      </c>
    </row>
    <row r="68" spans="1:19" x14ac:dyDescent="0.2">
      <c r="A68" s="90" t="s">
        <v>382</v>
      </c>
      <c r="B68" s="91" t="s">
        <v>35</v>
      </c>
      <c r="C68" s="91" t="s">
        <v>313</v>
      </c>
      <c r="D68" s="91" t="s">
        <v>393</v>
      </c>
      <c r="E68" s="92" t="s">
        <v>370</v>
      </c>
      <c r="F68" s="91" t="s">
        <v>329</v>
      </c>
      <c r="G68" s="91" t="s">
        <v>252</v>
      </c>
      <c r="H68" s="91" t="s">
        <v>21</v>
      </c>
      <c r="I68" s="91" t="s">
        <v>235</v>
      </c>
      <c r="J68" s="92" t="s">
        <v>253</v>
      </c>
      <c r="K68" s="93">
        <v>252</v>
      </c>
      <c r="L68" s="93">
        <f>K68*VLOOKUP(H68,dagsoorttabel1,2,FALSE)</f>
        <v>0.96923076923076934</v>
      </c>
      <c r="M68" s="94">
        <f>prodnorm67</f>
        <v>0</v>
      </c>
      <c r="N68" s="91" t="s">
        <v>101</v>
      </c>
      <c r="O68" s="26">
        <f>uurtarief67</f>
        <v>0</v>
      </c>
      <c r="P68" s="93" t="e">
        <f>IF(ISBLANK(M68),0,L68/ROUND(M68,4))</f>
        <v>#DIV/0!</v>
      </c>
      <c r="Q68" s="26" t="e">
        <f>ROUND(O68,2)*P68</f>
        <v>#DIV/0!</v>
      </c>
      <c r="R68" s="93" t="e">
        <f>P68*dagenperjaar1</f>
        <v>#DIV/0!</v>
      </c>
      <c r="S68" s="27" t="e">
        <f>R68*ROUND(O68,2)</f>
        <v>#DIV/0!</v>
      </c>
    </row>
    <row r="69" spans="1:19" x14ac:dyDescent="0.2">
      <c r="A69" s="90" t="s">
        <v>382</v>
      </c>
      <c r="B69" s="91" t="s">
        <v>35</v>
      </c>
      <c r="C69" s="91" t="s">
        <v>313</v>
      </c>
      <c r="D69" s="91" t="s">
        <v>394</v>
      </c>
      <c r="E69" s="92" t="s">
        <v>366</v>
      </c>
      <c r="F69" s="91" t="s">
        <v>329</v>
      </c>
      <c r="G69" s="91" t="s">
        <v>352</v>
      </c>
      <c r="H69" s="91"/>
      <c r="I69" s="91"/>
      <c r="J69" s="91"/>
      <c r="K69" s="93">
        <v>4.7</v>
      </c>
      <c r="L69" s="93"/>
      <c r="M69" s="94"/>
      <c r="N69" s="91"/>
      <c r="O69" s="26"/>
      <c r="P69" s="93"/>
      <c r="Q69" s="26"/>
      <c r="R69" s="95"/>
      <c r="S69" s="27"/>
    </row>
    <row r="70" spans="1:19" x14ac:dyDescent="0.2">
      <c r="A70" s="90" t="s">
        <v>382</v>
      </c>
      <c r="B70" s="91" t="s">
        <v>35</v>
      </c>
      <c r="C70" s="91" t="s">
        <v>313</v>
      </c>
      <c r="D70" s="91" t="s">
        <v>395</v>
      </c>
      <c r="E70" s="92" t="s">
        <v>396</v>
      </c>
      <c r="F70" s="91" t="s">
        <v>329</v>
      </c>
      <c r="G70" s="91" t="s">
        <v>352</v>
      </c>
      <c r="H70" s="91"/>
      <c r="I70" s="91"/>
      <c r="J70" s="91"/>
      <c r="K70" s="93">
        <v>13.1</v>
      </c>
      <c r="L70" s="93"/>
      <c r="M70" s="94"/>
      <c r="N70" s="91"/>
      <c r="O70" s="26"/>
      <c r="P70" s="93"/>
      <c r="Q70" s="26"/>
      <c r="R70" s="95"/>
      <c r="S70" s="27"/>
    </row>
    <row r="71" spans="1:19" x14ac:dyDescent="0.2">
      <c r="A71" s="90" t="s">
        <v>382</v>
      </c>
      <c r="B71" s="91" t="s">
        <v>35</v>
      </c>
      <c r="C71" s="91" t="s">
        <v>313</v>
      </c>
      <c r="D71" s="91" t="s">
        <v>397</v>
      </c>
      <c r="E71" s="92" t="s">
        <v>351</v>
      </c>
      <c r="F71" s="91" t="s">
        <v>329</v>
      </c>
      <c r="G71" s="91" t="s">
        <v>352</v>
      </c>
      <c r="H71" s="91"/>
      <c r="I71" s="91"/>
      <c r="J71" s="91"/>
      <c r="K71" s="93">
        <v>19.2</v>
      </c>
      <c r="L71" s="93"/>
      <c r="M71" s="94"/>
      <c r="N71" s="91"/>
      <c r="O71" s="26"/>
      <c r="P71" s="93"/>
      <c r="Q71" s="26"/>
      <c r="R71" s="95"/>
      <c r="S71" s="27"/>
    </row>
    <row r="72" spans="1:19" x14ac:dyDescent="0.2">
      <c r="A72" s="90" t="s">
        <v>382</v>
      </c>
      <c r="B72" s="91" t="s">
        <v>35</v>
      </c>
      <c r="C72" s="91" t="s">
        <v>313</v>
      </c>
      <c r="D72" s="91" t="s">
        <v>398</v>
      </c>
      <c r="E72" s="92" t="s">
        <v>318</v>
      </c>
      <c r="F72" s="91" t="s">
        <v>329</v>
      </c>
      <c r="G72" s="91" t="s">
        <v>298</v>
      </c>
      <c r="H72" s="91" t="s">
        <v>13</v>
      </c>
      <c r="I72" s="91" t="s">
        <v>235</v>
      </c>
      <c r="J72" s="92" t="s">
        <v>299</v>
      </c>
      <c r="K72" s="93">
        <v>3.75</v>
      </c>
      <c r="L72" s="93">
        <f>K72*VLOOKUP(H72,dagsoorttabel1,2,FALSE)</f>
        <v>0.75</v>
      </c>
      <c r="M72" s="94">
        <f>prodnorm124</f>
        <v>0</v>
      </c>
      <c r="N72" s="91" t="s">
        <v>101</v>
      </c>
      <c r="O72" s="26">
        <f>uurtarief124</f>
        <v>0</v>
      </c>
      <c r="P72" s="93" t="e">
        <f>IF(ISBLANK(M72),0,L72/ROUND(M72,4))</f>
        <v>#DIV/0!</v>
      </c>
      <c r="Q72" s="26" t="e">
        <f>ROUND(O72,2)*P72</f>
        <v>#DIV/0!</v>
      </c>
      <c r="R72" s="93" t="e">
        <f>P72*dagenperjaar1</f>
        <v>#DIV/0!</v>
      </c>
      <c r="S72" s="27" t="e">
        <f>R72*ROUND(O72,2)</f>
        <v>#DIV/0!</v>
      </c>
    </row>
    <row r="73" spans="1:19" x14ac:dyDescent="0.2">
      <c r="A73" s="90" t="s">
        <v>382</v>
      </c>
      <c r="B73" s="91" t="s">
        <v>35</v>
      </c>
      <c r="C73" s="91" t="s">
        <v>313</v>
      </c>
      <c r="D73" s="91" t="s">
        <v>399</v>
      </c>
      <c r="E73" s="92" t="s">
        <v>400</v>
      </c>
      <c r="F73" s="91" t="s">
        <v>329</v>
      </c>
      <c r="G73" s="91" t="s">
        <v>352</v>
      </c>
      <c r="H73" s="91"/>
      <c r="I73" s="91"/>
      <c r="J73" s="91"/>
      <c r="K73" s="93">
        <v>10.850000000000001</v>
      </c>
      <c r="L73" s="93"/>
      <c r="M73" s="94"/>
      <c r="N73" s="91"/>
      <c r="O73" s="26"/>
      <c r="P73" s="93"/>
      <c r="Q73" s="26"/>
      <c r="R73" s="95"/>
      <c r="S73" s="27"/>
    </row>
    <row r="74" spans="1:19" ht="25.2" x14ac:dyDescent="0.2">
      <c r="A74" s="90" t="s">
        <v>382</v>
      </c>
      <c r="B74" s="91" t="s">
        <v>35</v>
      </c>
      <c r="C74" s="91" t="s">
        <v>313</v>
      </c>
      <c r="D74" s="91" t="s">
        <v>401</v>
      </c>
      <c r="E74" s="92" t="s">
        <v>402</v>
      </c>
      <c r="F74" s="91" t="s">
        <v>329</v>
      </c>
      <c r="G74" s="91" t="s">
        <v>293</v>
      </c>
      <c r="H74" s="91" t="s">
        <v>21</v>
      </c>
      <c r="I74" s="91" t="s">
        <v>235</v>
      </c>
      <c r="J74" s="92" t="s">
        <v>294</v>
      </c>
      <c r="K74" s="93">
        <v>10.6</v>
      </c>
      <c r="L74" s="93">
        <f>K74*VLOOKUP(H74,dagsoorttabel1,2,FALSE)</f>
        <v>4.0769230769230773E-2</v>
      </c>
      <c r="M74" s="94">
        <f>prodnorm118</f>
        <v>0</v>
      </c>
      <c r="N74" s="91" t="s">
        <v>101</v>
      </c>
      <c r="O74" s="26">
        <f>uurtarief118</f>
        <v>0</v>
      </c>
      <c r="P74" s="93" t="e">
        <f>IF(ISBLANK(M74),0,L74/ROUND(M74,4))</f>
        <v>#DIV/0!</v>
      </c>
      <c r="Q74" s="26" t="e">
        <f>ROUND(O74,2)*P74</f>
        <v>#DIV/0!</v>
      </c>
      <c r="R74" s="93" t="e">
        <f>P74*dagenperjaar1</f>
        <v>#DIV/0!</v>
      </c>
      <c r="S74" s="27" t="e">
        <f>R74*ROUND(O74,2)</f>
        <v>#DIV/0!</v>
      </c>
    </row>
    <row r="75" spans="1:19" x14ac:dyDescent="0.2">
      <c r="A75" s="90" t="s">
        <v>382</v>
      </c>
      <c r="B75" s="91" t="s">
        <v>35</v>
      </c>
      <c r="C75" s="91" t="s">
        <v>343</v>
      </c>
      <c r="D75" s="91" t="s">
        <v>344</v>
      </c>
      <c r="E75" s="92" t="s">
        <v>323</v>
      </c>
      <c r="F75" s="91" t="s">
        <v>361</v>
      </c>
      <c r="G75" s="91" t="s">
        <v>239</v>
      </c>
      <c r="H75" s="91" t="s">
        <v>13</v>
      </c>
      <c r="I75" s="91" t="s">
        <v>235</v>
      </c>
      <c r="J75" s="92" t="s">
        <v>240</v>
      </c>
      <c r="K75" s="93">
        <v>3.8</v>
      </c>
      <c r="L75" s="93">
        <f>K75*VLOOKUP(H75,dagsoorttabel1,2,FALSE)</f>
        <v>0.76</v>
      </c>
      <c r="M75" s="94">
        <f>prodnorm53</f>
        <v>0</v>
      </c>
      <c r="N75" s="91" t="s">
        <v>101</v>
      </c>
      <c r="O75" s="26">
        <f>uurtarief53</f>
        <v>0</v>
      </c>
      <c r="P75" s="93" t="e">
        <f>IF(ISBLANK(M75),0,L75/ROUND(M75,4))</f>
        <v>#DIV/0!</v>
      </c>
      <c r="Q75" s="26" t="e">
        <f>ROUND(O75,2)*P75</f>
        <v>#DIV/0!</v>
      </c>
      <c r="R75" s="93" t="e">
        <f>P75*dagenperjaar1</f>
        <v>#DIV/0!</v>
      </c>
      <c r="S75" s="27" t="e">
        <f>R75*ROUND(O75,2)</f>
        <v>#DIV/0!</v>
      </c>
    </row>
    <row r="76" spans="1:19" x14ac:dyDescent="0.2">
      <c r="A76" s="90" t="s">
        <v>382</v>
      </c>
      <c r="B76" s="91" t="s">
        <v>35</v>
      </c>
      <c r="C76" s="91" t="s">
        <v>343</v>
      </c>
      <c r="D76" s="91" t="s">
        <v>345</v>
      </c>
      <c r="E76" s="92" t="s">
        <v>35</v>
      </c>
      <c r="F76" s="91" t="s">
        <v>35</v>
      </c>
      <c r="G76" s="91" t="s">
        <v>352</v>
      </c>
      <c r="H76" s="91"/>
      <c r="I76" s="91"/>
      <c r="J76" s="91"/>
      <c r="K76" s="93">
        <v>0</v>
      </c>
      <c r="L76" s="93"/>
      <c r="M76" s="94"/>
      <c r="N76" s="91"/>
      <c r="O76" s="26"/>
      <c r="P76" s="93"/>
      <c r="Q76" s="26"/>
      <c r="R76" s="95"/>
      <c r="S76" s="27"/>
    </row>
    <row r="77" spans="1:19" x14ac:dyDescent="0.2">
      <c r="A77" s="90" t="s">
        <v>382</v>
      </c>
      <c r="B77" s="91" t="s">
        <v>35</v>
      </c>
      <c r="C77" s="91" t="s">
        <v>343</v>
      </c>
      <c r="D77" s="91" t="s">
        <v>348</v>
      </c>
      <c r="E77" s="92" t="s">
        <v>349</v>
      </c>
      <c r="F77" s="91" t="s">
        <v>316</v>
      </c>
      <c r="G77" s="91" t="s">
        <v>266</v>
      </c>
      <c r="H77" s="91" t="s">
        <v>13</v>
      </c>
      <c r="I77" s="91" t="s">
        <v>235</v>
      </c>
      <c r="J77" s="92" t="s">
        <v>267</v>
      </c>
      <c r="K77" s="93">
        <v>9.8500000000000014</v>
      </c>
      <c r="L77" s="93">
        <f>K77*VLOOKUP(H77,dagsoorttabel1,2,FALSE)</f>
        <v>1.9700000000000004</v>
      </c>
      <c r="M77" s="94">
        <f>prodnorm83</f>
        <v>0</v>
      </c>
      <c r="N77" s="91" t="s">
        <v>101</v>
      </c>
      <c r="O77" s="26">
        <f>uurtarief83</f>
        <v>0</v>
      </c>
      <c r="P77" s="93" t="e">
        <f>IF(ISBLANK(M77),0,L77/ROUND(M77,4))</f>
        <v>#DIV/0!</v>
      </c>
      <c r="Q77" s="26" t="e">
        <f>ROUND(O77,2)*P77</f>
        <v>#DIV/0!</v>
      </c>
      <c r="R77" s="93" t="e">
        <f>P77*dagenperjaar1</f>
        <v>#DIV/0!</v>
      </c>
      <c r="S77" s="27" t="e">
        <f>R77*ROUND(O77,2)</f>
        <v>#DIV/0!</v>
      </c>
    </row>
    <row r="78" spans="1:19" x14ac:dyDescent="0.2">
      <c r="A78" s="90" t="s">
        <v>382</v>
      </c>
      <c r="B78" s="91" t="s">
        <v>35</v>
      </c>
      <c r="C78" s="91" t="s">
        <v>343</v>
      </c>
      <c r="D78" s="91" t="s">
        <v>350</v>
      </c>
      <c r="E78" s="92" t="s">
        <v>349</v>
      </c>
      <c r="F78" s="91" t="s">
        <v>316</v>
      </c>
      <c r="G78" s="91" t="s">
        <v>266</v>
      </c>
      <c r="H78" s="91" t="s">
        <v>13</v>
      </c>
      <c r="I78" s="91" t="s">
        <v>235</v>
      </c>
      <c r="J78" s="92" t="s">
        <v>267</v>
      </c>
      <c r="K78" s="93">
        <v>8.5</v>
      </c>
      <c r="L78" s="93">
        <f>K78*VLOOKUP(H78,dagsoorttabel1,2,FALSE)</f>
        <v>1.7000000000000002</v>
      </c>
      <c r="M78" s="94">
        <f>prodnorm83</f>
        <v>0</v>
      </c>
      <c r="N78" s="91" t="s">
        <v>101</v>
      </c>
      <c r="O78" s="26">
        <f>uurtarief83</f>
        <v>0</v>
      </c>
      <c r="P78" s="93" t="e">
        <f>IF(ISBLANK(M78),0,L78/ROUND(M78,4))</f>
        <v>#DIV/0!</v>
      </c>
      <c r="Q78" s="26" t="e">
        <f>ROUND(O78,2)*P78</f>
        <v>#DIV/0!</v>
      </c>
      <c r="R78" s="93" t="e">
        <f>P78*dagenperjaar1</f>
        <v>#DIV/0!</v>
      </c>
      <c r="S78" s="27" t="e">
        <f>R78*ROUND(O78,2)</f>
        <v>#DIV/0!</v>
      </c>
    </row>
    <row r="79" spans="1:19" x14ac:dyDescent="0.2">
      <c r="A79" s="90" t="s">
        <v>382</v>
      </c>
      <c r="B79" s="91" t="s">
        <v>35</v>
      </c>
      <c r="C79" s="91" t="s">
        <v>343</v>
      </c>
      <c r="D79" s="91" t="s">
        <v>353</v>
      </c>
      <c r="E79" s="92" t="s">
        <v>403</v>
      </c>
      <c r="F79" s="91" t="s">
        <v>347</v>
      </c>
      <c r="G79" s="91" t="s">
        <v>270</v>
      </c>
      <c r="H79" s="91" t="s">
        <v>13</v>
      </c>
      <c r="I79" s="91" t="s">
        <v>235</v>
      </c>
      <c r="J79" s="92" t="s">
        <v>271</v>
      </c>
      <c r="K79" s="93">
        <v>41.690000000000005</v>
      </c>
      <c r="L79" s="93">
        <f>K79*VLOOKUP(H79,dagsoorttabel1,2,FALSE)</f>
        <v>8.338000000000001</v>
      </c>
      <c r="M79" s="94">
        <f>prodnorm89</f>
        <v>0</v>
      </c>
      <c r="N79" s="91" t="s">
        <v>101</v>
      </c>
      <c r="O79" s="26">
        <f>uurtarief89</f>
        <v>0</v>
      </c>
      <c r="P79" s="93" t="e">
        <f>IF(ISBLANK(M79),0,L79/ROUND(M79,4))</f>
        <v>#DIV/0!</v>
      </c>
      <c r="Q79" s="26" t="e">
        <f>ROUND(O79,2)*P79</f>
        <v>#DIV/0!</v>
      </c>
      <c r="R79" s="93" t="e">
        <f>P79*dagenperjaar1</f>
        <v>#DIV/0!</v>
      </c>
      <c r="S79" s="27" t="e">
        <f>R79*ROUND(O79,2)</f>
        <v>#DIV/0!</v>
      </c>
    </row>
    <row r="80" spans="1:19" x14ac:dyDescent="0.2">
      <c r="A80" s="90" t="s">
        <v>382</v>
      </c>
      <c r="B80" s="91" t="s">
        <v>35</v>
      </c>
      <c r="C80" s="91" t="s">
        <v>343</v>
      </c>
      <c r="D80" s="91" t="s">
        <v>355</v>
      </c>
      <c r="E80" s="92" t="s">
        <v>321</v>
      </c>
      <c r="F80" s="91" t="s">
        <v>347</v>
      </c>
      <c r="G80" s="91" t="s">
        <v>283</v>
      </c>
      <c r="H80" s="91" t="s">
        <v>13</v>
      </c>
      <c r="I80" s="91" t="s">
        <v>235</v>
      </c>
      <c r="J80" s="92" t="s">
        <v>284</v>
      </c>
      <c r="K80" s="93">
        <v>6.74</v>
      </c>
      <c r="L80" s="93">
        <f>K80*VLOOKUP(H80,dagsoorttabel1,2,FALSE)</f>
        <v>1.3480000000000001</v>
      </c>
      <c r="M80" s="94">
        <f>prodnorm106</f>
        <v>0</v>
      </c>
      <c r="N80" s="91" t="s">
        <v>101</v>
      </c>
      <c r="O80" s="26">
        <f>uurtarief106</f>
        <v>0</v>
      </c>
      <c r="P80" s="93" t="e">
        <f>IF(ISBLANK(M80),0,L80/ROUND(M80,4))</f>
        <v>#DIV/0!</v>
      </c>
      <c r="Q80" s="26" t="e">
        <f>ROUND(O80,2)*P80</f>
        <v>#DIV/0!</v>
      </c>
      <c r="R80" s="93" t="e">
        <f>P80*dagenperjaar1</f>
        <v>#DIV/0!</v>
      </c>
      <c r="S80" s="27" t="e">
        <f>R80*ROUND(O80,2)</f>
        <v>#DIV/0!</v>
      </c>
    </row>
    <row r="81" spans="1:19" x14ac:dyDescent="0.2">
      <c r="A81" s="90" t="s">
        <v>382</v>
      </c>
      <c r="B81" s="91" t="s">
        <v>35</v>
      </c>
      <c r="C81" s="91" t="s">
        <v>343</v>
      </c>
      <c r="D81" s="91" t="s">
        <v>379</v>
      </c>
      <c r="E81" s="92" t="s">
        <v>404</v>
      </c>
      <c r="F81" s="91" t="s">
        <v>347</v>
      </c>
      <c r="G81" s="91" t="s">
        <v>260</v>
      </c>
      <c r="H81" s="91" t="s">
        <v>13</v>
      </c>
      <c r="I81" s="91" t="s">
        <v>235</v>
      </c>
      <c r="J81" s="92" t="s">
        <v>261</v>
      </c>
      <c r="K81" s="93">
        <v>55.97</v>
      </c>
      <c r="L81" s="93">
        <f>K81*VLOOKUP(H81,dagsoorttabel1,2,FALSE)</f>
        <v>11.194000000000001</v>
      </c>
      <c r="M81" s="94">
        <f>prodnorm75</f>
        <v>0</v>
      </c>
      <c r="N81" s="91" t="s">
        <v>101</v>
      </c>
      <c r="O81" s="26">
        <f>uurtarief75</f>
        <v>0</v>
      </c>
      <c r="P81" s="93" t="e">
        <f>IF(ISBLANK(M81),0,L81/ROUND(M81,4))</f>
        <v>#DIV/0!</v>
      </c>
      <c r="Q81" s="26" t="e">
        <f>ROUND(O81,2)*P81</f>
        <v>#DIV/0!</v>
      </c>
      <c r="R81" s="93" t="e">
        <f>P81*dagenperjaar1</f>
        <v>#DIV/0!</v>
      </c>
      <c r="S81" s="27" t="e">
        <f>R81*ROUND(O81,2)</f>
        <v>#DIV/0!</v>
      </c>
    </row>
    <row r="82" spans="1:19" x14ac:dyDescent="0.2">
      <c r="A82" s="90" t="s">
        <v>382</v>
      </c>
      <c r="B82" s="91" t="s">
        <v>35</v>
      </c>
      <c r="C82" s="91" t="s">
        <v>343</v>
      </c>
      <c r="D82" s="91" t="s">
        <v>405</v>
      </c>
      <c r="E82" s="92" t="s">
        <v>333</v>
      </c>
      <c r="F82" s="91" t="s">
        <v>316</v>
      </c>
      <c r="G82" s="91" t="s">
        <v>279</v>
      </c>
      <c r="H82" s="91" t="s">
        <v>13</v>
      </c>
      <c r="I82" s="91" t="s">
        <v>235</v>
      </c>
      <c r="J82" s="92" t="s">
        <v>280</v>
      </c>
      <c r="K82" s="93">
        <v>3.06</v>
      </c>
      <c r="L82" s="93">
        <f>K82*VLOOKUP(H82,dagsoorttabel1,2,FALSE)</f>
        <v>0.6120000000000001</v>
      </c>
      <c r="M82" s="94">
        <f>prodnorm100</f>
        <v>0</v>
      </c>
      <c r="N82" s="91" t="s">
        <v>101</v>
      </c>
      <c r="O82" s="26">
        <f>uurtarief100</f>
        <v>0</v>
      </c>
      <c r="P82" s="93" t="e">
        <f>IF(ISBLANK(M82),0,L82/ROUND(M82,4))</f>
        <v>#DIV/0!</v>
      </c>
      <c r="Q82" s="26" t="e">
        <f>ROUND(O82,2)*P82</f>
        <v>#DIV/0!</v>
      </c>
      <c r="R82" s="93" t="e">
        <f>P82*dagenperjaar1</f>
        <v>#DIV/0!</v>
      </c>
      <c r="S82" s="27" t="e">
        <f>R82*ROUND(O82,2)</f>
        <v>#DIV/0!</v>
      </c>
    </row>
    <row r="83" spans="1:19" x14ac:dyDescent="0.2">
      <c r="A83" s="90" t="s">
        <v>382</v>
      </c>
      <c r="B83" s="91" t="s">
        <v>35</v>
      </c>
      <c r="C83" s="91" t="s">
        <v>343</v>
      </c>
      <c r="D83" s="91" t="s">
        <v>406</v>
      </c>
      <c r="E83" s="92" t="s">
        <v>333</v>
      </c>
      <c r="F83" s="91" t="s">
        <v>316</v>
      </c>
      <c r="G83" s="91" t="s">
        <v>279</v>
      </c>
      <c r="H83" s="91" t="s">
        <v>13</v>
      </c>
      <c r="I83" s="91" t="s">
        <v>235</v>
      </c>
      <c r="J83" s="92" t="s">
        <v>280</v>
      </c>
      <c r="K83" s="93">
        <v>4.1399999999999997</v>
      </c>
      <c r="L83" s="93">
        <f>K83*VLOOKUP(H83,dagsoorttabel1,2,FALSE)</f>
        <v>0.82799999999999996</v>
      </c>
      <c r="M83" s="94">
        <f>prodnorm100</f>
        <v>0</v>
      </c>
      <c r="N83" s="91" t="s">
        <v>101</v>
      </c>
      <c r="O83" s="26">
        <f>uurtarief100</f>
        <v>0</v>
      </c>
      <c r="P83" s="93" t="e">
        <f>IF(ISBLANK(M83),0,L83/ROUND(M83,4))</f>
        <v>#DIV/0!</v>
      </c>
      <c r="Q83" s="26" t="e">
        <f>ROUND(O83,2)*P83</f>
        <v>#DIV/0!</v>
      </c>
      <c r="R83" s="93" t="e">
        <f>P83*dagenperjaar1</f>
        <v>#DIV/0!</v>
      </c>
      <c r="S83" s="27" t="e">
        <f>R83*ROUND(O83,2)</f>
        <v>#DIV/0!</v>
      </c>
    </row>
    <row r="84" spans="1:19" x14ac:dyDescent="0.2">
      <c r="A84" s="90" t="s">
        <v>382</v>
      </c>
      <c r="B84" s="91" t="s">
        <v>35</v>
      </c>
      <c r="C84" s="91" t="s">
        <v>343</v>
      </c>
      <c r="D84" s="91" t="s">
        <v>407</v>
      </c>
      <c r="E84" s="92" t="s">
        <v>367</v>
      </c>
      <c r="F84" s="91" t="s">
        <v>361</v>
      </c>
      <c r="G84" s="91" t="s">
        <v>283</v>
      </c>
      <c r="H84" s="91" t="s">
        <v>13</v>
      </c>
      <c r="I84" s="91" t="s">
        <v>235</v>
      </c>
      <c r="J84" s="92" t="s">
        <v>284</v>
      </c>
      <c r="K84" s="93">
        <v>33.620000000000005</v>
      </c>
      <c r="L84" s="93">
        <f>K84*VLOOKUP(H84,dagsoorttabel1,2,FALSE)</f>
        <v>6.7240000000000011</v>
      </c>
      <c r="M84" s="94">
        <f>prodnorm106</f>
        <v>0</v>
      </c>
      <c r="N84" s="91" t="s">
        <v>101</v>
      </c>
      <c r="O84" s="26">
        <f>uurtarief106</f>
        <v>0</v>
      </c>
      <c r="P84" s="93" t="e">
        <f>IF(ISBLANK(M84),0,L84/ROUND(M84,4))</f>
        <v>#DIV/0!</v>
      </c>
      <c r="Q84" s="26" t="e">
        <f>ROUND(O84,2)*P84</f>
        <v>#DIV/0!</v>
      </c>
      <c r="R84" s="93" t="e">
        <f>P84*dagenperjaar1</f>
        <v>#DIV/0!</v>
      </c>
      <c r="S84" s="27" t="e">
        <f>R84*ROUND(O84,2)</f>
        <v>#DIV/0!</v>
      </c>
    </row>
    <row r="85" spans="1:19" x14ac:dyDescent="0.2">
      <c r="A85" s="90" t="s">
        <v>382</v>
      </c>
      <c r="B85" s="91" t="s">
        <v>35</v>
      </c>
      <c r="C85" s="91" t="s">
        <v>343</v>
      </c>
      <c r="D85" s="91" t="s">
        <v>408</v>
      </c>
      <c r="E85" s="92" t="s">
        <v>323</v>
      </c>
      <c r="F85" s="91" t="s">
        <v>361</v>
      </c>
      <c r="G85" s="91" t="s">
        <v>239</v>
      </c>
      <c r="H85" s="91" t="s">
        <v>13</v>
      </c>
      <c r="I85" s="91" t="s">
        <v>235</v>
      </c>
      <c r="J85" s="92" t="s">
        <v>240</v>
      </c>
      <c r="K85" s="93">
        <v>14.12</v>
      </c>
      <c r="L85" s="93">
        <f>K85*VLOOKUP(H85,dagsoorttabel1,2,FALSE)</f>
        <v>2.8239999999999998</v>
      </c>
      <c r="M85" s="94">
        <f>prodnorm53</f>
        <v>0</v>
      </c>
      <c r="N85" s="91" t="s">
        <v>101</v>
      </c>
      <c r="O85" s="26">
        <f>uurtarief53</f>
        <v>0</v>
      </c>
      <c r="P85" s="93" t="e">
        <f>IF(ISBLANK(M85),0,L85/ROUND(M85,4))</f>
        <v>#DIV/0!</v>
      </c>
      <c r="Q85" s="26" t="e">
        <f>ROUND(O85,2)*P85</f>
        <v>#DIV/0!</v>
      </c>
      <c r="R85" s="93" t="e">
        <f>P85*dagenperjaar1</f>
        <v>#DIV/0!</v>
      </c>
      <c r="S85" s="27" t="e">
        <f>R85*ROUND(O85,2)</f>
        <v>#DIV/0!</v>
      </c>
    </row>
    <row r="86" spans="1:19" ht="25.2" x14ac:dyDescent="0.2">
      <c r="A86" s="90" t="s">
        <v>382</v>
      </c>
      <c r="B86" s="91" t="s">
        <v>35</v>
      </c>
      <c r="C86" s="91" t="s">
        <v>343</v>
      </c>
      <c r="D86" s="91" t="s">
        <v>409</v>
      </c>
      <c r="E86" s="92" t="s">
        <v>410</v>
      </c>
      <c r="F86" s="91" t="s">
        <v>361</v>
      </c>
      <c r="G86" s="91" t="s">
        <v>248</v>
      </c>
      <c r="H86" s="91" t="s">
        <v>13</v>
      </c>
      <c r="I86" s="91" t="s">
        <v>235</v>
      </c>
      <c r="J86" s="92" t="s">
        <v>249</v>
      </c>
      <c r="K86" s="93">
        <v>22.5</v>
      </c>
      <c r="L86" s="93">
        <f>K86*VLOOKUP(H86,dagsoorttabel1,2,FALSE)</f>
        <v>4.5</v>
      </c>
      <c r="M86" s="94">
        <f>prodnorm61</f>
        <v>0</v>
      </c>
      <c r="N86" s="91" t="s">
        <v>101</v>
      </c>
      <c r="O86" s="26">
        <f>uurtarief61</f>
        <v>0</v>
      </c>
      <c r="P86" s="93" t="e">
        <f>IF(ISBLANK(M86),0,L86/ROUND(M86,4))</f>
        <v>#DIV/0!</v>
      </c>
      <c r="Q86" s="26" t="e">
        <f>ROUND(O86,2)*P86</f>
        <v>#DIV/0!</v>
      </c>
      <c r="R86" s="93" t="e">
        <f>P86*dagenperjaar1</f>
        <v>#DIV/0!</v>
      </c>
      <c r="S86" s="27" t="e">
        <f>R86*ROUND(O86,2)</f>
        <v>#DIV/0!</v>
      </c>
    </row>
    <row r="87" spans="1:19" x14ac:dyDescent="0.2">
      <c r="A87" s="90" t="s">
        <v>382</v>
      </c>
      <c r="B87" s="91" t="s">
        <v>35</v>
      </c>
      <c r="C87" s="91" t="s">
        <v>343</v>
      </c>
      <c r="D87" s="91" t="s">
        <v>411</v>
      </c>
      <c r="E87" s="92" t="s">
        <v>366</v>
      </c>
      <c r="F87" s="91" t="s">
        <v>390</v>
      </c>
      <c r="G87" s="91" t="s">
        <v>352</v>
      </c>
      <c r="H87" s="91"/>
      <c r="I87" s="91"/>
      <c r="J87" s="91"/>
      <c r="K87" s="93">
        <v>43.1</v>
      </c>
      <c r="L87" s="93"/>
      <c r="M87" s="94"/>
      <c r="N87" s="91"/>
      <c r="O87" s="26"/>
      <c r="P87" s="93"/>
      <c r="Q87" s="26"/>
      <c r="R87" s="95"/>
      <c r="S87" s="27"/>
    </row>
    <row r="88" spans="1:19" x14ac:dyDescent="0.2">
      <c r="A88" s="96" t="s">
        <v>382</v>
      </c>
      <c r="B88" s="97" t="s">
        <v>35</v>
      </c>
      <c r="C88" s="97" t="s">
        <v>343</v>
      </c>
      <c r="D88" s="97" t="s">
        <v>412</v>
      </c>
      <c r="E88" s="98" t="s">
        <v>413</v>
      </c>
      <c r="F88" s="97" t="s">
        <v>414</v>
      </c>
      <c r="G88" s="97" t="s">
        <v>352</v>
      </c>
      <c r="H88" s="97"/>
      <c r="I88" s="97"/>
      <c r="J88" s="97"/>
      <c r="K88" s="99">
        <v>10.34</v>
      </c>
      <c r="L88" s="99"/>
      <c r="M88" s="100"/>
      <c r="N88" s="97"/>
      <c r="O88" s="36"/>
      <c r="P88" s="99"/>
      <c r="Q88" s="36"/>
      <c r="R88" s="102"/>
      <c r="S88" s="37"/>
    </row>
    <row r="89" spans="1:19" x14ac:dyDescent="0.2">
      <c r="A89" s="101" t="s">
        <v>356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6" t="e">
        <f>IF(_xlfn.SINGLE(object3_urenjaar1)&gt;0,_xlfn.SINGLE(object3_prijsjaar1)/_xlfn.SINGLE(object3_urenjaar1),0)</f>
        <v>#DIV/0!</v>
      </c>
      <c r="P89" s="75" t="e">
        <f>SUM(P52:P88)</f>
        <v>#DIV/0!</v>
      </c>
      <c r="Q89" s="76" t="e">
        <f>SUM(Q52:Q88)</f>
        <v>#DIV/0!</v>
      </c>
      <c r="R89" s="75" t="e">
        <f>SUM(R52:R88)</f>
        <v>#DIV/0!</v>
      </c>
      <c r="S89" s="77" t="e">
        <f>SUM(S52:S88)</f>
        <v>#DIV/0!</v>
      </c>
    </row>
    <row r="90" spans="1:19" x14ac:dyDescent="0.2">
      <c r="A90" s="82" t="s">
        <v>415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72"/>
    </row>
    <row r="91" spans="1:19" x14ac:dyDescent="0.2">
      <c r="A91" s="83" t="s">
        <v>416</v>
      </c>
      <c r="B91" s="84" t="s">
        <v>35</v>
      </c>
      <c r="C91" s="84" t="s">
        <v>313</v>
      </c>
      <c r="D91" s="84" t="s">
        <v>314</v>
      </c>
      <c r="E91" s="85" t="s">
        <v>417</v>
      </c>
      <c r="F91" s="84" t="s">
        <v>387</v>
      </c>
      <c r="G91" s="84" t="s">
        <v>289</v>
      </c>
      <c r="H91" s="84" t="s">
        <v>13</v>
      </c>
      <c r="I91" s="84" t="s">
        <v>235</v>
      </c>
      <c r="J91" s="85" t="s">
        <v>290</v>
      </c>
      <c r="K91" s="86">
        <v>17.75</v>
      </c>
      <c r="L91" s="86">
        <f>K91*VLOOKUP(H91,dagsoorttabel1,2,FALSE)</f>
        <v>3.5500000000000003</v>
      </c>
      <c r="M91" s="87">
        <f>prodnorm113</f>
        <v>0</v>
      </c>
      <c r="N91" s="84" t="s">
        <v>101</v>
      </c>
      <c r="O91" s="88">
        <f>uurtarief113</f>
        <v>0</v>
      </c>
      <c r="P91" s="86" t="e">
        <f>IF(ISBLANK(M91),0,L91/ROUND(M91,4))</f>
        <v>#DIV/0!</v>
      </c>
      <c r="Q91" s="88" t="e">
        <f>ROUND(O91,2)*P91</f>
        <v>#DIV/0!</v>
      </c>
      <c r="R91" s="86" t="e">
        <f>P91*dagenperjaar1</f>
        <v>#DIV/0!</v>
      </c>
      <c r="S91" s="89" t="e">
        <f>R91*ROUND(O91,2)</f>
        <v>#DIV/0!</v>
      </c>
    </row>
    <row r="92" spans="1:19" x14ac:dyDescent="0.2">
      <c r="A92" s="90" t="s">
        <v>416</v>
      </c>
      <c r="B92" s="91" t="s">
        <v>35</v>
      </c>
      <c r="C92" s="91" t="s">
        <v>313</v>
      </c>
      <c r="D92" s="91" t="s">
        <v>317</v>
      </c>
      <c r="E92" s="92" t="s">
        <v>418</v>
      </c>
      <c r="F92" s="91" t="s">
        <v>387</v>
      </c>
      <c r="G92" s="91" t="s">
        <v>298</v>
      </c>
      <c r="H92" s="91" t="s">
        <v>13</v>
      </c>
      <c r="I92" s="91" t="s">
        <v>235</v>
      </c>
      <c r="J92" s="92" t="s">
        <v>299</v>
      </c>
      <c r="K92" s="93">
        <v>7.45</v>
      </c>
      <c r="L92" s="93">
        <f>K92*VLOOKUP(H92,dagsoorttabel1,2,FALSE)</f>
        <v>1.4900000000000002</v>
      </c>
      <c r="M92" s="94">
        <f>prodnorm124</f>
        <v>0</v>
      </c>
      <c r="N92" s="91" t="s">
        <v>101</v>
      </c>
      <c r="O92" s="26">
        <f>uurtarief124</f>
        <v>0</v>
      </c>
      <c r="P92" s="93" t="e">
        <f>IF(ISBLANK(M92),0,L92/ROUND(M92,4))</f>
        <v>#DIV/0!</v>
      </c>
      <c r="Q92" s="26" t="e">
        <f>ROUND(O92,2)*P92</f>
        <v>#DIV/0!</v>
      </c>
      <c r="R92" s="93" t="e">
        <f>P92*dagenperjaar1</f>
        <v>#DIV/0!</v>
      </c>
      <c r="S92" s="27" t="e">
        <f>R92*ROUND(O92,2)</f>
        <v>#DIV/0!</v>
      </c>
    </row>
    <row r="93" spans="1:19" x14ac:dyDescent="0.2">
      <c r="A93" s="90" t="s">
        <v>416</v>
      </c>
      <c r="B93" s="91" t="s">
        <v>35</v>
      </c>
      <c r="C93" s="91" t="s">
        <v>313</v>
      </c>
      <c r="D93" s="91" t="s">
        <v>320</v>
      </c>
      <c r="E93" s="92" t="s">
        <v>419</v>
      </c>
      <c r="F93" s="91" t="s">
        <v>361</v>
      </c>
      <c r="G93" s="91" t="s">
        <v>283</v>
      </c>
      <c r="H93" s="91" t="s">
        <v>13</v>
      </c>
      <c r="I93" s="91" t="s">
        <v>235</v>
      </c>
      <c r="J93" s="92" t="s">
        <v>284</v>
      </c>
      <c r="K93" s="93">
        <v>36.5</v>
      </c>
      <c r="L93" s="93">
        <f>K93*VLOOKUP(H93,dagsoorttabel1,2,FALSE)</f>
        <v>7.3000000000000007</v>
      </c>
      <c r="M93" s="94">
        <f>prodnorm106</f>
        <v>0</v>
      </c>
      <c r="N93" s="91" t="s">
        <v>101</v>
      </c>
      <c r="O93" s="26">
        <f>uurtarief106</f>
        <v>0</v>
      </c>
      <c r="P93" s="93" t="e">
        <f>IF(ISBLANK(M93),0,L93/ROUND(M93,4))</f>
        <v>#DIV/0!</v>
      </c>
      <c r="Q93" s="26" t="e">
        <f>ROUND(O93,2)*P93</f>
        <v>#DIV/0!</v>
      </c>
      <c r="R93" s="93" t="e">
        <f>P93*dagenperjaar1</f>
        <v>#DIV/0!</v>
      </c>
      <c r="S93" s="27" t="e">
        <f>R93*ROUND(O93,2)</f>
        <v>#DIV/0!</v>
      </c>
    </row>
    <row r="94" spans="1:19" x14ac:dyDescent="0.2">
      <c r="A94" s="90" t="s">
        <v>416</v>
      </c>
      <c r="B94" s="91" t="s">
        <v>35</v>
      </c>
      <c r="C94" s="91" t="s">
        <v>313</v>
      </c>
      <c r="D94" s="91" t="s">
        <v>322</v>
      </c>
      <c r="E94" s="92" t="s">
        <v>420</v>
      </c>
      <c r="F94" s="91" t="s">
        <v>387</v>
      </c>
      <c r="G94" s="91" t="s">
        <v>352</v>
      </c>
      <c r="H94" s="91"/>
      <c r="I94" s="91"/>
      <c r="J94" s="91"/>
      <c r="K94" s="93">
        <v>58</v>
      </c>
      <c r="L94" s="93"/>
      <c r="M94" s="94"/>
      <c r="N94" s="91"/>
      <c r="O94" s="26"/>
      <c r="P94" s="93"/>
      <c r="Q94" s="26"/>
      <c r="R94" s="95"/>
      <c r="S94" s="27"/>
    </row>
    <row r="95" spans="1:19" x14ac:dyDescent="0.2">
      <c r="A95" s="90" t="s">
        <v>416</v>
      </c>
      <c r="B95" s="91" t="s">
        <v>35</v>
      </c>
      <c r="C95" s="91" t="s">
        <v>313</v>
      </c>
      <c r="D95" s="91" t="s">
        <v>324</v>
      </c>
      <c r="E95" s="92" t="s">
        <v>421</v>
      </c>
      <c r="F95" s="91" t="s">
        <v>387</v>
      </c>
      <c r="G95" s="91" t="s">
        <v>241</v>
      </c>
      <c r="H95" s="91" t="s">
        <v>13</v>
      </c>
      <c r="I95" s="91" t="s">
        <v>235</v>
      </c>
      <c r="J95" s="92" t="s">
        <v>242</v>
      </c>
      <c r="K95" s="93">
        <v>20</v>
      </c>
      <c r="L95" s="93">
        <f>K95*VLOOKUP(H95,dagsoorttabel1,2,FALSE)</f>
        <v>4</v>
      </c>
      <c r="M95" s="94">
        <f>prodnorm56</f>
        <v>0</v>
      </c>
      <c r="N95" s="91" t="s">
        <v>101</v>
      </c>
      <c r="O95" s="26">
        <f>uurtarief56</f>
        <v>0</v>
      </c>
      <c r="P95" s="93" t="e">
        <f>IF(ISBLANK(M95),0,L95/ROUND(M95,4))</f>
        <v>#DIV/0!</v>
      </c>
      <c r="Q95" s="26" t="e">
        <f>ROUND(O95,2)*P95</f>
        <v>#DIV/0!</v>
      </c>
      <c r="R95" s="93" t="e">
        <f>P95*dagenperjaar1</f>
        <v>#DIV/0!</v>
      </c>
      <c r="S95" s="27" t="e">
        <f>R95*ROUND(O95,2)</f>
        <v>#DIV/0!</v>
      </c>
    </row>
    <row r="96" spans="1:19" x14ac:dyDescent="0.2">
      <c r="A96" s="90" t="s">
        <v>416</v>
      </c>
      <c r="B96" s="91" t="s">
        <v>35</v>
      </c>
      <c r="C96" s="91" t="s">
        <v>313</v>
      </c>
      <c r="D96" s="91" t="s">
        <v>325</v>
      </c>
      <c r="E96" s="92" t="s">
        <v>420</v>
      </c>
      <c r="F96" s="91" t="s">
        <v>422</v>
      </c>
      <c r="G96" s="91" t="s">
        <v>352</v>
      </c>
      <c r="H96" s="91"/>
      <c r="I96" s="91"/>
      <c r="J96" s="91"/>
      <c r="K96" s="93">
        <v>28</v>
      </c>
      <c r="L96" s="93"/>
      <c r="M96" s="94"/>
      <c r="N96" s="91"/>
      <c r="O96" s="26"/>
      <c r="P96" s="93"/>
      <c r="Q96" s="26"/>
      <c r="R96" s="95"/>
      <c r="S96" s="27"/>
    </row>
    <row r="97" spans="1:19" x14ac:dyDescent="0.2">
      <c r="A97" s="90" t="s">
        <v>416</v>
      </c>
      <c r="B97" s="91" t="s">
        <v>35</v>
      </c>
      <c r="C97" s="91" t="s">
        <v>313</v>
      </c>
      <c r="D97" s="91" t="s">
        <v>327</v>
      </c>
      <c r="E97" s="92" t="s">
        <v>423</v>
      </c>
      <c r="F97" s="91" t="s">
        <v>424</v>
      </c>
      <c r="G97" s="91" t="s">
        <v>252</v>
      </c>
      <c r="H97" s="91" t="s">
        <v>21</v>
      </c>
      <c r="I97" s="91" t="s">
        <v>235</v>
      </c>
      <c r="J97" s="92" t="s">
        <v>253</v>
      </c>
      <c r="K97" s="93">
        <v>243.5</v>
      </c>
      <c r="L97" s="93">
        <f>K97*VLOOKUP(H97,dagsoorttabel1,2,FALSE)</f>
        <v>0.93653846153846154</v>
      </c>
      <c r="M97" s="94">
        <f>prodnorm67</f>
        <v>0</v>
      </c>
      <c r="N97" s="91" t="s">
        <v>101</v>
      </c>
      <c r="O97" s="26">
        <f>uurtarief67</f>
        <v>0</v>
      </c>
      <c r="P97" s="93" t="e">
        <f>IF(ISBLANK(M97),0,L97/ROUND(M97,4))</f>
        <v>#DIV/0!</v>
      </c>
      <c r="Q97" s="26" t="e">
        <f>ROUND(O97,2)*P97</f>
        <v>#DIV/0!</v>
      </c>
      <c r="R97" s="93" t="e">
        <f>P97*dagenperjaar1</f>
        <v>#DIV/0!</v>
      </c>
      <c r="S97" s="27" t="e">
        <f>R97*ROUND(O97,2)</f>
        <v>#DIV/0!</v>
      </c>
    </row>
    <row r="98" spans="1:19" x14ac:dyDescent="0.2">
      <c r="A98" s="90" t="s">
        <v>416</v>
      </c>
      <c r="B98" s="91" t="s">
        <v>35</v>
      </c>
      <c r="C98" s="91" t="s">
        <v>313</v>
      </c>
      <c r="D98" s="91" t="s">
        <v>330</v>
      </c>
      <c r="E98" s="92" t="s">
        <v>425</v>
      </c>
      <c r="F98" s="91" t="s">
        <v>424</v>
      </c>
      <c r="G98" s="91" t="s">
        <v>283</v>
      </c>
      <c r="H98" s="91" t="s">
        <v>13</v>
      </c>
      <c r="I98" s="91" t="s">
        <v>235</v>
      </c>
      <c r="J98" s="92" t="s">
        <v>284</v>
      </c>
      <c r="K98" s="93">
        <v>66.649999999999991</v>
      </c>
      <c r="L98" s="93">
        <f>K98*VLOOKUP(H98,dagsoorttabel1,2,FALSE)</f>
        <v>13.329999999999998</v>
      </c>
      <c r="M98" s="94">
        <f>prodnorm106</f>
        <v>0</v>
      </c>
      <c r="N98" s="91" t="s">
        <v>101</v>
      </c>
      <c r="O98" s="26">
        <f>uurtarief106</f>
        <v>0</v>
      </c>
      <c r="P98" s="93" t="e">
        <f>IF(ISBLANK(M98),0,L98/ROUND(M98,4))</f>
        <v>#DIV/0!</v>
      </c>
      <c r="Q98" s="26" t="e">
        <f>ROUND(O98,2)*P98</f>
        <v>#DIV/0!</v>
      </c>
      <c r="R98" s="93" t="e">
        <f>P98*dagenperjaar1</f>
        <v>#DIV/0!</v>
      </c>
      <c r="S98" s="27" t="e">
        <f>R98*ROUND(O98,2)</f>
        <v>#DIV/0!</v>
      </c>
    </row>
    <row r="99" spans="1:19" x14ac:dyDescent="0.2">
      <c r="A99" s="90" t="s">
        <v>416</v>
      </c>
      <c r="B99" s="91" t="s">
        <v>35</v>
      </c>
      <c r="C99" s="91" t="s">
        <v>313</v>
      </c>
      <c r="D99" s="91" t="s">
        <v>334</v>
      </c>
      <c r="E99" s="92" t="s">
        <v>426</v>
      </c>
      <c r="F99" s="91" t="s">
        <v>427</v>
      </c>
      <c r="G99" s="91" t="s">
        <v>277</v>
      </c>
      <c r="H99" s="91" t="s">
        <v>13</v>
      </c>
      <c r="I99" s="91" t="s">
        <v>235</v>
      </c>
      <c r="J99" s="92" t="s">
        <v>278</v>
      </c>
      <c r="K99" s="93">
        <v>10</v>
      </c>
      <c r="L99" s="93">
        <f>K99*VLOOKUP(H99,dagsoorttabel1,2,FALSE)</f>
        <v>2</v>
      </c>
      <c r="M99" s="94">
        <f>prodnorm97</f>
        <v>0</v>
      </c>
      <c r="N99" s="91" t="s">
        <v>101</v>
      </c>
      <c r="O99" s="26">
        <f>uurtarief97</f>
        <v>0</v>
      </c>
      <c r="P99" s="93" t="e">
        <f>IF(ISBLANK(M99),0,L99/ROUND(M99,4))</f>
        <v>#DIV/0!</v>
      </c>
      <c r="Q99" s="26" t="e">
        <f>ROUND(O99,2)*P99</f>
        <v>#DIV/0!</v>
      </c>
      <c r="R99" s="93" t="e">
        <f>P99*dagenperjaar1</f>
        <v>#DIV/0!</v>
      </c>
      <c r="S99" s="27" t="e">
        <f>R99*ROUND(O99,2)</f>
        <v>#DIV/0!</v>
      </c>
    </row>
    <row r="100" spans="1:19" x14ac:dyDescent="0.2">
      <c r="A100" s="90" t="s">
        <v>416</v>
      </c>
      <c r="B100" s="91" t="s">
        <v>35</v>
      </c>
      <c r="C100" s="91" t="s">
        <v>313</v>
      </c>
      <c r="D100" s="91" t="s">
        <v>336</v>
      </c>
      <c r="E100" s="92" t="s">
        <v>428</v>
      </c>
      <c r="F100" s="91" t="s">
        <v>427</v>
      </c>
      <c r="G100" s="91" t="s">
        <v>275</v>
      </c>
      <c r="H100" s="91" t="s">
        <v>13</v>
      </c>
      <c r="I100" s="91" t="s">
        <v>235</v>
      </c>
      <c r="J100" s="92" t="s">
        <v>276</v>
      </c>
      <c r="K100" s="93">
        <v>10.5</v>
      </c>
      <c r="L100" s="93">
        <f>K100*VLOOKUP(H100,dagsoorttabel1,2,FALSE)</f>
        <v>2.1</v>
      </c>
      <c r="M100" s="94">
        <f>prodnorm94</f>
        <v>0</v>
      </c>
      <c r="N100" s="91" t="s">
        <v>101</v>
      </c>
      <c r="O100" s="26">
        <f>uurtarief94</f>
        <v>0</v>
      </c>
      <c r="P100" s="93" t="e">
        <f>IF(ISBLANK(M100),0,L100/ROUND(M100,4))</f>
        <v>#DIV/0!</v>
      </c>
      <c r="Q100" s="26" t="e">
        <f>ROUND(O100,2)*P100</f>
        <v>#DIV/0!</v>
      </c>
      <c r="R100" s="93" t="e">
        <f>P100*dagenperjaar1</f>
        <v>#DIV/0!</v>
      </c>
      <c r="S100" s="27" t="e">
        <f>R100*ROUND(O100,2)</f>
        <v>#DIV/0!</v>
      </c>
    </row>
    <row r="101" spans="1:19" x14ac:dyDescent="0.2">
      <c r="A101" s="90" t="s">
        <v>416</v>
      </c>
      <c r="B101" s="91" t="s">
        <v>35</v>
      </c>
      <c r="C101" s="91" t="s">
        <v>313</v>
      </c>
      <c r="D101" s="91" t="s">
        <v>338</v>
      </c>
      <c r="E101" s="92" t="s">
        <v>429</v>
      </c>
      <c r="F101" s="91" t="s">
        <v>427</v>
      </c>
      <c r="G101" s="91" t="s">
        <v>277</v>
      </c>
      <c r="H101" s="91" t="s">
        <v>13</v>
      </c>
      <c r="I101" s="91" t="s">
        <v>235</v>
      </c>
      <c r="J101" s="92" t="s">
        <v>278</v>
      </c>
      <c r="K101" s="93">
        <v>15</v>
      </c>
      <c r="L101" s="93">
        <f>K101*VLOOKUP(H101,dagsoorttabel1,2,FALSE)</f>
        <v>3</v>
      </c>
      <c r="M101" s="94">
        <f>prodnorm97</f>
        <v>0</v>
      </c>
      <c r="N101" s="91" t="s">
        <v>101</v>
      </c>
      <c r="O101" s="26">
        <f>uurtarief97</f>
        <v>0</v>
      </c>
      <c r="P101" s="93" t="e">
        <f>IF(ISBLANK(M101),0,L101/ROUND(M101,4))</f>
        <v>#DIV/0!</v>
      </c>
      <c r="Q101" s="26" t="e">
        <f>ROUND(O101,2)*P101</f>
        <v>#DIV/0!</v>
      </c>
      <c r="R101" s="93" t="e">
        <f>P101*dagenperjaar1</f>
        <v>#DIV/0!</v>
      </c>
      <c r="S101" s="27" t="e">
        <f>R101*ROUND(O101,2)</f>
        <v>#DIV/0!</v>
      </c>
    </row>
    <row r="102" spans="1:19" x14ac:dyDescent="0.2">
      <c r="A102" s="90" t="s">
        <v>416</v>
      </c>
      <c r="B102" s="91" t="s">
        <v>35</v>
      </c>
      <c r="C102" s="91" t="s">
        <v>313</v>
      </c>
      <c r="D102" s="91" t="s">
        <v>339</v>
      </c>
      <c r="E102" s="92" t="s">
        <v>417</v>
      </c>
      <c r="F102" s="91" t="s">
        <v>387</v>
      </c>
      <c r="G102" s="91" t="s">
        <v>289</v>
      </c>
      <c r="H102" s="91" t="s">
        <v>13</v>
      </c>
      <c r="I102" s="91" t="s">
        <v>235</v>
      </c>
      <c r="J102" s="92" t="s">
        <v>290</v>
      </c>
      <c r="K102" s="93">
        <v>5.55</v>
      </c>
      <c r="L102" s="93">
        <f>K102*VLOOKUP(H102,dagsoorttabel1,2,FALSE)</f>
        <v>1.1100000000000001</v>
      </c>
      <c r="M102" s="94">
        <f>prodnorm113</f>
        <v>0</v>
      </c>
      <c r="N102" s="91" t="s">
        <v>101</v>
      </c>
      <c r="O102" s="26">
        <f>uurtarief113</f>
        <v>0</v>
      </c>
      <c r="P102" s="93" t="e">
        <f>IF(ISBLANK(M102),0,L102/ROUND(M102,4))</f>
        <v>#DIV/0!</v>
      </c>
      <c r="Q102" s="26" t="e">
        <f>ROUND(O102,2)*P102</f>
        <v>#DIV/0!</v>
      </c>
      <c r="R102" s="93" t="e">
        <f>P102*dagenperjaar1</f>
        <v>#DIV/0!</v>
      </c>
      <c r="S102" s="27" t="e">
        <f>R102*ROUND(O102,2)</f>
        <v>#DIV/0!</v>
      </c>
    </row>
    <row r="103" spans="1:19" x14ac:dyDescent="0.2">
      <c r="A103" s="90" t="s">
        <v>416</v>
      </c>
      <c r="B103" s="91" t="s">
        <v>35</v>
      </c>
      <c r="C103" s="91" t="s">
        <v>313</v>
      </c>
      <c r="D103" s="91" t="s">
        <v>341</v>
      </c>
      <c r="E103" s="92" t="s">
        <v>430</v>
      </c>
      <c r="F103" s="91" t="s">
        <v>427</v>
      </c>
      <c r="G103" s="91" t="s">
        <v>279</v>
      </c>
      <c r="H103" s="91" t="s">
        <v>13</v>
      </c>
      <c r="I103" s="91" t="s">
        <v>235</v>
      </c>
      <c r="J103" s="92" t="s">
        <v>280</v>
      </c>
      <c r="K103" s="93">
        <v>4.5</v>
      </c>
      <c r="L103" s="93">
        <f>K103*VLOOKUP(H103,dagsoorttabel1,2,FALSE)</f>
        <v>0.9</v>
      </c>
      <c r="M103" s="94">
        <f>prodnorm100</f>
        <v>0</v>
      </c>
      <c r="N103" s="91" t="s">
        <v>101</v>
      </c>
      <c r="O103" s="26">
        <f>uurtarief100</f>
        <v>0</v>
      </c>
      <c r="P103" s="93" t="e">
        <f>IF(ISBLANK(M103),0,L103/ROUND(M103,4))</f>
        <v>#DIV/0!</v>
      </c>
      <c r="Q103" s="26" t="e">
        <f>ROUND(O103,2)*P103</f>
        <v>#DIV/0!</v>
      </c>
      <c r="R103" s="93" t="e">
        <f>P103*dagenperjaar1</f>
        <v>#DIV/0!</v>
      </c>
      <c r="S103" s="27" t="e">
        <f>R103*ROUND(O103,2)</f>
        <v>#DIV/0!</v>
      </c>
    </row>
    <row r="104" spans="1:19" ht="25.2" x14ac:dyDescent="0.2">
      <c r="A104" s="90" t="s">
        <v>416</v>
      </c>
      <c r="B104" s="91" t="s">
        <v>35</v>
      </c>
      <c r="C104" s="91" t="s">
        <v>313</v>
      </c>
      <c r="D104" s="91" t="s">
        <v>372</v>
      </c>
      <c r="E104" s="92" t="s">
        <v>431</v>
      </c>
      <c r="F104" s="91" t="s">
        <v>424</v>
      </c>
      <c r="G104" s="91" t="s">
        <v>293</v>
      </c>
      <c r="H104" s="91" t="s">
        <v>21</v>
      </c>
      <c r="I104" s="91" t="s">
        <v>235</v>
      </c>
      <c r="J104" s="92" t="s">
        <v>294</v>
      </c>
      <c r="K104" s="93">
        <v>14</v>
      </c>
      <c r="L104" s="93">
        <f>K104*VLOOKUP(H104,dagsoorttabel1,2,FALSE)</f>
        <v>5.3846153846153849E-2</v>
      </c>
      <c r="M104" s="94">
        <f>prodnorm118</f>
        <v>0</v>
      </c>
      <c r="N104" s="91" t="s">
        <v>101</v>
      </c>
      <c r="O104" s="26">
        <f>uurtarief118</f>
        <v>0</v>
      </c>
      <c r="P104" s="93" t="e">
        <f>IF(ISBLANK(M104),0,L104/ROUND(M104,4))</f>
        <v>#DIV/0!</v>
      </c>
      <c r="Q104" s="26" t="e">
        <f>ROUND(O104,2)*P104</f>
        <v>#DIV/0!</v>
      </c>
      <c r="R104" s="93" t="e">
        <f>P104*dagenperjaar1</f>
        <v>#DIV/0!</v>
      </c>
      <c r="S104" s="27" t="e">
        <f>R104*ROUND(O104,2)</f>
        <v>#DIV/0!</v>
      </c>
    </row>
    <row r="105" spans="1:19" x14ac:dyDescent="0.2">
      <c r="A105" s="90" t="s">
        <v>416</v>
      </c>
      <c r="B105" s="91" t="s">
        <v>35</v>
      </c>
      <c r="C105" s="91" t="s">
        <v>313</v>
      </c>
      <c r="D105" s="91" t="s">
        <v>391</v>
      </c>
      <c r="E105" s="92" t="s">
        <v>432</v>
      </c>
      <c r="F105" s="91" t="s">
        <v>424</v>
      </c>
      <c r="G105" s="91" t="s">
        <v>252</v>
      </c>
      <c r="H105" s="91" t="s">
        <v>21</v>
      </c>
      <c r="I105" s="91" t="s">
        <v>235</v>
      </c>
      <c r="J105" s="92" t="s">
        <v>253</v>
      </c>
      <c r="K105" s="93">
        <v>16</v>
      </c>
      <c r="L105" s="93">
        <f>K105*VLOOKUP(H105,dagsoorttabel1,2,FALSE)</f>
        <v>6.1538461538461542E-2</v>
      </c>
      <c r="M105" s="94">
        <f>prodnorm67</f>
        <v>0</v>
      </c>
      <c r="N105" s="91" t="s">
        <v>101</v>
      </c>
      <c r="O105" s="26">
        <f>uurtarief67</f>
        <v>0</v>
      </c>
      <c r="P105" s="93" t="e">
        <f>IF(ISBLANK(M105),0,L105/ROUND(M105,4))</f>
        <v>#DIV/0!</v>
      </c>
      <c r="Q105" s="26" t="e">
        <f>ROUND(O105,2)*P105</f>
        <v>#DIV/0!</v>
      </c>
      <c r="R105" s="93" t="e">
        <f>P105*dagenperjaar1</f>
        <v>#DIV/0!</v>
      </c>
      <c r="S105" s="27" t="e">
        <f>R105*ROUND(O105,2)</f>
        <v>#DIV/0!</v>
      </c>
    </row>
    <row r="106" spans="1:19" x14ac:dyDescent="0.2">
      <c r="A106" s="90" t="s">
        <v>416</v>
      </c>
      <c r="B106" s="91" t="s">
        <v>35</v>
      </c>
      <c r="C106" s="91" t="s">
        <v>313</v>
      </c>
      <c r="D106" s="91" t="s">
        <v>392</v>
      </c>
      <c r="E106" s="92" t="s">
        <v>433</v>
      </c>
      <c r="F106" s="91" t="s">
        <v>361</v>
      </c>
      <c r="G106" s="91" t="s">
        <v>291</v>
      </c>
      <c r="H106" s="91" t="s">
        <v>13</v>
      </c>
      <c r="I106" s="91" t="s">
        <v>235</v>
      </c>
      <c r="J106" s="92" t="s">
        <v>292</v>
      </c>
      <c r="K106" s="93">
        <v>2.25</v>
      </c>
      <c r="L106" s="93">
        <f>K106*VLOOKUP(H106,dagsoorttabel1,2,FALSE)</f>
        <v>0.45</v>
      </c>
      <c r="M106" s="94">
        <f>prodnorm116</f>
        <v>0</v>
      </c>
      <c r="N106" s="91" t="s">
        <v>101</v>
      </c>
      <c r="O106" s="26">
        <f>uurtarief116</f>
        <v>0</v>
      </c>
      <c r="P106" s="93" t="e">
        <f>IF(ISBLANK(M106),0,L106/ROUND(M106,4))</f>
        <v>#DIV/0!</v>
      </c>
      <c r="Q106" s="26" t="e">
        <f>ROUND(O106,2)*P106</f>
        <v>#DIV/0!</v>
      </c>
      <c r="R106" s="93" t="e">
        <f>P106*dagenperjaar1</f>
        <v>#DIV/0!</v>
      </c>
      <c r="S106" s="27" t="e">
        <f>R106*ROUND(O106,2)</f>
        <v>#DIV/0!</v>
      </c>
    </row>
    <row r="107" spans="1:19" x14ac:dyDescent="0.2">
      <c r="A107" s="90" t="s">
        <v>416</v>
      </c>
      <c r="B107" s="91" t="s">
        <v>35</v>
      </c>
      <c r="C107" s="91" t="s">
        <v>313</v>
      </c>
      <c r="D107" s="91" t="s">
        <v>393</v>
      </c>
      <c r="E107" s="92" t="s">
        <v>434</v>
      </c>
      <c r="F107" s="91" t="s">
        <v>424</v>
      </c>
      <c r="G107" s="91" t="s">
        <v>352</v>
      </c>
      <c r="H107" s="91"/>
      <c r="I107" s="91"/>
      <c r="J107" s="91"/>
      <c r="K107" s="93">
        <v>68</v>
      </c>
      <c r="L107" s="93"/>
      <c r="M107" s="94"/>
      <c r="N107" s="91"/>
      <c r="O107" s="26"/>
      <c r="P107" s="93"/>
      <c r="Q107" s="26"/>
      <c r="R107" s="95"/>
      <c r="S107" s="27"/>
    </row>
    <row r="108" spans="1:19" x14ac:dyDescent="0.2">
      <c r="A108" s="90" t="s">
        <v>416</v>
      </c>
      <c r="B108" s="91" t="s">
        <v>35</v>
      </c>
      <c r="C108" s="91" t="s">
        <v>313</v>
      </c>
      <c r="D108" s="91" t="s">
        <v>394</v>
      </c>
      <c r="E108" s="92" t="s">
        <v>435</v>
      </c>
      <c r="F108" s="91" t="s">
        <v>424</v>
      </c>
      <c r="G108" s="91" t="s">
        <v>252</v>
      </c>
      <c r="H108" s="91" t="s">
        <v>21</v>
      </c>
      <c r="I108" s="91" t="s">
        <v>235</v>
      </c>
      <c r="J108" s="92" t="s">
        <v>253</v>
      </c>
      <c r="K108" s="93">
        <v>48</v>
      </c>
      <c r="L108" s="93">
        <f>K108*VLOOKUP(H108,dagsoorttabel1,2,FALSE)</f>
        <v>0.18461538461538463</v>
      </c>
      <c r="M108" s="94">
        <f>prodnorm67</f>
        <v>0</v>
      </c>
      <c r="N108" s="91" t="s">
        <v>101</v>
      </c>
      <c r="O108" s="26">
        <f>uurtarief67</f>
        <v>0</v>
      </c>
      <c r="P108" s="93" t="e">
        <f>IF(ISBLANK(M108),0,L108/ROUND(M108,4))</f>
        <v>#DIV/0!</v>
      </c>
      <c r="Q108" s="26" t="e">
        <f>ROUND(O108,2)*P108</f>
        <v>#DIV/0!</v>
      </c>
      <c r="R108" s="93" t="e">
        <f>P108*dagenperjaar1</f>
        <v>#DIV/0!</v>
      </c>
      <c r="S108" s="27" t="e">
        <f>R108*ROUND(O108,2)</f>
        <v>#DIV/0!</v>
      </c>
    </row>
    <row r="109" spans="1:19" x14ac:dyDescent="0.2">
      <c r="A109" s="90" t="s">
        <v>416</v>
      </c>
      <c r="B109" s="91" t="s">
        <v>35</v>
      </c>
      <c r="C109" s="91" t="s">
        <v>313</v>
      </c>
      <c r="D109" s="91" t="s">
        <v>436</v>
      </c>
      <c r="E109" s="92" t="s">
        <v>418</v>
      </c>
      <c r="F109" s="91" t="s">
        <v>319</v>
      </c>
      <c r="G109" s="91" t="s">
        <v>298</v>
      </c>
      <c r="H109" s="91" t="s">
        <v>13</v>
      </c>
      <c r="I109" s="91" t="s">
        <v>235</v>
      </c>
      <c r="J109" s="92" t="s">
        <v>299</v>
      </c>
      <c r="K109" s="93">
        <v>3.5</v>
      </c>
      <c r="L109" s="93">
        <f>K109*VLOOKUP(H109,dagsoorttabel1,2,FALSE)</f>
        <v>0.70000000000000007</v>
      </c>
      <c r="M109" s="94">
        <f>prodnorm124</f>
        <v>0</v>
      </c>
      <c r="N109" s="91" t="s">
        <v>101</v>
      </c>
      <c r="O109" s="26">
        <f>uurtarief124</f>
        <v>0</v>
      </c>
      <c r="P109" s="93" t="e">
        <f>IF(ISBLANK(M109),0,L109/ROUND(M109,4))</f>
        <v>#DIV/0!</v>
      </c>
      <c r="Q109" s="26" t="e">
        <f>ROUND(O109,2)*P109</f>
        <v>#DIV/0!</v>
      </c>
      <c r="R109" s="93" t="e">
        <f>P109*dagenperjaar1</f>
        <v>#DIV/0!</v>
      </c>
      <c r="S109" s="27" t="e">
        <f>R109*ROUND(O109,2)</f>
        <v>#DIV/0!</v>
      </c>
    </row>
    <row r="110" spans="1:19" x14ac:dyDescent="0.2">
      <c r="A110" s="90" t="s">
        <v>416</v>
      </c>
      <c r="B110" s="91" t="s">
        <v>35</v>
      </c>
      <c r="C110" s="91" t="s">
        <v>343</v>
      </c>
      <c r="D110" s="91" t="s">
        <v>344</v>
      </c>
      <c r="E110" s="92" t="s">
        <v>437</v>
      </c>
      <c r="F110" s="91" t="s">
        <v>424</v>
      </c>
      <c r="G110" s="91" t="s">
        <v>352</v>
      </c>
      <c r="H110" s="91"/>
      <c r="I110" s="91"/>
      <c r="J110" s="91"/>
      <c r="K110" s="93">
        <v>20.5</v>
      </c>
      <c r="L110" s="93"/>
      <c r="M110" s="94"/>
      <c r="N110" s="91"/>
      <c r="O110" s="26"/>
      <c r="P110" s="93"/>
      <c r="Q110" s="26"/>
      <c r="R110" s="95"/>
      <c r="S110" s="27"/>
    </row>
    <row r="111" spans="1:19" x14ac:dyDescent="0.2">
      <c r="A111" s="90" t="s">
        <v>416</v>
      </c>
      <c r="B111" s="91" t="s">
        <v>35</v>
      </c>
      <c r="C111" s="91" t="s">
        <v>343</v>
      </c>
      <c r="D111" s="91" t="s">
        <v>345</v>
      </c>
      <c r="E111" s="92" t="s">
        <v>438</v>
      </c>
      <c r="F111" s="91" t="s">
        <v>361</v>
      </c>
      <c r="G111" s="91" t="s">
        <v>352</v>
      </c>
      <c r="H111" s="91"/>
      <c r="I111" s="91"/>
      <c r="J111" s="91"/>
      <c r="K111" s="93">
        <v>17.5</v>
      </c>
      <c r="L111" s="93"/>
      <c r="M111" s="94"/>
      <c r="N111" s="91"/>
      <c r="O111" s="26"/>
      <c r="P111" s="93"/>
      <c r="Q111" s="26"/>
      <c r="R111" s="95"/>
      <c r="S111" s="27"/>
    </row>
    <row r="112" spans="1:19" x14ac:dyDescent="0.2">
      <c r="A112" s="90" t="s">
        <v>416</v>
      </c>
      <c r="B112" s="91" t="s">
        <v>35</v>
      </c>
      <c r="C112" s="91" t="s">
        <v>343</v>
      </c>
      <c r="D112" s="91" t="s">
        <v>348</v>
      </c>
      <c r="E112" s="92" t="s">
        <v>421</v>
      </c>
      <c r="F112" s="91" t="s">
        <v>387</v>
      </c>
      <c r="G112" s="91" t="s">
        <v>264</v>
      </c>
      <c r="H112" s="91" t="s">
        <v>13</v>
      </c>
      <c r="I112" s="91" t="s">
        <v>235</v>
      </c>
      <c r="J112" s="92" t="s">
        <v>265</v>
      </c>
      <c r="K112" s="93">
        <v>14.75</v>
      </c>
      <c r="L112" s="93">
        <f>K112*VLOOKUP(H112,dagsoorttabel1,2,FALSE)</f>
        <v>2.95</v>
      </c>
      <c r="M112" s="94">
        <f>prodnorm82</f>
        <v>0</v>
      </c>
      <c r="N112" s="91" t="s">
        <v>101</v>
      </c>
      <c r="O112" s="26">
        <f>uurtarief82</f>
        <v>0</v>
      </c>
      <c r="P112" s="93" t="e">
        <f>IF(ISBLANK(M112),0,L112/ROUND(M112,4))</f>
        <v>#DIV/0!</v>
      </c>
      <c r="Q112" s="26" t="e">
        <f>ROUND(O112,2)*P112</f>
        <v>#DIV/0!</v>
      </c>
      <c r="R112" s="93" t="e">
        <f>P112*dagenperjaar1</f>
        <v>#DIV/0!</v>
      </c>
      <c r="S112" s="27" t="e">
        <f>R112*ROUND(O112,2)</f>
        <v>#DIV/0!</v>
      </c>
    </row>
    <row r="113" spans="1:19" x14ac:dyDescent="0.2">
      <c r="A113" s="90" t="s">
        <v>416</v>
      </c>
      <c r="B113" s="91" t="s">
        <v>35</v>
      </c>
      <c r="C113" s="91" t="s">
        <v>343</v>
      </c>
      <c r="D113" s="91" t="s">
        <v>350</v>
      </c>
      <c r="E113" s="92" t="s">
        <v>439</v>
      </c>
      <c r="F113" s="91" t="s">
        <v>361</v>
      </c>
      <c r="G113" s="91" t="s">
        <v>239</v>
      </c>
      <c r="H113" s="91" t="s">
        <v>13</v>
      </c>
      <c r="I113" s="91" t="s">
        <v>235</v>
      </c>
      <c r="J113" s="92" t="s">
        <v>240</v>
      </c>
      <c r="K113" s="93">
        <v>85.05</v>
      </c>
      <c r="L113" s="93">
        <f>K113*VLOOKUP(H113,dagsoorttabel1,2,FALSE)</f>
        <v>17.010000000000002</v>
      </c>
      <c r="M113" s="94">
        <f>prodnorm53</f>
        <v>0</v>
      </c>
      <c r="N113" s="91" t="s">
        <v>101</v>
      </c>
      <c r="O113" s="26">
        <f>uurtarief53</f>
        <v>0</v>
      </c>
      <c r="P113" s="93" t="e">
        <f>IF(ISBLANK(M113),0,L113/ROUND(M113,4))</f>
        <v>#DIV/0!</v>
      </c>
      <c r="Q113" s="26" t="e">
        <f>ROUND(O113,2)*P113</f>
        <v>#DIV/0!</v>
      </c>
      <c r="R113" s="93" t="e">
        <f>P113*dagenperjaar1</f>
        <v>#DIV/0!</v>
      </c>
      <c r="S113" s="27" t="e">
        <f>R113*ROUND(O113,2)</f>
        <v>#DIV/0!</v>
      </c>
    </row>
    <row r="114" spans="1:19" x14ac:dyDescent="0.2">
      <c r="A114" s="90" t="s">
        <v>416</v>
      </c>
      <c r="B114" s="91" t="s">
        <v>35</v>
      </c>
      <c r="C114" s="91" t="s">
        <v>343</v>
      </c>
      <c r="D114" s="91" t="s">
        <v>353</v>
      </c>
      <c r="E114" s="92" t="s">
        <v>440</v>
      </c>
      <c r="F114" s="91" t="s">
        <v>361</v>
      </c>
      <c r="G114" s="91" t="s">
        <v>270</v>
      </c>
      <c r="H114" s="91" t="s">
        <v>13</v>
      </c>
      <c r="I114" s="91" t="s">
        <v>235</v>
      </c>
      <c r="J114" s="92" t="s">
        <v>271</v>
      </c>
      <c r="K114" s="93">
        <v>65</v>
      </c>
      <c r="L114" s="93">
        <f>K114*VLOOKUP(H114,dagsoorttabel1,2,FALSE)</f>
        <v>13</v>
      </c>
      <c r="M114" s="94">
        <f>prodnorm89</f>
        <v>0</v>
      </c>
      <c r="N114" s="91" t="s">
        <v>101</v>
      </c>
      <c r="O114" s="26">
        <f>uurtarief89</f>
        <v>0</v>
      </c>
      <c r="P114" s="93" t="e">
        <f>IF(ISBLANK(M114),0,L114/ROUND(M114,4))</f>
        <v>#DIV/0!</v>
      </c>
      <c r="Q114" s="26" t="e">
        <f>ROUND(O114,2)*P114</f>
        <v>#DIV/0!</v>
      </c>
      <c r="R114" s="93" t="e">
        <f>P114*dagenperjaar1</f>
        <v>#DIV/0!</v>
      </c>
      <c r="S114" s="27" t="e">
        <f>R114*ROUND(O114,2)</f>
        <v>#DIV/0!</v>
      </c>
    </row>
    <row r="115" spans="1:19" x14ac:dyDescent="0.2">
      <c r="A115" s="90" t="s">
        <v>416</v>
      </c>
      <c r="B115" s="91" t="s">
        <v>35</v>
      </c>
      <c r="C115" s="91" t="s">
        <v>343</v>
      </c>
      <c r="D115" s="91" t="s">
        <v>355</v>
      </c>
      <c r="E115" s="92" t="s">
        <v>419</v>
      </c>
      <c r="F115" s="91" t="s">
        <v>361</v>
      </c>
      <c r="G115" s="91" t="s">
        <v>283</v>
      </c>
      <c r="H115" s="91" t="s">
        <v>13</v>
      </c>
      <c r="I115" s="91" t="s">
        <v>235</v>
      </c>
      <c r="J115" s="92" t="s">
        <v>284</v>
      </c>
      <c r="K115" s="93">
        <v>69</v>
      </c>
      <c r="L115" s="93">
        <f>K115*VLOOKUP(H115,dagsoorttabel1,2,FALSE)</f>
        <v>13.8</v>
      </c>
      <c r="M115" s="94">
        <f>prodnorm106</f>
        <v>0</v>
      </c>
      <c r="N115" s="91" t="s">
        <v>101</v>
      </c>
      <c r="O115" s="26">
        <f>uurtarief106</f>
        <v>0</v>
      </c>
      <c r="P115" s="93" t="e">
        <f>IF(ISBLANK(M115),0,L115/ROUND(M115,4))</f>
        <v>#DIV/0!</v>
      </c>
      <c r="Q115" s="26" t="e">
        <f>ROUND(O115,2)*P115</f>
        <v>#DIV/0!</v>
      </c>
      <c r="R115" s="93" t="e">
        <f>P115*dagenperjaar1</f>
        <v>#DIV/0!</v>
      </c>
      <c r="S115" s="27" t="e">
        <f>R115*ROUND(O115,2)</f>
        <v>#DIV/0!</v>
      </c>
    </row>
    <row r="116" spans="1:19" x14ac:dyDescent="0.2">
      <c r="A116" s="90" t="s">
        <v>416</v>
      </c>
      <c r="B116" s="91" t="s">
        <v>35</v>
      </c>
      <c r="C116" s="91" t="s">
        <v>343</v>
      </c>
      <c r="D116" s="91" t="s">
        <v>379</v>
      </c>
      <c r="E116" s="92" t="s">
        <v>441</v>
      </c>
      <c r="F116" s="91" t="s">
        <v>361</v>
      </c>
      <c r="G116" s="91" t="s">
        <v>298</v>
      </c>
      <c r="H116" s="91" t="s">
        <v>13</v>
      </c>
      <c r="I116" s="91" t="s">
        <v>235</v>
      </c>
      <c r="J116" s="92" t="s">
        <v>299</v>
      </c>
      <c r="K116" s="93">
        <v>7</v>
      </c>
      <c r="L116" s="93">
        <f>K116*VLOOKUP(H116,dagsoorttabel1,2,FALSE)</f>
        <v>1.4000000000000001</v>
      </c>
      <c r="M116" s="94">
        <f>prodnorm124</f>
        <v>0</v>
      </c>
      <c r="N116" s="91" t="s">
        <v>101</v>
      </c>
      <c r="O116" s="26">
        <f>uurtarief124</f>
        <v>0</v>
      </c>
      <c r="P116" s="93" t="e">
        <f>IF(ISBLANK(M116),0,L116/ROUND(M116,4))</f>
        <v>#DIV/0!</v>
      </c>
      <c r="Q116" s="26" t="e">
        <f>ROUND(O116,2)*P116</f>
        <v>#DIV/0!</v>
      </c>
      <c r="R116" s="93" t="e">
        <f>P116*dagenperjaar1</f>
        <v>#DIV/0!</v>
      </c>
      <c r="S116" s="27" t="e">
        <f>R116*ROUND(O116,2)</f>
        <v>#DIV/0!</v>
      </c>
    </row>
    <row r="117" spans="1:19" x14ac:dyDescent="0.2">
      <c r="A117" s="90" t="s">
        <v>416</v>
      </c>
      <c r="B117" s="91" t="s">
        <v>35</v>
      </c>
      <c r="C117" s="91" t="s">
        <v>343</v>
      </c>
      <c r="D117" s="91" t="s">
        <v>406</v>
      </c>
      <c r="E117" s="92" t="s">
        <v>442</v>
      </c>
      <c r="F117" s="91" t="s">
        <v>443</v>
      </c>
      <c r="G117" s="91" t="s">
        <v>279</v>
      </c>
      <c r="H117" s="91" t="s">
        <v>13</v>
      </c>
      <c r="I117" s="91" t="s">
        <v>235</v>
      </c>
      <c r="J117" s="92" t="s">
        <v>280</v>
      </c>
      <c r="K117" s="93">
        <v>7.55</v>
      </c>
      <c r="L117" s="93">
        <f>K117*VLOOKUP(H117,dagsoorttabel1,2,FALSE)</f>
        <v>1.51</v>
      </c>
      <c r="M117" s="94">
        <f>prodnorm100</f>
        <v>0</v>
      </c>
      <c r="N117" s="91" t="s">
        <v>101</v>
      </c>
      <c r="O117" s="26">
        <f>uurtarief100</f>
        <v>0</v>
      </c>
      <c r="P117" s="93" t="e">
        <f>IF(ISBLANK(M117),0,L117/ROUND(M117,4))</f>
        <v>#DIV/0!</v>
      </c>
      <c r="Q117" s="26" t="e">
        <f>ROUND(O117,2)*P117</f>
        <v>#DIV/0!</v>
      </c>
      <c r="R117" s="93" t="e">
        <f>P117*dagenperjaar1</f>
        <v>#DIV/0!</v>
      </c>
      <c r="S117" s="27" t="e">
        <f>R117*ROUND(O117,2)</f>
        <v>#DIV/0!</v>
      </c>
    </row>
    <row r="118" spans="1:19" x14ac:dyDescent="0.2">
      <c r="A118" s="90" t="s">
        <v>416</v>
      </c>
      <c r="B118" s="91" t="s">
        <v>35</v>
      </c>
      <c r="C118" s="91" t="s">
        <v>343</v>
      </c>
      <c r="D118" s="91" t="s">
        <v>407</v>
      </c>
      <c r="E118" s="92" t="s">
        <v>444</v>
      </c>
      <c r="F118" s="91" t="s">
        <v>443</v>
      </c>
      <c r="G118" s="91" t="s">
        <v>279</v>
      </c>
      <c r="H118" s="91" t="s">
        <v>13</v>
      </c>
      <c r="I118" s="91" t="s">
        <v>235</v>
      </c>
      <c r="J118" s="92" t="s">
        <v>280</v>
      </c>
      <c r="K118" s="93">
        <v>7.55</v>
      </c>
      <c r="L118" s="93">
        <f>K118*VLOOKUP(H118,dagsoorttabel1,2,FALSE)</f>
        <v>1.51</v>
      </c>
      <c r="M118" s="94">
        <f>prodnorm100</f>
        <v>0</v>
      </c>
      <c r="N118" s="91" t="s">
        <v>101</v>
      </c>
      <c r="O118" s="26">
        <f>uurtarief100</f>
        <v>0</v>
      </c>
      <c r="P118" s="93" t="e">
        <f>IF(ISBLANK(M118),0,L118/ROUND(M118,4))</f>
        <v>#DIV/0!</v>
      </c>
      <c r="Q118" s="26" t="e">
        <f>ROUND(O118,2)*P118</f>
        <v>#DIV/0!</v>
      </c>
      <c r="R118" s="93" t="e">
        <f>P118*dagenperjaar1</f>
        <v>#DIV/0!</v>
      </c>
      <c r="S118" s="27" t="e">
        <f>R118*ROUND(O118,2)</f>
        <v>#DIV/0!</v>
      </c>
    </row>
    <row r="119" spans="1:19" x14ac:dyDescent="0.2">
      <c r="A119" s="90" t="s">
        <v>416</v>
      </c>
      <c r="B119" s="91" t="s">
        <v>35</v>
      </c>
      <c r="C119" s="91" t="s">
        <v>343</v>
      </c>
      <c r="D119" s="91" t="s">
        <v>408</v>
      </c>
      <c r="E119" s="92" t="s">
        <v>421</v>
      </c>
      <c r="F119" s="91" t="s">
        <v>387</v>
      </c>
      <c r="G119" s="91" t="s">
        <v>239</v>
      </c>
      <c r="H119" s="91" t="s">
        <v>13</v>
      </c>
      <c r="I119" s="91" t="s">
        <v>235</v>
      </c>
      <c r="J119" s="92" t="s">
        <v>240</v>
      </c>
      <c r="K119" s="93">
        <v>21.3</v>
      </c>
      <c r="L119" s="93">
        <f>K119*VLOOKUP(H119,dagsoorttabel1,2,FALSE)</f>
        <v>4.2600000000000007</v>
      </c>
      <c r="M119" s="94">
        <f>prodnorm53</f>
        <v>0</v>
      </c>
      <c r="N119" s="91" t="s">
        <v>101</v>
      </c>
      <c r="O119" s="26">
        <f>uurtarief53</f>
        <v>0</v>
      </c>
      <c r="P119" s="93" t="e">
        <f>IF(ISBLANK(M119),0,L119/ROUND(M119,4))</f>
        <v>#DIV/0!</v>
      </c>
      <c r="Q119" s="26" t="e">
        <f>ROUND(O119,2)*P119</f>
        <v>#DIV/0!</v>
      </c>
      <c r="R119" s="93" t="e">
        <f>P119*dagenperjaar1</f>
        <v>#DIV/0!</v>
      </c>
      <c r="S119" s="27" t="e">
        <f>R119*ROUND(O119,2)</f>
        <v>#DIV/0!</v>
      </c>
    </row>
    <row r="120" spans="1:19" x14ac:dyDescent="0.2">
      <c r="A120" s="96" t="s">
        <v>416</v>
      </c>
      <c r="B120" s="97" t="s">
        <v>35</v>
      </c>
      <c r="C120" s="97" t="s">
        <v>343</v>
      </c>
      <c r="D120" s="97" t="s">
        <v>409</v>
      </c>
      <c r="E120" s="98" t="s">
        <v>421</v>
      </c>
      <c r="F120" s="97" t="s">
        <v>387</v>
      </c>
      <c r="G120" s="97" t="s">
        <v>239</v>
      </c>
      <c r="H120" s="97" t="s">
        <v>13</v>
      </c>
      <c r="I120" s="97" t="s">
        <v>235</v>
      </c>
      <c r="J120" s="98" t="s">
        <v>240</v>
      </c>
      <c r="K120" s="99">
        <v>38</v>
      </c>
      <c r="L120" s="99">
        <f>K120*VLOOKUP(H120,dagsoorttabel1,2,FALSE)</f>
        <v>7.6000000000000005</v>
      </c>
      <c r="M120" s="100">
        <f>prodnorm53</f>
        <v>0</v>
      </c>
      <c r="N120" s="97" t="s">
        <v>101</v>
      </c>
      <c r="O120" s="36">
        <f>uurtarief53</f>
        <v>0</v>
      </c>
      <c r="P120" s="99" t="e">
        <f>IF(ISBLANK(M120),0,L120/ROUND(M120,4))</f>
        <v>#DIV/0!</v>
      </c>
      <c r="Q120" s="36" t="e">
        <f>ROUND(O120,2)*P120</f>
        <v>#DIV/0!</v>
      </c>
      <c r="R120" s="99" t="e">
        <f>P120*dagenperjaar1</f>
        <v>#DIV/0!</v>
      </c>
      <c r="S120" s="37" t="e">
        <f>R120*ROUND(O120,2)</f>
        <v>#DIV/0!</v>
      </c>
    </row>
    <row r="121" spans="1:19" x14ac:dyDescent="0.2">
      <c r="A121" s="101" t="s">
        <v>356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6" t="e">
        <f>IF(_xlfn.SINGLE(object4_urenjaar1)&gt;0,_xlfn.SINGLE(object4_prijsjaar1)/_xlfn.SINGLE(object4_urenjaar1),0)</f>
        <v>#DIV/0!</v>
      </c>
      <c r="P121" s="75" t="e">
        <f>SUM(P91:P120)</f>
        <v>#DIV/0!</v>
      </c>
      <c r="Q121" s="76" t="e">
        <f>SUM(Q91:Q120)</f>
        <v>#DIV/0!</v>
      </c>
      <c r="R121" s="75" t="e">
        <f>SUM(R91:R120)</f>
        <v>#DIV/0!</v>
      </c>
      <c r="S121" s="77" t="e">
        <f>SUM(S91:S120)</f>
        <v>#DIV/0!</v>
      </c>
    </row>
    <row r="122" spans="1:19" x14ac:dyDescent="0.2">
      <c r="A122" s="82" t="s">
        <v>445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72"/>
    </row>
    <row r="123" spans="1:19" x14ac:dyDescent="0.2">
      <c r="A123" s="83" t="s">
        <v>446</v>
      </c>
      <c r="B123" s="84" t="s">
        <v>35</v>
      </c>
      <c r="C123" s="84" t="s">
        <v>313</v>
      </c>
      <c r="D123" s="84" t="s">
        <v>314</v>
      </c>
      <c r="E123" s="85" t="s">
        <v>447</v>
      </c>
      <c r="F123" s="84" t="s">
        <v>387</v>
      </c>
      <c r="G123" s="84" t="s">
        <v>241</v>
      </c>
      <c r="H123" s="84" t="s">
        <v>13</v>
      </c>
      <c r="I123" s="84" t="s">
        <v>235</v>
      </c>
      <c r="J123" s="85" t="s">
        <v>242</v>
      </c>
      <c r="K123" s="86">
        <v>20</v>
      </c>
      <c r="L123" s="86">
        <f>K123*VLOOKUP(H123,dagsoorttabel1,2,FALSE)</f>
        <v>4</v>
      </c>
      <c r="M123" s="87">
        <f>prodnorm56</f>
        <v>0</v>
      </c>
      <c r="N123" s="84" t="s">
        <v>101</v>
      </c>
      <c r="O123" s="88">
        <f>uurtarief56</f>
        <v>0</v>
      </c>
      <c r="P123" s="86" t="e">
        <f>IF(ISBLANK(M123),0,L123/ROUND(M123,4))</f>
        <v>#DIV/0!</v>
      </c>
      <c r="Q123" s="88" t="e">
        <f>ROUND(O123,2)*P123</f>
        <v>#DIV/0!</v>
      </c>
      <c r="R123" s="86" t="e">
        <f>P123*dagenperjaar1</f>
        <v>#DIV/0!</v>
      </c>
      <c r="S123" s="89" t="e">
        <f>R123*ROUND(O123,2)</f>
        <v>#DIV/0!</v>
      </c>
    </row>
    <row r="124" spans="1:19" ht="25.2" x14ac:dyDescent="0.2">
      <c r="A124" s="90" t="s">
        <v>446</v>
      </c>
      <c r="B124" s="91" t="s">
        <v>35</v>
      </c>
      <c r="C124" s="91" t="s">
        <v>313</v>
      </c>
      <c r="D124" s="91" t="s">
        <v>317</v>
      </c>
      <c r="E124" s="92" t="s">
        <v>410</v>
      </c>
      <c r="F124" s="91" t="s">
        <v>387</v>
      </c>
      <c r="G124" s="91" t="s">
        <v>250</v>
      </c>
      <c r="H124" s="91" t="s">
        <v>12</v>
      </c>
      <c r="I124" s="91" t="s">
        <v>235</v>
      </c>
      <c r="J124" s="92" t="s">
        <v>251</v>
      </c>
      <c r="K124" s="93">
        <v>24</v>
      </c>
      <c r="L124" s="93">
        <f>K124*VLOOKUP(H124,dagsoorttabel1,2,FALSE)</f>
        <v>9.6000000000000014</v>
      </c>
      <c r="M124" s="94">
        <f>prodnorm65</f>
        <v>0</v>
      </c>
      <c r="N124" s="91" t="s">
        <v>101</v>
      </c>
      <c r="O124" s="26">
        <f>uurtarief65</f>
        <v>0</v>
      </c>
      <c r="P124" s="93" t="e">
        <f>IF(ISBLANK(M124),0,L124/ROUND(M124,4))</f>
        <v>#DIV/0!</v>
      </c>
      <c r="Q124" s="26" t="e">
        <f>ROUND(O124,2)*P124</f>
        <v>#DIV/0!</v>
      </c>
      <c r="R124" s="93" t="e">
        <f>P124*dagenperjaar1</f>
        <v>#DIV/0!</v>
      </c>
      <c r="S124" s="27" t="e">
        <f>R124*ROUND(O124,2)</f>
        <v>#DIV/0!</v>
      </c>
    </row>
    <row r="125" spans="1:19" x14ac:dyDescent="0.2">
      <c r="A125" s="90" t="s">
        <v>446</v>
      </c>
      <c r="B125" s="91" t="s">
        <v>35</v>
      </c>
      <c r="C125" s="91" t="s">
        <v>313</v>
      </c>
      <c r="D125" s="91" t="s">
        <v>320</v>
      </c>
      <c r="E125" s="92" t="s">
        <v>315</v>
      </c>
      <c r="F125" s="91" t="s">
        <v>387</v>
      </c>
      <c r="G125" s="91" t="s">
        <v>289</v>
      </c>
      <c r="H125" s="91" t="s">
        <v>12</v>
      </c>
      <c r="I125" s="91" t="s">
        <v>235</v>
      </c>
      <c r="J125" s="92" t="s">
        <v>290</v>
      </c>
      <c r="K125" s="93">
        <v>6.44</v>
      </c>
      <c r="L125" s="93">
        <f>K125*VLOOKUP(H125,dagsoorttabel1,2,FALSE)</f>
        <v>2.5760000000000005</v>
      </c>
      <c r="M125" s="94">
        <f>prodnorm114</f>
        <v>0</v>
      </c>
      <c r="N125" s="91" t="s">
        <v>101</v>
      </c>
      <c r="O125" s="26">
        <f>uurtarief114</f>
        <v>0</v>
      </c>
      <c r="P125" s="93" t="e">
        <f>IF(ISBLANK(M125),0,L125/ROUND(M125,4))</f>
        <v>#DIV/0!</v>
      </c>
      <c r="Q125" s="26" t="e">
        <f>ROUND(O125,2)*P125</f>
        <v>#DIV/0!</v>
      </c>
      <c r="R125" s="93" t="e">
        <f>P125*dagenperjaar1</f>
        <v>#DIV/0!</v>
      </c>
      <c r="S125" s="27" t="e">
        <f>R125*ROUND(O125,2)</f>
        <v>#DIV/0!</v>
      </c>
    </row>
    <row r="126" spans="1:19" x14ac:dyDescent="0.2">
      <c r="A126" s="90" t="s">
        <v>446</v>
      </c>
      <c r="B126" s="91" t="s">
        <v>35</v>
      </c>
      <c r="C126" s="91" t="s">
        <v>313</v>
      </c>
      <c r="D126" s="91" t="s">
        <v>322</v>
      </c>
      <c r="E126" s="92" t="s">
        <v>321</v>
      </c>
      <c r="F126" s="91" t="s">
        <v>387</v>
      </c>
      <c r="G126" s="91" t="s">
        <v>285</v>
      </c>
      <c r="H126" s="91" t="s">
        <v>12</v>
      </c>
      <c r="I126" s="91" t="s">
        <v>235</v>
      </c>
      <c r="J126" s="92" t="s">
        <v>286</v>
      </c>
      <c r="K126" s="93">
        <v>22.55</v>
      </c>
      <c r="L126" s="93">
        <f>K126*VLOOKUP(H126,dagsoorttabel1,2,FALSE)</f>
        <v>9.0200000000000014</v>
      </c>
      <c r="M126" s="94">
        <f>prodnorm110</f>
        <v>0</v>
      </c>
      <c r="N126" s="91" t="s">
        <v>101</v>
      </c>
      <c r="O126" s="26">
        <f>uurtarief110</f>
        <v>0</v>
      </c>
      <c r="P126" s="93" t="e">
        <f>IF(ISBLANK(M126),0,L126/ROUND(M126,4))</f>
        <v>#DIV/0!</v>
      </c>
      <c r="Q126" s="26" t="e">
        <f>ROUND(O126,2)*P126</f>
        <v>#DIV/0!</v>
      </c>
      <c r="R126" s="93" t="e">
        <f>P126*dagenperjaar1</f>
        <v>#DIV/0!</v>
      </c>
      <c r="S126" s="27" t="e">
        <f>R126*ROUND(O126,2)</f>
        <v>#DIV/0!</v>
      </c>
    </row>
    <row r="127" spans="1:19" x14ac:dyDescent="0.2">
      <c r="A127" s="90" t="s">
        <v>446</v>
      </c>
      <c r="B127" s="91" t="s">
        <v>35</v>
      </c>
      <c r="C127" s="91" t="s">
        <v>313</v>
      </c>
      <c r="D127" s="91" t="s">
        <v>324</v>
      </c>
      <c r="E127" s="92" t="s">
        <v>318</v>
      </c>
      <c r="F127" s="91" t="s">
        <v>390</v>
      </c>
      <c r="G127" s="91" t="s">
        <v>298</v>
      </c>
      <c r="H127" s="91" t="s">
        <v>12</v>
      </c>
      <c r="I127" s="91" t="s">
        <v>235</v>
      </c>
      <c r="J127" s="92" t="s">
        <v>299</v>
      </c>
      <c r="K127" s="93">
        <v>4.75</v>
      </c>
      <c r="L127" s="93">
        <f>K127*VLOOKUP(H127,dagsoorttabel1,2,FALSE)</f>
        <v>1.9000000000000001</v>
      </c>
      <c r="M127" s="94">
        <f>prodnorm125</f>
        <v>0</v>
      </c>
      <c r="N127" s="91" t="s">
        <v>101</v>
      </c>
      <c r="O127" s="26">
        <f>uurtarief125</f>
        <v>0</v>
      </c>
      <c r="P127" s="93" t="e">
        <f>IF(ISBLANK(M127),0,L127/ROUND(M127,4))</f>
        <v>#DIV/0!</v>
      </c>
      <c r="Q127" s="26" t="e">
        <f>ROUND(O127,2)*P127</f>
        <v>#DIV/0!</v>
      </c>
      <c r="R127" s="93" t="e">
        <f>P127*dagenperjaar1</f>
        <v>#DIV/0!</v>
      </c>
      <c r="S127" s="27" t="e">
        <f>R127*ROUND(O127,2)</f>
        <v>#DIV/0!</v>
      </c>
    </row>
    <row r="128" spans="1:19" x14ac:dyDescent="0.2">
      <c r="A128" s="90" t="s">
        <v>446</v>
      </c>
      <c r="B128" s="91" t="s">
        <v>35</v>
      </c>
      <c r="C128" s="91" t="s">
        <v>313</v>
      </c>
      <c r="D128" s="91" t="s">
        <v>325</v>
      </c>
      <c r="E128" s="92" t="s">
        <v>447</v>
      </c>
      <c r="F128" s="91" t="s">
        <v>387</v>
      </c>
      <c r="G128" s="91" t="s">
        <v>241</v>
      </c>
      <c r="H128" s="91" t="s">
        <v>13</v>
      </c>
      <c r="I128" s="91" t="s">
        <v>235</v>
      </c>
      <c r="J128" s="92" t="s">
        <v>242</v>
      </c>
      <c r="K128" s="93">
        <v>17.100000000000001</v>
      </c>
      <c r="L128" s="93">
        <f>K128*VLOOKUP(H128,dagsoorttabel1,2,FALSE)</f>
        <v>3.4200000000000004</v>
      </c>
      <c r="M128" s="94">
        <f>prodnorm56</f>
        <v>0</v>
      </c>
      <c r="N128" s="91" t="s">
        <v>101</v>
      </c>
      <c r="O128" s="26">
        <f>uurtarief56</f>
        <v>0</v>
      </c>
      <c r="P128" s="93" t="e">
        <f>IF(ISBLANK(M128),0,L128/ROUND(M128,4))</f>
        <v>#DIV/0!</v>
      </c>
      <c r="Q128" s="26" t="e">
        <f>ROUND(O128,2)*P128</f>
        <v>#DIV/0!</v>
      </c>
      <c r="R128" s="93" t="e">
        <f>P128*dagenperjaar1</f>
        <v>#DIV/0!</v>
      </c>
      <c r="S128" s="27" t="e">
        <f>R128*ROUND(O128,2)</f>
        <v>#DIV/0!</v>
      </c>
    </row>
    <row r="129" spans="1:19" x14ac:dyDescent="0.2">
      <c r="A129" s="90" t="s">
        <v>446</v>
      </c>
      <c r="B129" s="91" t="s">
        <v>35</v>
      </c>
      <c r="C129" s="91" t="s">
        <v>313</v>
      </c>
      <c r="D129" s="91" t="s">
        <v>327</v>
      </c>
      <c r="E129" s="92" t="s">
        <v>447</v>
      </c>
      <c r="F129" s="91" t="s">
        <v>387</v>
      </c>
      <c r="G129" s="91" t="s">
        <v>241</v>
      </c>
      <c r="H129" s="91" t="s">
        <v>13</v>
      </c>
      <c r="I129" s="91" t="s">
        <v>235</v>
      </c>
      <c r="J129" s="92" t="s">
        <v>242</v>
      </c>
      <c r="K129" s="93">
        <v>18</v>
      </c>
      <c r="L129" s="93">
        <f>K129*VLOOKUP(H129,dagsoorttabel1,2,FALSE)</f>
        <v>3.6</v>
      </c>
      <c r="M129" s="94">
        <f>prodnorm56</f>
        <v>0</v>
      </c>
      <c r="N129" s="91" t="s">
        <v>101</v>
      </c>
      <c r="O129" s="26">
        <f>uurtarief56</f>
        <v>0</v>
      </c>
      <c r="P129" s="93" t="e">
        <f>IF(ISBLANK(M129),0,L129/ROUND(M129,4))</f>
        <v>#DIV/0!</v>
      </c>
      <c r="Q129" s="26" t="e">
        <f>ROUND(O129,2)*P129</f>
        <v>#DIV/0!</v>
      </c>
      <c r="R129" s="93" t="e">
        <f>P129*dagenperjaar1</f>
        <v>#DIV/0!</v>
      </c>
      <c r="S129" s="27" t="e">
        <f>R129*ROUND(O129,2)</f>
        <v>#DIV/0!</v>
      </c>
    </row>
    <row r="130" spans="1:19" x14ac:dyDescent="0.2">
      <c r="A130" s="90" t="s">
        <v>446</v>
      </c>
      <c r="B130" s="91" t="s">
        <v>35</v>
      </c>
      <c r="C130" s="91" t="s">
        <v>313</v>
      </c>
      <c r="D130" s="91" t="s">
        <v>330</v>
      </c>
      <c r="E130" s="92" t="s">
        <v>448</v>
      </c>
      <c r="F130" s="91" t="s">
        <v>316</v>
      </c>
      <c r="G130" s="91" t="s">
        <v>279</v>
      </c>
      <c r="H130" s="91" t="s">
        <v>12</v>
      </c>
      <c r="I130" s="91" t="s">
        <v>235</v>
      </c>
      <c r="J130" s="92" t="s">
        <v>280</v>
      </c>
      <c r="K130" s="93">
        <v>4.4000000000000004</v>
      </c>
      <c r="L130" s="93">
        <f>K130*VLOOKUP(H130,dagsoorttabel1,2,FALSE)</f>
        <v>1.7600000000000002</v>
      </c>
      <c r="M130" s="94">
        <f>prodnorm101</f>
        <v>0</v>
      </c>
      <c r="N130" s="91" t="s">
        <v>101</v>
      </c>
      <c r="O130" s="26">
        <f>uurtarief101</f>
        <v>0</v>
      </c>
      <c r="P130" s="93" t="e">
        <f>IF(ISBLANK(M130),0,L130/ROUND(M130,4))</f>
        <v>#DIV/0!</v>
      </c>
      <c r="Q130" s="26" t="e">
        <f>ROUND(O130,2)*P130</f>
        <v>#DIV/0!</v>
      </c>
      <c r="R130" s="93" t="e">
        <f>P130*dagenperjaar1</f>
        <v>#DIV/0!</v>
      </c>
      <c r="S130" s="27" t="e">
        <f>R130*ROUND(O130,2)</f>
        <v>#DIV/0!</v>
      </c>
    </row>
    <row r="131" spans="1:19" x14ac:dyDescent="0.2">
      <c r="A131" s="90" t="s">
        <v>446</v>
      </c>
      <c r="B131" s="91" t="s">
        <v>35</v>
      </c>
      <c r="C131" s="91" t="s">
        <v>313</v>
      </c>
      <c r="D131" s="91" t="s">
        <v>332</v>
      </c>
      <c r="E131" s="92" t="s">
        <v>449</v>
      </c>
      <c r="F131" s="91" t="s">
        <v>316</v>
      </c>
      <c r="G131" s="91" t="s">
        <v>281</v>
      </c>
      <c r="H131" s="91" t="s">
        <v>12</v>
      </c>
      <c r="I131" s="91" t="s">
        <v>235</v>
      </c>
      <c r="J131" s="92" t="s">
        <v>282</v>
      </c>
      <c r="K131" s="93">
        <v>38.299999999999997</v>
      </c>
      <c r="L131" s="93">
        <f>K131*VLOOKUP(H131,dagsoorttabel1,2,FALSE)</f>
        <v>15.32</v>
      </c>
      <c r="M131" s="94">
        <f>prodnorm105</f>
        <v>0</v>
      </c>
      <c r="N131" s="91" t="s">
        <v>101</v>
      </c>
      <c r="O131" s="26">
        <f>uurtarief105</f>
        <v>0</v>
      </c>
      <c r="P131" s="93" t="e">
        <f>IF(ISBLANK(M131),0,L131/ROUND(M131,4))</f>
        <v>#DIV/0!</v>
      </c>
      <c r="Q131" s="26" t="e">
        <f>ROUND(O131,2)*P131</f>
        <v>#DIV/0!</v>
      </c>
      <c r="R131" s="93" t="e">
        <f>P131*dagenperjaar1</f>
        <v>#DIV/0!</v>
      </c>
      <c r="S131" s="27" t="e">
        <f>R131*ROUND(O131,2)</f>
        <v>#DIV/0!</v>
      </c>
    </row>
    <row r="132" spans="1:19" x14ac:dyDescent="0.2">
      <c r="A132" s="90" t="s">
        <v>446</v>
      </c>
      <c r="B132" s="91" t="s">
        <v>35</v>
      </c>
      <c r="C132" s="91" t="s">
        <v>313</v>
      </c>
      <c r="D132" s="91" t="s">
        <v>334</v>
      </c>
      <c r="E132" s="92" t="s">
        <v>366</v>
      </c>
      <c r="F132" s="91" t="s">
        <v>385</v>
      </c>
      <c r="G132" s="91" t="s">
        <v>352</v>
      </c>
      <c r="H132" s="91"/>
      <c r="I132" s="91"/>
      <c r="J132" s="91"/>
      <c r="K132" s="93">
        <v>7.5</v>
      </c>
      <c r="L132" s="93"/>
      <c r="M132" s="94"/>
      <c r="N132" s="91"/>
      <c r="O132" s="26"/>
      <c r="P132" s="93"/>
      <c r="Q132" s="26"/>
      <c r="R132" s="95"/>
      <c r="S132" s="27"/>
    </row>
    <row r="133" spans="1:19" x14ac:dyDescent="0.2">
      <c r="A133" s="90" t="s">
        <v>446</v>
      </c>
      <c r="B133" s="91" t="s">
        <v>35</v>
      </c>
      <c r="C133" s="91" t="s">
        <v>313</v>
      </c>
      <c r="D133" s="91" t="s">
        <v>336</v>
      </c>
      <c r="E133" s="92" t="s">
        <v>450</v>
      </c>
      <c r="F133" s="91" t="s">
        <v>316</v>
      </c>
      <c r="G133" s="91" t="s">
        <v>281</v>
      </c>
      <c r="H133" s="91" t="s">
        <v>12</v>
      </c>
      <c r="I133" s="91" t="s">
        <v>235</v>
      </c>
      <c r="J133" s="92" t="s">
        <v>282</v>
      </c>
      <c r="K133" s="93">
        <v>14.2</v>
      </c>
      <c r="L133" s="93">
        <f>K133*VLOOKUP(H133,dagsoorttabel1,2,FALSE)</f>
        <v>5.68</v>
      </c>
      <c r="M133" s="94">
        <f>prodnorm105</f>
        <v>0</v>
      </c>
      <c r="N133" s="91" t="s">
        <v>101</v>
      </c>
      <c r="O133" s="26">
        <f>uurtarief105</f>
        <v>0</v>
      </c>
      <c r="P133" s="93" t="e">
        <f>IF(ISBLANK(M133),0,L133/ROUND(M133,4))</f>
        <v>#DIV/0!</v>
      </c>
      <c r="Q133" s="26" t="e">
        <f>ROUND(O133,2)*P133</f>
        <v>#DIV/0!</v>
      </c>
      <c r="R133" s="93" t="e">
        <f>P133*dagenperjaar1</f>
        <v>#DIV/0!</v>
      </c>
      <c r="S133" s="27" t="e">
        <f>R133*ROUND(O133,2)</f>
        <v>#DIV/0!</v>
      </c>
    </row>
    <row r="134" spans="1:19" x14ac:dyDescent="0.2">
      <c r="A134" s="90" t="s">
        <v>446</v>
      </c>
      <c r="B134" s="91" t="s">
        <v>35</v>
      </c>
      <c r="C134" s="91" t="s">
        <v>313</v>
      </c>
      <c r="D134" s="91" t="s">
        <v>338</v>
      </c>
      <c r="E134" s="92" t="s">
        <v>380</v>
      </c>
      <c r="F134" s="91" t="s">
        <v>316</v>
      </c>
      <c r="G134" s="91" t="s">
        <v>352</v>
      </c>
      <c r="H134" s="91"/>
      <c r="I134" s="91"/>
      <c r="J134" s="91"/>
      <c r="K134" s="93">
        <v>1.77</v>
      </c>
      <c r="L134" s="93"/>
      <c r="M134" s="94"/>
      <c r="N134" s="91"/>
      <c r="O134" s="26"/>
      <c r="P134" s="93"/>
      <c r="Q134" s="26"/>
      <c r="R134" s="95"/>
      <c r="S134" s="27"/>
    </row>
    <row r="135" spans="1:19" x14ac:dyDescent="0.2">
      <c r="A135" s="90" t="s">
        <v>446</v>
      </c>
      <c r="B135" s="91" t="s">
        <v>35</v>
      </c>
      <c r="C135" s="91" t="s">
        <v>313</v>
      </c>
      <c r="D135" s="91" t="s">
        <v>339</v>
      </c>
      <c r="E135" s="92" t="s">
        <v>451</v>
      </c>
      <c r="F135" s="91" t="s">
        <v>316</v>
      </c>
      <c r="G135" s="91" t="s">
        <v>283</v>
      </c>
      <c r="H135" s="91" t="s">
        <v>12</v>
      </c>
      <c r="I135" s="91" t="s">
        <v>235</v>
      </c>
      <c r="J135" s="92" t="s">
        <v>284</v>
      </c>
      <c r="K135" s="93">
        <v>10.199999999999999</v>
      </c>
      <c r="L135" s="93">
        <f>K135*VLOOKUP(H135,dagsoorttabel1,2,FALSE)</f>
        <v>4.08</v>
      </c>
      <c r="M135" s="94">
        <f>prodnorm107</f>
        <v>0</v>
      </c>
      <c r="N135" s="91" t="s">
        <v>101</v>
      </c>
      <c r="O135" s="26">
        <f>uurtarief107</f>
        <v>0</v>
      </c>
      <c r="P135" s="93" t="e">
        <f>IF(ISBLANK(M135),0,L135/ROUND(M135,4))</f>
        <v>#DIV/0!</v>
      </c>
      <c r="Q135" s="26" t="e">
        <f>ROUND(O135,2)*P135</f>
        <v>#DIV/0!</v>
      </c>
      <c r="R135" s="93" t="e">
        <f>P135*dagenperjaar1</f>
        <v>#DIV/0!</v>
      </c>
      <c r="S135" s="27" t="e">
        <f>R135*ROUND(O135,2)</f>
        <v>#DIV/0!</v>
      </c>
    </row>
    <row r="136" spans="1:19" x14ac:dyDescent="0.2">
      <c r="A136" s="90" t="s">
        <v>446</v>
      </c>
      <c r="B136" s="91" t="s">
        <v>35</v>
      </c>
      <c r="C136" s="91" t="s">
        <v>313</v>
      </c>
      <c r="D136" s="91" t="s">
        <v>341</v>
      </c>
      <c r="E136" s="92" t="s">
        <v>370</v>
      </c>
      <c r="F136" s="91" t="s">
        <v>385</v>
      </c>
      <c r="G136" s="91" t="s">
        <v>252</v>
      </c>
      <c r="H136" s="91" t="s">
        <v>21</v>
      </c>
      <c r="I136" s="91" t="s">
        <v>235</v>
      </c>
      <c r="J136" s="92" t="s">
        <v>253</v>
      </c>
      <c r="K136" s="93">
        <v>229.4</v>
      </c>
      <c r="L136" s="93">
        <f>K136*VLOOKUP(H136,dagsoorttabel1,2,FALSE)</f>
        <v>0.88230769230769235</v>
      </c>
      <c r="M136" s="94">
        <f>prodnorm67</f>
        <v>0</v>
      </c>
      <c r="N136" s="91" t="s">
        <v>101</v>
      </c>
      <c r="O136" s="26">
        <f>uurtarief67</f>
        <v>0</v>
      </c>
      <c r="P136" s="93" t="e">
        <f>IF(ISBLANK(M136),0,L136/ROUND(M136,4))</f>
        <v>#DIV/0!</v>
      </c>
      <c r="Q136" s="26" t="e">
        <f>ROUND(O136,2)*P136</f>
        <v>#DIV/0!</v>
      </c>
      <c r="R136" s="93" t="e">
        <f>P136*dagenperjaar1</f>
        <v>#DIV/0!</v>
      </c>
      <c r="S136" s="27" t="e">
        <f>R136*ROUND(O136,2)</f>
        <v>#DIV/0!</v>
      </c>
    </row>
    <row r="137" spans="1:19" x14ac:dyDescent="0.2">
      <c r="A137" s="90" t="s">
        <v>446</v>
      </c>
      <c r="B137" s="91" t="s">
        <v>35</v>
      </c>
      <c r="C137" s="91" t="s">
        <v>313</v>
      </c>
      <c r="D137" s="91" t="s">
        <v>372</v>
      </c>
      <c r="E137" s="92" t="s">
        <v>375</v>
      </c>
      <c r="F137" s="91" t="s">
        <v>385</v>
      </c>
      <c r="G137" s="91" t="s">
        <v>268</v>
      </c>
      <c r="H137" s="91" t="s">
        <v>12</v>
      </c>
      <c r="I137" s="91" t="s">
        <v>235</v>
      </c>
      <c r="J137" s="92" t="s">
        <v>269</v>
      </c>
      <c r="K137" s="93">
        <v>2</v>
      </c>
      <c r="L137" s="93">
        <f>K137*VLOOKUP(H137,dagsoorttabel1,2,FALSE)</f>
        <v>0.8</v>
      </c>
      <c r="M137" s="94">
        <f>prodnorm87</f>
        <v>0</v>
      </c>
      <c r="N137" s="91" t="s">
        <v>101</v>
      </c>
      <c r="O137" s="26">
        <f>uurtarief87</f>
        <v>0</v>
      </c>
      <c r="P137" s="93" t="e">
        <f>IF(ISBLANK(M137),0,L137/ROUND(M137,4))</f>
        <v>#DIV/0!</v>
      </c>
      <c r="Q137" s="26" t="e">
        <f>ROUND(O137,2)*P137</f>
        <v>#DIV/0!</v>
      </c>
      <c r="R137" s="93" t="e">
        <f>P137*dagenperjaar1</f>
        <v>#DIV/0!</v>
      </c>
      <c r="S137" s="27" t="e">
        <f>R137*ROUND(O137,2)</f>
        <v>#DIV/0!</v>
      </c>
    </row>
    <row r="138" spans="1:19" x14ac:dyDescent="0.2">
      <c r="A138" s="90" t="s">
        <v>446</v>
      </c>
      <c r="B138" s="91" t="s">
        <v>35</v>
      </c>
      <c r="C138" s="91" t="s">
        <v>313</v>
      </c>
      <c r="D138" s="91" t="s">
        <v>391</v>
      </c>
      <c r="E138" s="92" t="s">
        <v>342</v>
      </c>
      <c r="F138" s="91" t="s">
        <v>385</v>
      </c>
      <c r="G138" s="91" t="s">
        <v>252</v>
      </c>
      <c r="H138" s="91" t="s">
        <v>21</v>
      </c>
      <c r="I138" s="91" t="s">
        <v>235</v>
      </c>
      <c r="J138" s="92" t="s">
        <v>253</v>
      </c>
      <c r="K138" s="93">
        <v>33.68</v>
      </c>
      <c r="L138" s="93">
        <f>K138*VLOOKUP(H138,dagsoorttabel1,2,FALSE)</f>
        <v>0.12953846153846155</v>
      </c>
      <c r="M138" s="94">
        <f>prodnorm67</f>
        <v>0</v>
      </c>
      <c r="N138" s="91" t="s">
        <v>101</v>
      </c>
      <c r="O138" s="26">
        <f>uurtarief67</f>
        <v>0</v>
      </c>
      <c r="P138" s="93" t="e">
        <f>IF(ISBLANK(M138),0,L138/ROUND(M138,4))</f>
        <v>#DIV/0!</v>
      </c>
      <c r="Q138" s="26" t="e">
        <f>ROUND(O138,2)*P138</f>
        <v>#DIV/0!</v>
      </c>
      <c r="R138" s="93" t="e">
        <f>P138*dagenperjaar1</f>
        <v>#DIV/0!</v>
      </c>
      <c r="S138" s="27" t="e">
        <f>R138*ROUND(O138,2)</f>
        <v>#DIV/0!</v>
      </c>
    </row>
    <row r="139" spans="1:19" x14ac:dyDescent="0.2">
      <c r="A139" s="90" t="s">
        <v>446</v>
      </c>
      <c r="B139" s="91" t="s">
        <v>35</v>
      </c>
      <c r="C139" s="91" t="s">
        <v>313</v>
      </c>
      <c r="D139" s="91" t="s">
        <v>392</v>
      </c>
      <c r="E139" s="92" t="s">
        <v>351</v>
      </c>
      <c r="F139" s="91" t="s">
        <v>385</v>
      </c>
      <c r="G139" s="91" t="s">
        <v>352</v>
      </c>
      <c r="H139" s="91"/>
      <c r="I139" s="91"/>
      <c r="J139" s="91"/>
      <c r="K139" s="93">
        <v>20.7</v>
      </c>
      <c r="L139" s="93"/>
      <c r="M139" s="94"/>
      <c r="N139" s="91"/>
      <c r="O139" s="26"/>
      <c r="P139" s="93"/>
      <c r="Q139" s="26"/>
      <c r="R139" s="95"/>
      <c r="S139" s="27"/>
    </row>
    <row r="140" spans="1:19" x14ac:dyDescent="0.2">
      <c r="A140" s="90" t="s">
        <v>446</v>
      </c>
      <c r="B140" s="91" t="s">
        <v>35</v>
      </c>
      <c r="C140" s="91" t="s">
        <v>313</v>
      </c>
      <c r="D140" s="91" t="s">
        <v>393</v>
      </c>
      <c r="E140" s="92" t="s">
        <v>452</v>
      </c>
      <c r="F140" s="91" t="s">
        <v>385</v>
      </c>
      <c r="G140" s="91" t="s">
        <v>352</v>
      </c>
      <c r="H140" s="91"/>
      <c r="I140" s="91"/>
      <c r="J140" s="91"/>
      <c r="K140" s="93">
        <v>10.6</v>
      </c>
      <c r="L140" s="93"/>
      <c r="M140" s="94"/>
      <c r="N140" s="91"/>
      <c r="O140" s="26"/>
      <c r="P140" s="93"/>
      <c r="Q140" s="26"/>
      <c r="R140" s="95"/>
      <c r="S140" s="27"/>
    </row>
    <row r="141" spans="1:19" ht="25.2" x14ac:dyDescent="0.2">
      <c r="A141" s="90" t="s">
        <v>446</v>
      </c>
      <c r="B141" s="91" t="s">
        <v>35</v>
      </c>
      <c r="C141" s="91" t="s">
        <v>313</v>
      </c>
      <c r="D141" s="91" t="s">
        <v>394</v>
      </c>
      <c r="E141" s="92" t="s">
        <v>369</v>
      </c>
      <c r="F141" s="91" t="s">
        <v>316</v>
      </c>
      <c r="G141" s="91" t="s">
        <v>293</v>
      </c>
      <c r="H141" s="91" t="s">
        <v>21</v>
      </c>
      <c r="I141" s="91" t="s">
        <v>235</v>
      </c>
      <c r="J141" s="92" t="s">
        <v>294</v>
      </c>
      <c r="K141" s="93">
        <v>13.4</v>
      </c>
      <c r="L141" s="93">
        <f>K141*VLOOKUP(H141,dagsoorttabel1,2,FALSE)</f>
        <v>5.153846153846154E-2</v>
      </c>
      <c r="M141" s="94">
        <f>prodnorm118</f>
        <v>0</v>
      </c>
      <c r="N141" s="91" t="s">
        <v>101</v>
      </c>
      <c r="O141" s="26">
        <f>uurtarief118</f>
        <v>0</v>
      </c>
      <c r="P141" s="93" t="e">
        <f>IF(ISBLANK(M141),0,L141/ROUND(M141,4))</f>
        <v>#DIV/0!</v>
      </c>
      <c r="Q141" s="26" t="e">
        <f>ROUND(O141,2)*P141</f>
        <v>#DIV/0!</v>
      </c>
      <c r="R141" s="93" t="e">
        <f>P141*dagenperjaar1</f>
        <v>#DIV/0!</v>
      </c>
      <c r="S141" s="27" t="e">
        <f>R141*ROUND(O141,2)</f>
        <v>#DIV/0!</v>
      </c>
    </row>
    <row r="142" spans="1:19" x14ac:dyDescent="0.2">
      <c r="A142" s="90" t="s">
        <v>446</v>
      </c>
      <c r="B142" s="91" t="s">
        <v>35</v>
      </c>
      <c r="C142" s="91" t="s">
        <v>313</v>
      </c>
      <c r="D142" s="91" t="s">
        <v>395</v>
      </c>
      <c r="E142" s="92" t="s">
        <v>453</v>
      </c>
      <c r="F142" s="91" t="s">
        <v>390</v>
      </c>
      <c r="G142" s="91" t="s">
        <v>270</v>
      </c>
      <c r="H142" s="91" t="s">
        <v>13</v>
      </c>
      <c r="I142" s="91" t="s">
        <v>235</v>
      </c>
      <c r="J142" s="92" t="s">
        <v>271</v>
      </c>
      <c r="K142" s="93">
        <v>36.6</v>
      </c>
      <c r="L142" s="93">
        <f>K142*VLOOKUP(H142,dagsoorttabel1,2,FALSE)</f>
        <v>7.32</v>
      </c>
      <c r="M142" s="94">
        <f>prodnorm89</f>
        <v>0</v>
      </c>
      <c r="N142" s="91" t="s">
        <v>101</v>
      </c>
      <c r="O142" s="26">
        <f>uurtarief89</f>
        <v>0</v>
      </c>
      <c r="P142" s="93" t="e">
        <f>IF(ISBLANK(M142),0,L142/ROUND(M142,4))</f>
        <v>#DIV/0!</v>
      </c>
      <c r="Q142" s="26" t="e">
        <f>ROUND(O142,2)*P142</f>
        <v>#DIV/0!</v>
      </c>
      <c r="R142" s="93" t="e">
        <f>P142*dagenperjaar1</f>
        <v>#DIV/0!</v>
      </c>
      <c r="S142" s="27" t="e">
        <f>R142*ROUND(O142,2)</f>
        <v>#DIV/0!</v>
      </c>
    </row>
    <row r="143" spans="1:19" x14ac:dyDescent="0.2">
      <c r="A143" s="90" t="s">
        <v>446</v>
      </c>
      <c r="B143" s="91" t="s">
        <v>35</v>
      </c>
      <c r="C143" s="91" t="s">
        <v>313</v>
      </c>
      <c r="D143" s="91" t="s">
        <v>397</v>
      </c>
      <c r="E143" s="92" t="s">
        <v>366</v>
      </c>
      <c r="F143" s="91" t="s">
        <v>316</v>
      </c>
      <c r="G143" s="91" t="s">
        <v>352</v>
      </c>
      <c r="H143" s="91"/>
      <c r="I143" s="91"/>
      <c r="J143" s="91"/>
      <c r="K143" s="93">
        <v>4.1499999999999995</v>
      </c>
      <c r="L143" s="93"/>
      <c r="M143" s="94"/>
      <c r="N143" s="91"/>
      <c r="O143" s="26"/>
      <c r="P143" s="93"/>
      <c r="Q143" s="26"/>
      <c r="R143" s="95"/>
      <c r="S143" s="27"/>
    </row>
    <row r="144" spans="1:19" x14ac:dyDescent="0.2">
      <c r="A144" s="90" t="s">
        <v>446</v>
      </c>
      <c r="B144" s="91" t="s">
        <v>35</v>
      </c>
      <c r="C144" s="91" t="s">
        <v>343</v>
      </c>
      <c r="D144" s="91" t="s">
        <v>344</v>
      </c>
      <c r="E144" s="92" t="s">
        <v>376</v>
      </c>
      <c r="F144" s="91" t="s">
        <v>361</v>
      </c>
      <c r="G144" s="91" t="s">
        <v>283</v>
      </c>
      <c r="H144" s="91" t="s">
        <v>13</v>
      </c>
      <c r="I144" s="91" t="s">
        <v>235</v>
      </c>
      <c r="J144" s="92" t="s">
        <v>284</v>
      </c>
      <c r="K144" s="93">
        <v>2.7600000000000002</v>
      </c>
      <c r="L144" s="93">
        <f>K144*VLOOKUP(H144,dagsoorttabel1,2,FALSE)</f>
        <v>0.55200000000000005</v>
      </c>
      <c r="M144" s="94">
        <f>prodnorm106</f>
        <v>0</v>
      </c>
      <c r="N144" s="91" t="s">
        <v>101</v>
      </c>
      <c r="O144" s="26">
        <f>uurtarief106</f>
        <v>0</v>
      </c>
      <c r="P144" s="93" t="e">
        <f>IF(ISBLANK(M144),0,L144/ROUND(M144,4))</f>
        <v>#DIV/0!</v>
      </c>
      <c r="Q144" s="26" t="e">
        <f>ROUND(O144,2)*P144</f>
        <v>#DIV/0!</v>
      </c>
      <c r="R144" s="93" t="e">
        <f>P144*dagenperjaar1</f>
        <v>#DIV/0!</v>
      </c>
      <c r="S144" s="27" t="e">
        <f>R144*ROUND(O144,2)</f>
        <v>#DIV/0!</v>
      </c>
    </row>
    <row r="145" spans="1:19" x14ac:dyDescent="0.2">
      <c r="A145" s="90" t="s">
        <v>446</v>
      </c>
      <c r="B145" s="91" t="s">
        <v>35</v>
      </c>
      <c r="C145" s="91" t="s">
        <v>343</v>
      </c>
      <c r="D145" s="91" t="s">
        <v>345</v>
      </c>
      <c r="E145" s="92" t="s">
        <v>331</v>
      </c>
      <c r="F145" s="91" t="s">
        <v>316</v>
      </c>
      <c r="G145" s="91" t="s">
        <v>279</v>
      </c>
      <c r="H145" s="91" t="s">
        <v>12</v>
      </c>
      <c r="I145" s="91" t="s">
        <v>235</v>
      </c>
      <c r="J145" s="92" t="s">
        <v>280</v>
      </c>
      <c r="K145" s="93">
        <v>7.5</v>
      </c>
      <c r="L145" s="93">
        <f>K145*VLOOKUP(H145,dagsoorttabel1,2,FALSE)</f>
        <v>3</v>
      </c>
      <c r="M145" s="94">
        <f>prodnorm101</f>
        <v>0</v>
      </c>
      <c r="N145" s="91" t="s">
        <v>101</v>
      </c>
      <c r="O145" s="26">
        <f>uurtarief101</f>
        <v>0</v>
      </c>
      <c r="P145" s="93" t="e">
        <f>IF(ISBLANK(M145),0,L145/ROUND(M145,4))</f>
        <v>#DIV/0!</v>
      </c>
      <c r="Q145" s="26" t="e">
        <f>ROUND(O145,2)*P145</f>
        <v>#DIV/0!</v>
      </c>
      <c r="R145" s="93" t="e">
        <f>P145*dagenperjaar1</f>
        <v>#DIV/0!</v>
      </c>
      <c r="S145" s="27" t="e">
        <f>R145*ROUND(O145,2)</f>
        <v>#DIV/0!</v>
      </c>
    </row>
    <row r="146" spans="1:19" x14ac:dyDescent="0.2">
      <c r="A146" s="90" t="s">
        <v>446</v>
      </c>
      <c r="B146" s="91" t="s">
        <v>35</v>
      </c>
      <c r="C146" s="91" t="s">
        <v>343</v>
      </c>
      <c r="D146" s="91" t="s">
        <v>348</v>
      </c>
      <c r="E146" s="92" t="s">
        <v>404</v>
      </c>
      <c r="F146" s="91" t="s">
        <v>361</v>
      </c>
      <c r="G146" s="91" t="s">
        <v>260</v>
      </c>
      <c r="H146" s="91" t="s">
        <v>12</v>
      </c>
      <c r="I146" s="91" t="s">
        <v>235</v>
      </c>
      <c r="J146" s="92" t="s">
        <v>261</v>
      </c>
      <c r="K146" s="93">
        <v>91.54</v>
      </c>
      <c r="L146" s="93">
        <f>K146*VLOOKUP(H146,dagsoorttabel1,2,FALSE)</f>
        <v>36.616000000000007</v>
      </c>
      <c r="M146" s="94">
        <f>prodnorm76</f>
        <v>0</v>
      </c>
      <c r="N146" s="91" t="s">
        <v>101</v>
      </c>
      <c r="O146" s="26">
        <f>uurtarief76</f>
        <v>0</v>
      </c>
      <c r="P146" s="93" t="e">
        <f>IF(ISBLANK(M146),0,L146/ROUND(M146,4))</f>
        <v>#DIV/0!</v>
      </c>
      <c r="Q146" s="26" t="e">
        <f>ROUND(O146,2)*P146</f>
        <v>#DIV/0!</v>
      </c>
      <c r="R146" s="93" t="e">
        <f>P146*dagenperjaar1</f>
        <v>#DIV/0!</v>
      </c>
      <c r="S146" s="27" t="e">
        <f>R146*ROUND(O146,2)</f>
        <v>#DIV/0!</v>
      </c>
    </row>
    <row r="147" spans="1:19" x14ac:dyDescent="0.2">
      <c r="A147" s="90" t="s">
        <v>446</v>
      </c>
      <c r="B147" s="91" t="s">
        <v>35</v>
      </c>
      <c r="C147" s="91" t="s">
        <v>343</v>
      </c>
      <c r="D147" s="91" t="s">
        <v>350</v>
      </c>
      <c r="E147" s="92" t="s">
        <v>454</v>
      </c>
      <c r="F147" s="91" t="s">
        <v>316</v>
      </c>
      <c r="G147" s="91" t="s">
        <v>268</v>
      </c>
      <c r="H147" s="91" t="s">
        <v>12</v>
      </c>
      <c r="I147" s="91" t="s">
        <v>235</v>
      </c>
      <c r="J147" s="92" t="s">
        <v>269</v>
      </c>
      <c r="K147" s="93">
        <v>15.2</v>
      </c>
      <c r="L147" s="93">
        <f>K147*VLOOKUP(H147,dagsoorttabel1,2,FALSE)</f>
        <v>6.08</v>
      </c>
      <c r="M147" s="94">
        <f>prodnorm87</f>
        <v>0</v>
      </c>
      <c r="N147" s="91" t="s">
        <v>101</v>
      </c>
      <c r="O147" s="26">
        <f>uurtarief87</f>
        <v>0</v>
      </c>
      <c r="P147" s="93" t="e">
        <f>IF(ISBLANK(M147),0,L147/ROUND(M147,4))</f>
        <v>#DIV/0!</v>
      </c>
      <c r="Q147" s="26" t="e">
        <f>ROUND(O147,2)*P147</f>
        <v>#DIV/0!</v>
      </c>
      <c r="R147" s="93" t="e">
        <f>P147*dagenperjaar1</f>
        <v>#DIV/0!</v>
      </c>
      <c r="S147" s="27" t="e">
        <f>R147*ROUND(O147,2)</f>
        <v>#DIV/0!</v>
      </c>
    </row>
    <row r="148" spans="1:19" x14ac:dyDescent="0.2">
      <c r="A148" s="96" t="s">
        <v>446</v>
      </c>
      <c r="B148" s="97" t="s">
        <v>35</v>
      </c>
      <c r="C148" s="97" t="s">
        <v>343</v>
      </c>
      <c r="D148" s="97" t="s">
        <v>353</v>
      </c>
      <c r="E148" s="98" t="s">
        <v>366</v>
      </c>
      <c r="F148" s="97" t="s">
        <v>316</v>
      </c>
      <c r="G148" s="97" t="s">
        <v>352</v>
      </c>
      <c r="H148" s="97"/>
      <c r="I148" s="97"/>
      <c r="J148" s="97"/>
      <c r="K148" s="99">
        <v>3.96</v>
      </c>
      <c r="L148" s="99"/>
      <c r="M148" s="100"/>
      <c r="N148" s="97"/>
      <c r="O148" s="36"/>
      <c r="P148" s="99"/>
      <c r="Q148" s="36"/>
      <c r="R148" s="102"/>
      <c r="S148" s="37"/>
    </row>
    <row r="149" spans="1:19" x14ac:dyDescent="0.2">
      <c r="A149" s="101" t="s">
        <v>356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6" t="e">
        <f>IF(_xlfn.SINGLE(object5_urenjaar1)&gt;0,_xlfn.SINGLE(object5_prijsjaar1)/_xlfn.SINGLE(object5_urenjaar1),0)</f>
        <v>#DIV/0!</v>
      </c>
      <c r="P149" s="75" t="e">
        <f>SUM(P123:P148)</f>
        <v>#DIV/0!</v>
      </c>
      <c r="Q149" s="76" t="e">
        <f>SUM(Q123:Q148)</f>
        <v>#DIV/0!</v>
      </c>
      <c r="R149" s="75" t="e">
        <f>SUM(R123:R148)</f>
        <v>#DIV/0!</v>
      </c>
      <c r="S149" s="77" t="e">
        <f>SUM(S123:S148)</f>
        <v>#DIV/0!</v>
      </c>
    </row>
    <row r="150" spans="1:19" x14ac:dyDescent="0.2">
      <c r="A150" s="82" t="s">
        <v>455</v>
      </c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72"/>
    </row>
    <row r="151" spans="1:19" x14ac:dyDescent="0.2">
      <c r="A151" s="83" t="s">
        <v>456</v>
      </c>
      <c r="B151" s="84" t="s">
        <v>35</v>
      </c>
      <c r="C151" s="84" t="s">
        <v>313</v>
      </c>
      <c r="D151" s="84" t="s">
        <v>314</v>
      </c>
      <c r="E151" s="85" t="s">
        <v>417</v>
      </c>
      <c r="F151" s="84" t="s">
        <v>387</v>
      </c>
      <c r="G151" s="84" t="s">
        <v>289</v>
      </c>
      <c r="H151" s="84" t="s">
        <v>13</v>
      </c>
      <c r="I151" s="84" t="s">
        <v>235</v>
      </c>
      <c r="J151" s="85" t="s">
        <v>290</v>
      </c>
      <c r="K151" s="86">
        <v>17.899999999999999</v>
      </c>
      <c r="L151" s="86">
        <f>K151*VLOOKUP(H151,dagsoorttabel1,2,FALSE)</f>
        <v>3.58</v>
      </c>
      <c r="M151" s="87">
        <f>prodnorm113</f>
        <v>0</v>
      </c>
      <c r="N151" s="84" t="s">
        <v>101</v>
      </c>
      <c r="O151" s="88">
        <f>uurtarief113</f>
        <v>0</v>
      </c>
      <c r="P151" s="86" t="e">
        <f>IF(ISBLANK(M151),0,L151/ROUND(M151,4))</f>
        <v>#DIV/0!</v>
      </c>
      <c r="Q151" s="88" t="e">
        <f>ROUND(O151,2)*P151</f>
        <v>#DIV/0!</v>
      </c>
      <c r="R151" s="86" t="e">
        <f>P151*dagenperjaar1</f>
        <v>#DIV/0!</v>
      </c>
      <c r="S151" s="89" t="e">
        <f>R151*ROUND(O151,2)</f>
        <v>#DIV/0!</v>
      </c>
    </row>
    <row r="152" spans="1:19" x14ac:dyDescent="0.2">
      <c r="A152" s="90" t="s">
        <v>456</v>
      </c>
      <c r="B152" s="91" t="s">
        <v>35</v>
      </c>
      <c r="C152" s="91" t="s">
        <v>313</v>
      </c>
      <c r="D152" s="91" t="s">
        <v>317</v>
      </c>
      <c r="E152" s="92" t="s">
        <v>457</v>
      </c>
      <c r="F152" s="91" t="s">
        <v>319</v>
      </c>
      <c r="G152" s="91" t="s">
        <v>298</v>
      </c>
      <c r="H152" s="91" t="s">
        <v>13</v>
      </c>
      <c r="I152" s="91" t="s">
        <v>235</v>
      </c>
      <c r="J152" s="92" t="s">
        <v>299</v>
      </c>
      <c r="K152" s="93">
        <v>4.0999999999999996</v>
      </c>
      <c r="L152" s="93">
        <f>K152*VLOOKUP(H152,dagsoorttabel1,2,FALSE)</f>
        <v>0.82</v>
      </c>
      <c r="M152" s="94">
        <f>prodnorm124</f>
        <v>0</v>
      </c>
      <c r="N152" s="91" t="s">
        <v>101</v>
      </c>
      <c r="O152" s="26">
        <f>uurtarief124</f>
        <v>0</v>
      </c>
      <c r="P152" s="93" t="e">
        <f>IF(ISBLANK(M152),0,L152/ROUND(M152,4))</f>
        <v>#DIV/0!</v>
      </c>
      <c r="Q152" s="26" t="e">
        <f>ROUND(O152,2)*P152</f>
        <v>#DIV/0!</v>
      </c>
      <c r="R152" s="93" t="e">
        <f>P152*dagenperjaar1</f>
        <v>#DIV/0!</v>
      </c>
      <c r="S152" s="27" t="e">
        <f>R152*ROUND(O152,2)</f>
        <v>#DIV/0!</v>
      </c>
    </row>
    <row r="153" spans="1:19" x14ac:dyDescent="0.2">
      <c r="A153" s="90" t="s">
        <v>456</v>
      </c>
      <c r="B153" s="91" t="s">
        <v>35</v>
      </c>
      <c r="C153" s="91" t="s">
        <v>313</v>
      </c>
      <c r="D153" s="91" t="s">
        <v>320</v>
      </c>
      <c r="E153" s="92" t="s">
        <v>458</v>
      </c>
      <c r="F153" s="91" t="s">
        <v>427</v>
      </c>
      <c r="G153" s="91" t="s">
        <v>281</v>
      </c>
      <c r="H153" s="91" t="s">
        <v>21</v>
      </c>
      <c r="I153" s="91" t="s">
        <v>235</v>
      </c>
      <c r="J153" s="92" t="s">
        <v>282</v>
      </c>
      <c r="K153" s="93">
        <v>13.5</v>
      </c>
      <c r="L153" s="93">
        <f>K153*VLOOKUP(H153,dagsoorttabel1,2,FALSE)</f>
        <v>5.1923076923076926E-2</v>
      </c>
      <c r="M153" s="94">
        <f>prodnorm103</f>
        <v>0</v>
      </c>
      <c r="N153" s="91" t="s">
        <v>101</v>
      </c>
      <c r="O153" s="26">
        <f>uurtarief103</f>
        <v>0</v>
      </c>
      <c r="P153" s="93" t="e">
        <f>IF(ISBLANK(M153),0,L153/ROUND(M153,4))</f>
        <v>#DIV/0!</v>
      </c>
      <c r="Q153" s="26" t="e">
        <f>ROUND(O153,2)*P153</f>
        <v>#DIV/0!</v>
      </c>
      <c r="R153" s="93" t="e">
        <f>P153*dagenperjaar1</f>
        <v>#DIV/0!</v>
      </c>
      <c r="S153" s="27" t="e">
        <f>R153*ROUND(O153,2)</f>
        <v>#DIV/0!</v>
      </c>
    </row>
    <row r="154" spans="1:19" x14ac:dyDescent="0.2">
      <c r="A154" s="90" t="s">
        <v>456</v>
      </c>
      <c r="B154" s="91" t="s">
        <v>35</v>
      </c>
      <c r="C154" s="91" t="s">
        <v>313</v>
      </c>
      <c r="D154" s="91" t="s">
        <v>322</v>
      </c>
      <c r="E154" s="92" t="s">
        <v>459</v>
      </c>
      <c r="F154" s="91" t="s">
        <v>427</v>
      </c>
      <c r="G154" s="91" t="s">
        <v>275</v>
      </c>
      <c r="H154" s="91" t="s">
        <v>13</v>
      </c>
      <c r="I154" s="91" t="s">
        <v>235</v>
      </c>
      <c r="J154" s="92" t="s">
        <v>276</v>
      </c>
      <c r="K154" s="93">
        <v>9</v>
      </c>
      <c r="L154" s="93">
        <f>K154*VLOOKUP(H154,dagsoorttabel1,2,FALSE)</f>
        <v>1.8</v>
      </c>
      <c r="M154" s="94">
        <f>prodnorm94</f>
        <v>0</v>
      </c>
      <c r="N154" s="91" t="s">
        <v>101</v>
      </c>
      <c r="O154" s="26">
        <f>uurtarief94</f>
        <v>0</v>
      </c>
      <c r="P154" s="93" t="e">
        <f>IF(ISBLANK(M154),0,L154/ROUND(M154,4))</f>
        <v>#DIV/0!</v>
      </c>
      <c r="Q154" s="26" t="e">
        <f>ROUND(O154,2)*P154</f>
        <v>#DIV/0!</v>
      </c>
      <c r="R154" s="93" t="e">
        <f>P154*dagenperjaar1</f>
        <v>#DIV/0!</v>
      </c>
      <c r="S154" s="27" t="e">
        <f>R154*ROUND(O154,2)</f>
        <v>#DIV/0!</v>
      </c>
    </row>
    <row r="155" spans="1:19" x14ac:dyDescent="0.2">
      <c r="A155" s="90" t="s">
        <v>456</v>
      </c>
      <c r="B155" s="91" t="s">
        <v>35</v>
      </c>
      <c r="C155" s="91" t="s">
        <v>313</v>
      </c>
      <c r="D155" s="91" t="s">
        <v>325</v>
      </c>
      <c r="E155" s="92" t="s">
        <v>460</v>
      </c>
      <c r="F155" s="91" t="s">
        <v>427</v>
      </c>
      <c r="G155" s="91" t="s">
        <v>277</v>
      </c>
      <c r="H155" s="91" t="s">
        <v>13</v>
      </c>
      <c r="I155" s="91" t="s">
        <v>235</v>
      </c>
      <c r="J155" s="92" t="s">
        <v>278</v>
      </c>
      <c r="K155" s="93">
        <v>12</v>
      </c>
      <c r="L155" s="93">
        <f>K155*VLOOKUP(H155,dagsoorttabel1,2,FALSE)</f>
        <v>2.4000000000000004</v>
      </c>
      <c r="M155" s="94">
        <f>prodnorm97</f>
        <v>0</v>
      </c>
      <c r="N155" s="91" t="s">
        <v>101</v>
      </c>
      <c r="O155" s="26">
        <f>uurtarief97</f>
        <v>0</v>
      </c>
      <c r="P155" s="93" t="e">
        <f>IF(ISBLANK(M155),0,L155/ROUND(M155,4))</f>
        <v>#DIV/0!</v>
      </c>
      <c r="Q155" s="26" t="e">
        <f>ROUND(O155,2)*P155</f>
        <v>#DIV/0!</v>
      </c>
      <c r="R155" s="93" t="e">
        <f>P155*dagenperjaar1</f>
        <v>#DIV/0!</v>
      </c>
      <c r="S155" s="27" t="e">
        <f>R155*ROUND(O155,2)</f>
        <v>#DIV/0!</v>
      </c>
    </row>
    <row r="156" spans="1:19" x14ac:dyDescent="0.2">
      <c r="A156" s="90" t="s">
        <v>456</v>
      </c>
      <c r="B156" s="91" t="s">
        <v>35</v>
      </c>
      <c r="C156" s="91" t="s">
        <v>313</v>
      </c>
      <c r="D156" s="91" t="s">
        <v>327</v>
      </c>
      <c r="E156" s="92" t="s">
        <v>442</v>
      </c>
      <c r="F156" s="91" t="s">
        <v>427</v>
      </c>
      <c r="G156" s="91" t="s">
        <v>279</v>
      </c>
      <c r="H156" s="91" t="s">
        <v>13</v>
      </c>
      <c r="I156" s="91" t="s">
        <v>235</v>
      </c>
      <c r="J156" s="92" t="s">
        <v>280</v>
      </c>
      <c r="K156" s="93">
        <v>1.5</v>
      </c>
      <c r="L156" s="93">
        <f>K156*VLOOKUP(H156,dagsoorttabel1,2,FALSE)</f>
        <v>0.30000000000000004</v>
      </c>
      <c r="M156" s="94">
        <f>prodnorm100</f>
        <v>0</v>
      </c>
      <c r="N156" s="91" t="s">
        <v>101</v>
      </c>
      <c r="O156" s="26">
        <f>uurtarief100</f>
        <v>0</v>
      </c>
      <c r="P156" s="93" t="e">
        <f>IF(ISBLANK(M156),0,L156/ROUND(M156,4))</f>
        <v>#DIV/0!</v>
      </c>
      <c r="Q156" s="26" t="e">
        <f>ROUND(O156,2)*P156</f>
        <v>#DIV/0!</v>
      </c>
      <c r="R156" s="93" t="e">
        <f>P156*dagenperjaar1</f>
        <v>#DIV/0!</v>
      </c>
      <c r="S156" s="27" t="e">
        <f>R156*ROUND(O156,2)</f>
        <v>#DIV/0!</v>
      </c>
    </row>
    <row r="157" spans="1:19" x14ac:dyDescent="0.2">
      <c r="A157" s="90" t="s">
        <v>456</v>
      </c>
      <c r="B157" s="91" t="s">
        <v>35</v>
      </c>
      <c r="C157" s="91" t="s">
        <v>313</v>
      </c>
      <c r="D157" s="91" t="s">
        <v>330</v>
      </c>
      <c r="E157" s="92" t="s">
        <v>442</v>
      </c>
      <c r="F157" s="91" t="s">
        <v>427</v>
      </c>
      <c r="G157" s="91" t="s">
        <v>279</v>
      </c>
      <c r="H157" s="91" t="s">
        <v>13</v>
      </c>
      <c r="I157" s="91" t="s">
        <v>235</v>
      </c>
      <c r="J157" s="92" t="s">
        <v>280</v>
      </c>
      <c r="K157" s="93">
        <v>1.5</v>
      </c>
      <c r="L157" s="93">
        <f>K157*VLOOKUP(H157,dagsoorttabel1,2,FALSE)</f>
        <v>0.30000000000000004</v>
      </c>
      <c r="M157" s="94">
        <f>prodnorm100</f>
        <v>0</v>
      </c>
      <c r="N157" s="91" t="s">
        <v>101</v>
      </c>
      <c r="O157" s="26">
        <f>uurtarief100</f>
        <v>0</v>
      </c>
      <c r="P157" s="93" t="e">
        <f>IF(ISBLANK(M157),0,L157/ROUND(M157,4))</f>
        <v>#DIV/0!</v>
      </c>
      <c r="Q157" s="26" t="e">
        <f>ROUND(O157,2)*P157</f>
        <v>#DIV/0!</v>
      </c>
      <c r="R157" s="93" t="e">
        <f>P157*dagenperjaar1</f>
        <v>#DIV/0!</v>
      </c>
      <c r="S157" s="27" t="e">
        <f>R157*ROUND(O157,2)</f>
        <v>#DIV/0!</v>
      </c>
    </row>
    <row r="158" spans="1:19" x14ac:dyDescent="0.2">
      <c r="A158" s="90" t="s">
        <v>456</v>
      </c>
      <c r="B158" s="91" t="s">
        <v>35</v>
      </c>
      <c r="C158" s="91" t="s">
        <v>313</v>
      </c>
      <c r="D158" s="91" t="s">
        <v>332</v>
      </c>
      <c r="E158" s="92" t="s">
        <v>442</v>
      </c>
      <c r="F158" s="91" t="s">
        <v>427</v>
      </c>
      <c r="G158" s="91" t="s">
        <v>279</v>
      </c>
      <c r="H158" s="91" t="s">
        <v>13</v>
      </c>
      <c r="I158" s="91" t="s">
        <v>235</v>
      </c>
      <c r="J158" s="92" t="s">
        <v>280</v>
      </c>
      <c r="K158" s="93">
        <v>1.5</v>
      </c>
      <c r="L158" s="93">
        <f>K158*VLOOKUP(H158,dagsoorttabel1,2,FALSE)</f>
        <v>0.30000000000000004</v>
      </c>
      <c r="M158" s="94">
        <f>prodnorm100</f>
        <v>0</v>
      </c>
      <c r="N158" s="91" t="s">
        <v>101</v>
      </c>
      <c r="O158" s="26">
        <f>uurtarief100</f>
        <v>0</v>
      </c>
      <c r="P158" s="93" t="e">
        <f>IF(ISBLANK(M158),0,L158/ROUND(M158,4))</f>
        <v>#DIV/0!</v>
      </c>
      <c r="Q158" s="26" t="e">
        <f>ROUND(O158,2)*P158</f>
        <v>#DIV/0!</v>
      </c>
      <c r="R158" s="93" t="e">
        <f>P158*dagenperjaar1</f>
        <v>#DIV/0!</v>
      </c>
      <c r="S158" s="27" t="e">
        <f>R158*ROUND(O158,2)</f>
        <v>#DIV/0!</v>
      </c>
    </row>
    <row r="159" spans="1:19" x14ac:dyDescent="0.2">
      <c r="A159" s="90" t="s">
        <v>456</v>
      </c>
      <c r="B159" s="91" t="s">
        <v>35</v>
      </c>
      <c r="C159" s="91" t="s">
        <v>313</v>
      </c>
      <c r="D159" s="91" t="s">
        <v>334</v>
      </c>
      <c r="E159" s="92" t="s">
        <v>417</v>
      </c>
      <c r="F159" s="91" t="s">
        <v>387</v>
      </c>
      <c r="G159" s="91" t="s">
        <v>289</v>
      </c>
      <c r="H159" s="91" t="s">
        <v>13</v>
      </c>
      <c r="I159" s="91" t="s">
        <v>235</v>
      </c>
      <c r="J159" s="92" t="s">
        <v>290</v>
      </c>
      <c r="K159" s="93">
        <v>5.3</v>
      </c>
      <c r="L159" s="93">
        <f>K159*VLOOKUP(H159,dagsoorttabel1,2,FALSE)</f>
        <v>1.06</v>
      </c>
      <c r="M159" s="94">
        <f>prodnorm113</f>
        <v>0</v>
      </c>
      <c r="N159" s="91" t="s">
        <v>101</v>
      </c>
      <c r="O159" s="26">
        <f>uurtarief113</f>
        <v>0</v>
      </c>
      <c r="P159" s="93" t="e">
        <f>IF(ISBLANK(M159),0,L159/ROUND(M159,4))</f>
        <v>#DIV/0!</v>
      </c>
      <c r="Q159" s="26" t="e">
        <f>ROUND(O159,2)*P159</f>
        <v>#DIV/0!</v>
      </c>
      <c r="R159" s="93" t="e">
        <f>P159*dagenperjaar1</f>
        <v>#DIV/0!</v>
      </c>
      <c r="S159" s="27" t="e">
        <f>R159*ROUND(O159,2)</f>
        <v>#DIV/0!</v>
      </c>
    </row>
    <row r="160" spans="1:19" x14ac:dyDescent="0.2">
      <c r="A160" s="90" t="s">
        <v>456</v>
      </c>
      <c r="B160" s="91" t="s">
        <v>35</v>
      </c>
      <c r="C160" s="91" t="s">
        <v>313</v>
      </c>
      <c r="D160" s="91" t="s">
        <v>336</v>
      </c>
      <c r="E160" s="92" t="s">
        <v>419</v>
      </c>
      <c r="F160" s="91" t="s">
        <v>461</v>
      </c>
      <c r="G160" s="91" t="s">
        <v>283</v>
      </c>
      <c r="H160" s="91" t="s">
        <v>13</v>
      </c>
      <c r="I160" s="91" t="s">
        <v>235</v>
      </c>
      <c r="J160" s="92" t="s">
        <v>284</v>
      </c>
      <c r="K160" s="93">
        <v>35.5</v>
      </c>
      <c r="L160" s="93">
        <f>K160*VLOOKUP(H160,dagsoorttabel1,2,FALSE)</f>
        <v>7.1000000000000005</v>
      </c>
      <c r="M160" s="94">
        <f>prodnorm106</f>
        <v>0</v>
      </c>
      <c r="N160" s="91" t="s">
        <v>101</v>
      </c>
      <c r="O160" s="26">
        <f>uurtarief106</f>
        <v>0</v>
      </c>
      <c r="P160" s="93" t="e">
        <f>IF(ISBLANK(M160),0,L160/ROUND(M160,4))</f>
        <v>#DIV/0!</v>
      </c>
      <c r="Q160" s="26" t="e">
        <f>ROUND(O160,2)*P160</f>
        <v>#DIV/0!</v>
      </c>
      <c r="R160" s="93" t="e">
        <f>P160*dagenperjaar1</f>
        <v>#DIV/0!</v>
      </c>
      <c r="S160" s="27" t="e">
        <f>R160*ROUND(O160,2)</f>
        <v>#DIV/0!</v>
      </c>
    </row>
    <row r="161" spans="1:19" x14ac:dyDescent="0.2">
      <c r="A161" s="90" t="s">
        <v>456</v>
      </c>
      <c r="B161" s="91" t="s">
        <v>35</v>
      </c>
      <c r="C161" s="91" t="s">
        <v>313</v>
      </c>
      <c r="D161" s="91" t="s">
        <v>338</v>
      </c>
      <c r="E161" s="92" t="s">
        <v>462</v>
      </c>
      <c r="F161" s="91" t="s">
        <v>427</v>
      </c>
      <c r="G161" s="91" t="s">
        <v>352</v>
      </c>
      <c r="H161" s="91"/>
      <c r="I161" s="91"/>
      <c r="J161" s="91"/>
      <c r="K161" s="93">
        <v>6.2</v>
      </c>
      <c r="L161" s="93"/>
      <c r="M161" s="94"/>
      <c r="N161" s="91"/>
      <c r="O161" s="26"/>
      <c r="P161" s="93"/>
      <c r="Q161" s="26"/>
      <c r="R161" s="95"/>
      <c r="S161" s="27"/>
    </row>
    <row r="162" spans="1:19" ht="25.2" x14ac:dyDescent="0.2">
      <c r="A162" s="90" t="s">
        <v>456</v>
      </c>
      <c r="B162" s="91" t="s">
        <v>35</v>
      </c>
      <c r="C162" s="91" t="s">
        <v>313</v>
      </c>
      <c r="D162" s="91" t="s">
        <v>339</v>
      </c>
      <c r="E162" s="92" t="s">
        <v>463</v>
      </c>
      <c r="F162" s="91" t="s">
        <v>427</v>
      </c>
      <c r="G162" s="91" t="s">
        <v>293</v>
      </c>
      <c r="H162" s="91" t="s">
        <v>21</v>
      </c>
      <c r="I162" s="91" t="s">
        <v>235</v>
      </c>
      <c r="J162" s="92" t="s">
        <v>294</v>
      </c>
      <c r="K162" s="93">
        <v>11</v>
      </c>
      <c r="L162" s="93">
        <f>K162*VLOOKUP(H162,dagsoorttabel1,2,FALSE)</f>
        <v>4.230769230769231E-2</v>
      </c>
      <c r="M162" s="94">
        <f>prodnorm118</f>
        <v>0</v>
      </c>
      <c r="N162" s="91" t="s">
        <v>101</v>
      </c>
      <c r="O162" s="26">
        <f>uurtarief118</f>
        <v>0</v>
      </c>
      <c r="P162" s="93" t="e">
        <f>IF(ISBLANK(M162),0,L162/ROUND(M162,4))</f>
        <v>#DIV/0!</v>
      </c>
      <c r="Q162" s="26" t="e">
        <f>ROUND(O162,2)*P162</f>
        <v>#DIV/0!</v>
      </c>
      <c r="R162" s="93" t="e">
        <f>P162*dagenperjaar1</f>
        <v>#DIV/0!</v>
      </c>
      <c r="S162" s="27" t="e">
        <f>R162*ROUND(O162,2)</f>
        <v>#DIV/0!</v>
      </c>
    </row>
    <row r="163" spans="1:19" x14ac:dyDescent="0.2">
      <c r="A163" s="90" t="s">
        <v>456</v>
      </c>
      <c r="B163" s="91" t="s">
        <v>35</v>
      </c>
      <c r="C163" s="91" t="s">
        <v>313</v>
      </c>
      <c r="D163" s="91" t="s">
        <v>341</v>
      </c>
      <c r="E163" s="92" t="s">
        <v>421</v>
      </c>
      <c r="F163" s="91" t="s">
        <v>361</v>
      </c>
      <c r="G163" s="91" t="s">
        <v>239</v>
      </c>
      <c r="H163" s="91" t="s">
        <v>13</v>
      </c>
      <c r="I163" s="91" t="s">
        <v>235</v>
      </c>
      <c r="J163" s="92" t="s">
        <v>240</v>
      </c>
      <c r="K163" s="93">
        <v>7.45</v>
      </c>
      <c r="L163" s="93">
        <f>K163*VLOOKUP(H163,dagsoorttabel1,2,FALSE)</f>
        <v>1.4900000000000002</v>
      </c>
      <c r="M163" s="94">
        <f>prodnorm53</f>
        <v>0</v>
      </c>
      <c r="N163" s="91" t="s">
        <v>101</v>
      </c>
      <c r="O163" s="26">
        <f>uurtarief53</f>
        <v>0</v>
      </c>
      <c r="P163" s="93" t="e">
        <f>IF(ISBLANK(M163),0,L163/ROUND(M163,4))</f>
        <v>#DIV/0!</v>
      </c>
      <c r="Q163" s="26" t="e">
        <f>ROUND(O163,2)*P163</f>
        <v>#DIV/0!</v>
      </c>
      <c r="R163" s="93" t="e">
        <f>P163*dagenperjaar1</f>
        <v>#DIV/0!</v>
      </c>
      <c r="S163" s="27" t="e">
        <f>R163*ROUND(O163,2)</f>
        <v>#DIV/0!</v>
      </c>
    </row>
    <row r="164" spans="1:19" x14ac:dyDescent="0.2">
      <c r="A164" s="90" t="s">
        <v>456</v>
      </c>
      <c r="B164" s="91" t="s">
        <v>35</v>
      </c>
      <c r="C164" s="91" t="s">
        <v>313</v>
      </c>
      <c r="D164" s="91" t="s">
        <v>372</v>
      </c>
      <c r="E164" s="92" t="s">
        <v>421</v>
      </c>
      <c r="F164" s="91" t="s">
        <v>387</v>
      </c>
      <c r="G164" s="91" t="s">
        <v>239</v>
      </c>
      <c r="H164" s="91" t="s">
        <v>13</v>
      </c>
      <c r="I164" s="91" t="s">
        <v>235</v>
      </c>
      <c r="J164" s="92" t="s">
        <v>240</v>
      </c>
      <c r="K164" s="93">
        <v>23.4</v>
      </c>
      <c r="L164" s="93">
        <f>K164*VLOOKUP(H164,dagsoorttabel1,2,FALSE)</f>
        <v>4.68</v>
      </c>
      <c r="M164" s="94">
        <f>prodnorm53</f>
        <v>0</v>
      </c>
      <c r="N164" s="91" t="s">
        <v>101</v>
      </c>
      <c r="O164" s="26">
        <f>uurtarief53</f>
        <v>0</v>
      </c>
      <c r="P164" s="93" t="e">
        <f>IF(ISBLANK(M164),0,L164/ROUND(M164,4))</f>
        <v>#DIV/0!</v>
      </c>
      <c r="Q164" s="26" t="e">
        <f>ROUND(O164,2)*P164</f>
        <v>#DIV/0!</v>
      </c>
      <c r="R164" s="93" t="e">
        <f>P164*dagenperjaar1</f>
        <v>#DIV/0!</v>
      </c>
      <c r="S164" s="27" t="e">
        <f>R164*ROUND(O164,2)</f>
        <v>#DIV/0!</v>
      </c>
    </row>
    <row r="165" spans="1:19" x14ac:dyDescent="0.2">
      <c r="A165" s="90" t="s">
        <v>456</v>
      </c>
      <c r="B165" s="91" t="s">
        <v>35</v>
      </c>
      <c r="C165" s="91" t="s">
        <v>313</v>
      </c>
      <c r="D165" s="91" t="s">
        <v>391</v>
      </c>
      <c r="E165" s="92" t="s">
        <v>423</v>
      </c>
      <c r="F165" s="91" t="s">
        <v>347</v>
      </c>
      <c r="G165" s="91" t="s">
        <v>252</v>
      </c>
      <c r="H165" s="91" t="s">
        <v>21</v>
      </c>
      <c r="I165" s="91" t="s">
        <v>235</v>
      </c>
      <c r="J165" s="92" t="s">
        <v>253</v>
      </c>
      <c r="K165" s="93">
        <v>318</v>
      </c>
      <c r="L165" s="93">
        <f>K165*VLOOKUP(H165,dagsoorttabel1,2,FALSE)</f>
        <v>1.2230769230769232</v>
      </c>
      <c r="M165" s="94">
        <f>prodnorm67</f>
        <v>0</v>
      </c>
      <c r="N165" s="91" t="s">
        <v>101</v>
      </c>
      <c r="O165" s="26">
        <f>uurtarief67</f>
        <v>0</v>
      </c>
      <c r="P165" s="93" t="e">
        <f>IF(ISBLANK(M165),0,L165/ROUND(M165,4))</f>
        <v>#DIV/0!</v>
      </c>
      <c r="Q165" s="26" t="e">
        <f>ROUND(O165,2)*P165</f>
        <v>#DIV/0!</v>
      </c>
      <c r="R165" s="93" t="e">
        <f>P165*dagenperjaar1</f>
        <v>#DIV/0!</v>
      </c>
      <c r="S165" s="27" t="e">
        <f>R165*ROUND(O165,2)</f>
        <v>#DIV/0!</v>
      </c>
    </row>
    <row r="166" spans="1:19" x14ac:dyDescent="0.2">
      <c r="A166" s="90" t="s">
        <v>456</v>
      </c>
      <c r="B166" s="91" t="s">
        <v>35</v>
      </c>
      <c r="C166" s="91" t="s">
        <v>313</v>
      </c>
      <c r="D166" s="91" t="s">
        <v>392</v>
      </c>
      <c r="E166" s="92" t="s">
        <v>464</v>
      </c>
      <c r="F166" s="91" t="s">
        <v>319</v>
      </c>
      <c r="G166" s="91" t="s">
        <v>298</v>
      </c>
      <c r="H166" s="91" t="s">
        <v>13</v>
      </c>
      <c r="I166" s="91" t="s">
        <v>235</v>
      </c>
      <c r="J166" s="92" t="s">
        <v>299</v>
      </c>
      <c r="K166" s="93">
        <v>2</v>
      </c>
      <c r="L166" s="93">
        <f>K166*VLOOKUP(H166,dagsoorttabel1,2,FALSE)</f>
        <v>0.4</v>
      </c>
      <c r="M166" s="94">
        <f>prodnorm124</f>
        <v>0</v>
      </c>
      <c r="N166" s="91" t="s">
        <v>101</v>
      </c>
      <c r="O166" s="26">
        <f>uurtarief124</f>
        <v>0</v>
      </c>
      <c r="P166" s="93" t="e">
        <f>IF(ISBLANK(M166),0,L166/ROUND(M166,4))</f>
        <v>#DIV/0!</v>
      </c>
      <c r="Q166" s="26" t="e">
        <f>ROUND(O166,2)*P166</f>
        <v>#DIV/0!</v>
      </c>
      <c r="R166" s="93" t="e">
        <f>P166*dagenperjaar1</f>
        <v>#DIV/0!</v>
      </c>
      <c r="S166" s="27" t="e">
        <f>R166*ROUND(O166,2)</f>
        <v>#DIV/0!</v>
      </c>
    </row>
    <row r="167" spans="1:19" x14ac:dyDescent="0.2">
      <c r="A167" s="90" t="s">
        <v>456</v>
      </c>
      <c r="B167" s="91" t="s">
        <v>35</v>
      </c>
      <c r="C167" s="91" t="s">
        <v>343</v>
      </c>
      <c r="D167" s="91" t="s">
        <v>344</v>
      </c>
      <c r="E167" s="92" t="s">
        <v>465</v>
      </c>
      <c r="F167" s="91" t="s">
        <v>422</v>
      </c>
      <c r="G167" s="91" t="s">
        <v>283</v>
      </c>
      <c r="H167" s="91" t="s">
        <v>13</v>
      </c>
      <c r="I167" s="91" t="s">
        <v>235</v>
      </c>
      <c r="J167" s="92" t="s">
        <v>284</v>
      </c>
      <c r="K167" s="93">
        <v>7.5</v>
      </c>
      <c r="L167" s="93">
        <f>K167*VLOOKUP(H167,dagsoorttabel1,2,FALSE)</f>
        <v>1.5</v>
      </c>
      <c r="M167" s="94">
        <f>prodnorm106</f>
        <v>0</v>
      </c>
      <c r="N167" s="91" t="s">
        <v>101</v>
      </c>
      <c r="O167" s="26">
        <f>uurtarief106</f>
        <v>0</v>
      </c>
      <c r="P167" s="93" t="e">
        <f>IF(ISBLANK(M167),0,L167/ROUND(M167,4))</f>
        <v>#DIV/0!</v>
      </c>
      <c r="Q167" s="26" t="e">
        <f>ROUND(O167,2)*P167</f>
        <v>#DIV/0!</v>
      </c>
      <c r="R167" s="93" t="e">
        <f>P167*dagenperjaar1</f>
        <v>#DIV/0!</v>
      </c>
      <c r="S167" s="27" t="e">
        <f>R167*ROUND(O167,2)</f>
        <v>#DIV/0!</v>
      </c>
    </row>
    <row r="168" spans="1:19" x14ac:dyDescent="0.2">
      <c r="A168" s="90" t="s">
        <v>456</v>
      </c>
      <c r="B168" s="91" t="s">
        <v>35</v>
      </c>
      <c r="C168" s="91" t="s">
        <v>343</v>
      </c>
      <c r="D168" s="91" t="s">
        <v>345</v>
      </c>
      <c r="E168" s="92" t="s">
        <v>466</v>
      </c>
      <c r="F168" s="91" t="s">
        <v>390</v>
      </c>
      <c r="G168" s="91" t="s">
        <v>352</v>
      </c>
      <c r="H168" s="91"/>
      <c r="I168" s="91"/>
      <c r="J168" s="91"/>
      <c r="K168" s="93">
        <v>7.5</v>
      </c>
      <c r="L168" s="93"/>
      <c r="M168" s="94"/>
      <c r="N168" s="91"/>
      <c r="O168" s="26"/>
      <c r="P168" s="93"/>
      <c r="Q168" s="26"/>
      <c r="R168" s="95"/>
      <c r="S168" s="27"/>
    </row>
    <row r="169" spans="1:19" x14ac:dyDescent="0.2">
      <c r="A169" s="90" t="s">
        <v>456</v>
      </c>
      <c r="B169" s="91" t="s">
        <v>35</v>
      </c>
      <c r="C169" s="91" t="s">
        <v>343</v>
      </c>
      <c r="D169" s="91" t="s">
        <v>348</v>
      </c>
      <c r="E169" s="92" t="s">
        <v>467</v>
      </c>
      <c r="F169" s="91" t="s">
        <v>361</v>
      </c>
      <c r="G169" s="91" t="s">
        <v>266</v>
      </c>
      <c r="H169" s="91" t="s">
        <v>13</v>
      </c>
      <c r="I169" s="91" t="s">
        <v>235</v>
      </c>
      <c r="J169" s="92" t="s">
        <v>267</v>
      </c>
      <c r="K169" s="93">
        <v>13</v>
      </c>
      <c r="L169" s="93">
        <f>K169*VLOOKUP(H169,dagsoorttabel1,2,FALSE)</f>
        <v>2.6</v>
      </c>
      <c r="M169" s="94">
        <f>prodnorm83</f>
        <v>0</v>
      </c>
      <c r="N169" s="91" t="s">
        <v>101</v>
      </c>
      <c r="O169" s="26">
        <f>uurtarief83</f>
        <v>0</v>
      </c>
      <c r="P169" s="93" t="e">
        <f>IF(ISBLANK(M169),0,L169/ROUND(M169,4))</f>
        <v>#DIV/0!</v>
      </c>
      <c r="Q169" s="26" t="e">
        <f>ROUND(O169,2)*P169</f>
        <v>#DIV/0!</v>
      </c>
      <c r="R169" s="93" t="e">
        <f>P169*dagenperjaar1</f>
        <v>#DIV/0!</v>
      </c>
      <c r="S169" s="27" t="e">
        <f>R169*ROUND(O169,2)</f>
        <v>#DIV/0!</v>
      </c>
    </row>
    <row r="170" spans="1:19" x14ac:dyDescent="0.2">
      <c r="A170" s="90" t="s">
        <v>456</v>
      </c>
      <c r="B170" s="91" t="s">
        <v>35</v>
      </c>
      <c r="C170" s="91" t="s">
        <v>343</v>
      </c>
      <c r="D170" s="91" t="s">
        <v>468</v>
      </c>
      <c r="E170" s="92" t="s">
        <v>469</v>
      </c>
      <c r="F170" s="91" t="s">
        <v>361</v>
      </c>
      <c r="G170" s="91" t="s">
        <v>352</v>
      </c>
      <c r="H170" s="91"/>
      <c r="I170" s="91"/>
      <c r="J170" s="91"/>
      <c r="K170" s="93">
        <v>9.8500000000000014</v>
      </c>
      <c r="L170" s="93"/>
      <c r="M170" s="94"/>
      <c r="N170" s="91"/>
      <c r="O170" s="26"/>
      <c r="P170" s="93"/>
      <c r="Q170" s="26"/>
      <c r="R170" s="95"/>
      <c r="S170" s="27"/>
    </row>
    <row r="171" spans="1:19" x14ac:dyDescent="0.2">
      <c r="A171" s="90" t="s">
        <v>456</v>
      </c>
      <c r="B171" s="91" t="s">
        <v>35</v>
      </c>
      <c r="C171" s="91" t="s">
        <v>343</v>
      </c>
      <c r="D171" s="91" t="s">
        <v>350</v>
      </c>
      <c r="E171" s="92" t="s">
        <v>439</v>
      </c>
      <c r="F171" s="91" t="s">
        <v>361</v>
      </c>
      <c r="G171" s="91" t="s">
        <v>270</v>
      </c>
      <c r="H171" s="91" t="s">
        <v>13</v>
      </c>
      <c r="I171" s="91" t="s">
        <v>235</v>
      </c>
      <c r="J171" s="92" t="s">
        <v>271</v>
      </c>
      <c r="K171" s="93">
        <v>41.5</v>
      </c>
      <c r="L171" s="93">
        <f>K171*VLOOKUP(H171,dagsoorttabel1,2,FALSE)</f>
        <v>8.3000000000000007</v>
      </c>
      <c r="M171" s="94">
        <f>prodnorm89</f>
        <v>0</v>
      </c>
      <c r="N171" s="91" t="s">
        <v>101</v>
      </c>
      <c r="O171" s="26">
        <f>uurtarief89</f>
        <v>0</v>
      </c>
      <c r="P171" s="93" t="e">
        <f>IF(ISBLANK(M171),0,L171/ROUND(M171,4))</f>
        <v>#DIV/0!</v>
      </c>
      <c r="Q171" s="26" t="e">
        <f>ROUND(O171,2)*P171</f>
        <v>#DIV/0!</v>
      </c>
      <c r="R171" s="93" t="e">
        <f>P171*dagenperjaar1</f>
        <v>#DIV/0!</v>
      </c>
      <c r="S171" s="27" t="e">
        <f>R171*ROUND(O171,2)</f>
        <v>#DIV/0!</v>
      </c>
    </row>
    <row r="172" spans="1:19" x14ac:dyDescent="0.2">
      <c r="A172" s="90" t="s">
        <v>456</v>
      </c>
      <c r="B172" s="91" t="s">
        <v>35</v>
      </c>
      <c r="C172" s="91" t="s">
        <v>343</v>
      </c>
      <c r="D172" s="91" t="s">
        <v>353</v>
      </c>
      <c r="E172" s="92" t="s">
        <v>470</v>
      </c>
      <c r="F172" s="91" t="s">
        <v>361</v>
      </c>
      <c r="G172" s="91" t="s">
        <v>239</v>
      </c>
      <c r="H172" s="91" t="s">
        <v>13</v>
      </c>
      <c r="I172" s="91" t="s">
        <v>235</v>
      </c>
      <c r="J172" s="92" t="s">
        <v>240</v>
      </c>
      <c r="K172" s="93">
        <v>49</v>
      </c>
      <c r="L172" s="93">
        <f>K172*VLOOKUP(H172,dagsoorttabel1,2,FALSE)</f>
        <v>9.8000000000000007</v>
      </c>
      <c r="M172" s="94">
        <f>prodnorm53</f>
        <v>0</v>
      </c>
      <c r="N172" s="91" t="s">
        <v>101</v>
      </c>
      <c r="O172" s="26">
        <f>uurtarief53</f>
        <v>0</v>
      </c>
      <c r="P172" s="93" t="e">
        <f>IF(ISBLANK(M172),0,L172/ROUND(M172,4))</f>
        <v>#DIV/0!</v>
      </c>
      <c r="Q172" s="26" t="e">
        <f>ROUND(O172,2)*P172</f>
        <v>#DIV/0!</v>
      </c>
      <c r="R172" s="93" t="e">
        <f>P172*dagenperjaar1</f>
        <v>#DIV/0!</v>
      </c>
      <c r="S172" s="27" t="e">
        <f>R172*ROUND(O172,2)</f>
        <v>#DIV/0!</v>
      </c>
    </row>
    <row r="173" spans="1:19" x14ac:dyDescent="0.2">
      <c r="A173" s="90" t="s">
        <v>456</v>
      </c>
      <c r="B173" s="91" t="s">
        <v>35</v>
      </c>
      <c r="C173" s="91" t="s">
        <v>343</v>
      </c>
      <c r="D173" s="91" t="s">
        <v>355</v>
      </c>
      <c r="E173" s="92" t="s">
        <v>444</v>
      </c>
      <c r="F173" s="91" t="s">
        <v>427</v>
      </c>
      <c r="G173" s="91" t="s">
        <v>279</v>
      </c>
      <c r="H173" s="91" t="s">
        <v>13</v>
      </c>
      <c r="I173" s="91" t="s">
        <v>235</v>
      </c>
      <c r="J173" s="92" t="s">
        <v>280</v>
      </c>
      <c r="K173" s="93">
        <v>2.5</v>
      </c>
      <c r="L173" s="93">
        <f>K173*VLOOKUP(H173,dagsoorttabel1,2,FALSE)</f>
        <v>0.5</v>
      </c>
      <c r="M173" s="94">
        <f>prodnorm100</f>
        <v>0</v>
      </c>
      <c r="N173" s="91" t="s">
        <v>101</v>
      </c>
      <c r="O173" s="26">
        <f>uurtarief100</f>
        <v>0</v>
      </c>
      <c r="P173" s="93" t="e">
        <f>IF(ISBLANK(M173),0,L173/ROUND(M173,4))</f>
        <v>#DIV/0!</v>
      </c>
      <c r="Q173" s="26" t="e">
        <f>ROUND(O173,2)*P173</f>
        <v>#DIV/0!</v>
      </c>
      <c r="R173" s="93" t="e">
        <f>P173*dagenperjaar1</f>
        <v>#DIV/0!</v>
      </c>
      <c r="S173" s="27" t="e">
        <f>R173*ROUND(O173,2)</f>
        <v>#DIV/0!</v>
      </c>
    </row>
    <row r="174" spans="1:19" x14ac:dyDescent="0.2">
      <c r="A174" s="90" t="s">
        <v>456</v>
      </c>
      <c r="B174" s="91" t="s">
        <v>35</v>
      </c>
      <c r="C174" s="91" t="s">
        <v>343</v>
      </c>
      <c r="D174" s="91" t="s">
        <v>379</v>
      </c>
      <c r="E174" s="92" t="s">
        <v>442</v>
      </c>
      <c r="F174" s="91" t="s">
        <v>427</v>
      </c>
      <c r="G174" s="91" t="s">
        <v>279</v>
      </c>
      <c r="H174" s="91" t="s">
        <v>13</v>
      </c>
      <c r="I174" s="91" t="s">
        <v>235</v>
      </c>
      <c r="J174" s="92" t="s">
        <v>280</v>
      </c>
      <c r="K174" s="93">
        <v>2.5</v>
      </c>
      <c r="L174" s="93">
        <f>K174*VLOOKUP(H174,dagsoorttabel1,2,FALSE)</f>
        <v>0.5</v>
      </c>
      <c r="M174" s="94">
        <f>prodnorm100</f>
        <v>0</v>
      </c>
      <c r="N174" s="91" t="s">
        <v>101</v>
      </c>
      <c r="O174" s="26">
        <f>uurtarief100</f>
        <v>0</v>
      </c>
      <c r="P174" s="93" t="e">
        <f>IF(ISBLANK(M174),0,L174/ROUND(M174,4))</f>
        <v>#DIV/0!</v>
      </c>
      <c r="Q174" s="26" t="e">
        <f>ROUND(O174,2)*P174</f>
        <v>#DIV/0!</v>
      </c>
      <c r="R174" s="93" t="e">
        <f>P174*dagenperjaar1</f>
        <v>#DIV/0!</v>
      </c>
      <c r="S174" s="27" t="e">
        <f>R174*ROUND(O174,2)</f>
        <v>#DIV/0!</v>
      </c>
    </row>
    <row r="175" spans="1:19" ht="25.2" x14ac:dyDescent="0.2">
      <c r="A175" s="90" t="s">
        <v>456</v>
      </c>
      <c r="B175" s="91" t="s">
        <v>35</v>
      </c>
      <c r="C175" s="91" t="s">
        <v>343</v>
      </c>
      <c r="D175" s="91" t="s">
        <v>405</v>
      </c>
      <c r="E175" s="92" t="s">
        <v>470</v>
      </c>
      <c r="F175" s="91" t="s">
        <v>387</v>
      </c>
      <c r="G175" s="91" t="s">
        <v>248</v>
      </c>
      <c r="H175" s="91" t="s">
        <v>13</v>
      </c>
      <c r="I175" s="91" t="s">
        <v>235</v>
      </c>
      <c r="J175" s="92" t="s">
        <v>249</v>
      </c>
      <c r="K175" s="93">
        <v>30</v>
      </c>
      <c r="L175" s="93">
        <f>K175*VLOOKUP(H175,dagsoorttabel1,2,FALSE)</f>
        <v>6</v>
      </c>
      <c r="M175" s="94">
        <f>prodnorm61</f>
        <v>0</v>
      </c>
      <c r="N175" s="91" t="s">
        <v>101</v>
      </c>
      <c r="O175" s="26">
        <f>uurtarief61</f>
        <v>0</v>
      </c>
      <c r="P175" s="93" t="e">
        <f>IF(ISBLANK(M175),0,L175/ROUND(M175,4))</f>
        <v>#DIV/0!</v>
      </c>
      <c r="Q175" s="26" t="e">
        <f>ROUND(O175,2)*P175</f>
        <v>#DIV/0!</v>
      </c>
      <c r="R175" s="93" t="e">
        <f>P175*dagenperjaar1</f>
        <v>#DIV/0!</v>
      </c>
      <c r="S175" s="27" t="e">
        <f>R175*ROUND(O175,2)</f>
        <v>#DIV/0!</v>
      </c>
    </row>
    <row r="176" spans="1:19" x14ac:dyDescent="0.2">
      <c r="A176" s="90" t="s">
        <v>456</v>
      </c>
      <c r="B176" s="91" t="s">
        <v>35</v>
      </c>
      <c r="C176" s="91" t="s">
        <v>343</v>
      </c>
      <c r="D176" s="91" t="s">
        <v>406</v>
      </c>
      <c r="E176" s="92" t="s">
        <v>421</v>
      </c>
      <c r="F176" s="91" t="s">
        <v>387</v>
      </c>
      <c r="G176" s="91" t="s">
        <v>239</v>
      </c>
      <c r="H176" s="91" t="s">
        <v>13</v>
      </c>
      <c r="I176" s="91" t="s">
        <v>235</v>
      </c>
      <c r="J176" s="92" t="s">
        <v>240</v>
      </c>
      <c r="K176" s="93">
        <v>15.25</v>
      </c>
      <c r="L176" s="93">
        <f>K176*VLOOKUP(H176,dagsoorttabel1,2,FALSE)</f>
        <v>3.0500000000000003</v>
      </c>
      <c r="M176" s="94">
        <f>prodnorm53</f>
        <v>0</v>
      </c>
      <c r="N176" s="91" t="s">
        <v>101</v>
      </c>
      <c r="O176" s="26">
        <f>uurtarief53</f>
        <v>0</v>
      </c>
      <c r="P176" s="93" t="e">
        <f>IF(ISBLANK(M176),0,L176/ROUND(M176,4))</f>
        <v>#DIV/0!</v>
      </c>
      <c r="Q176" s="26" t="e">
        <f>ROUND(O176,2)*P176</f>
        <v>#DIV/0!</v>
      </c>
      <c r="R176" s="93" t="e">
        <f>P176*dagenperjaar1</f>
        <v>#DIV/0!</v>
      </c>
      <c r="S176" s="27" t="e">
        <f>R176*ROUND(O176,2)</f>
        <v>#DIV/0!</v>
      </c>
    </row>
    <row r="177" spans="1:19" x14ac:dyDescent="0.2">
      <c r="A177" s="90" t="s">
        <v>456</v>
      </c>
      <c r="B177" s="91" t="s">
        <v>35</v>
      </c>
      <c r="C177" s="91" t="s">
        <v>343</v>
      </c>
      <c r="D177" s="91" t="s">
        <v>407</v>
      </c>
      <c r="E177" s="92" t="s">
        <v>471</v>
      </c>
      <c r="F177" s="91" t="s">
        <v>319</v>
      </c>
      <c r="G177" s="91" t="s">
        <v>298</v>
      </c>
      <c r="H177" s="91" t="s">
        <v>13</v>
      </c>
      <c r="I177" s="91" t="s">
        <v>235</v>
      </c>
      <c r="J177" s="92" t="s">
        <v>299</v>
      </c>
      <c r="K177" s="93">
        <v>3.6</v>
      </c>
      <c r="L177" s="93">
        <f>K177*VLOOKUP(H177,dagsoorttabel1,2,FALSE)</f>
        <v>0.72000000000000008</v>
      </c>
      <c r="M177" s="94">
        <f>prodnorm124</f>
        <v>0</v>
      </c>
      <c r="N177" s="91" t="s">
        <v>101</v>
      </c>
      <c r="O177" s="26">
        <f>uurtarief124</f>
        <v>0</v>
      </c>
      <c r="P177" s="93" t="e">
        <f>IF(ISBLANK(M177),0,L177/ROUND(M177,4))</f>
        <v>#DIV/0!</v>
      </c>
      <c r="Q177" s="26" t="e">
        <f>ROUND(O177,2)*P177</f>
        <v>#DIV/0!</v>
      </c>
      <c r="R177" s="93" t="e">
        <f>P177*dagenperjaar1</f>
        <v>#DIV/0!</v>
      </c>
      <c r="S177" s="27" t="e">
        <f>R177*ROUND(O177,2)</f>
        <v>#DIV/0!</v>
      </c>
    </row>
    <row r="178" spans="1:19" x14ac:dyDescent="0.2">
      <c r="A178" s="90" t="s">
        <v>456</v>
      </c>
      <c r="B178" s="91" t="s">
        <v>35</v>
      </c>
      <c r="C178" s="91" t="s">
        <v>343</v>
      </c>
      <c r="D178" s="91" t="s">
        <v>408</v>
      </c>
      <c r="E178" s="92" t="s">
        <v>419</v>
      </c>
      <c r="F178" s="91" t="s">
        <v>361</v>
      </c>
      <c r="G178" s="91" t="s">
        <v>283</v>
      </c>
      <c r="H178" s="91" t="s">
        <v>13</v>
      </c>
      <c r="I178" s="91" t="s">
        <v>235</v>
      </c>
      <c r="J178" s="92" t="s">
        <v>284</v>
      </c>
      <c r="K178" s="93">
        <v>8.75</v>
      </c>
      <c r="L178" s="93">
        <f>K178*VLOOKUP(H178,dagsoorttabel1,2,FALSE)</f>
        <v>1.75</v>
      </c>
      <c r="M178" s="94">
        <f>prodnorm106</f>
        <v>0</v>
      </c>
      <c r="N178" s="91" t="s">
        <v>101</v>
      </c>
      <c r="O178" s="26">
        <f>uurtarief106</f>
        <v>0</v>
      </c>
      <c r="P178" s="93" t="e">
        <f>IF(ISBLANK(M178),0,L178/ROUND(M178,4))</f>
        <v>#DIV/0!</v>
      </c>
      <c r="Q178" s="26" t="e">
        <f>ROUND(O178,2)*P178</f>
        <v>#DIV/0!</v>
      </c>
      <c r="R178" s="93" t="e">
        <f>P178*dagenperjaar1</f>
        <v>#DIV/0!</v>
      </c>
      <c r="S178" s="27" t="e">
        <f>R178*ROUND(O178,2)</f>
        <v>#DIV/0!</v>
      </c>
    </row>
    <row r="179" spans="1:19" x14ac:dyDescent="0.2">
      <c r="A179" s="96" t="s">
        <v>456</v>
      </c>
      <c r="B179" s="97" t="s">
        <v>35</v>
      </c>
      <c r="C179" s="97" t="s">
        <v>343</v>
      </c>
      <c r="D179" s="97" t="s">
        <v>409</v>
      </c>
      <c r="E179" s="98" t="s">
        <v>465</v>
      </c>
      <c r="F179" s="97" t="s">
        <v>390</v>
      </c>
      <c r="G179" s="97" t="s">
        <v>283</v>
      </c>
      <c r="H179" s="97" t="s">
        <v>13</v>
      </c>
      <c r="I179" s="97" t="s">
        <v>235</v>
      </c>
      <c r="J179" s="98" t="s">
        <v>284</v>
      </c>
      <c r="K179" s="99">
        <v>23</v>
      </c>
      <c r="L179" s="99">
        <f>K179*VLOOKUP(H179,dagsoorttabel1,2,FALSE)</f>
        <v>4.6000000000000005</v>
      </c>
      <c r="M179" s="100">
        <f>prodnorm106</f>
        <v>0</v>
      </c>
      <c r="N179" s="97" t="s">
        <v>101</v>
      </c>
      <c r="O179" s="36">
        <f>uurtarief106</f>
        <v>0</v>
      </c>
      <c r="P179" s="99" t="e">
        <f>IF(ISBLANK(M179),0,L179/ROUND(M179,4))</f>
        <v>#DIV/0!</v>
      </c>
      <c r="Q179" s="36" t="e">
        <f>ROUND(O179,2)*P179</f>
        <v>#DIV/0!</v>
      </c>
      <c r="R179" s="99" t="e">
        <f>P179*dagenperjaar1</f>
        <v>#DIV/0!</v>
      </c>
      <c r="S179" s="37" t="e">
        <f>R179*ROUND(O179,2)</f>
        <v>#DIV/0!</v>
      </c>
    </row>
    <row r="180" spans="1:19" x14ac:dyDescent="0.2">
      <c r="A180" s="101" t="s">
        <v>356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6" t="e">
        <f>IF(_xlfn.SINGLE(object6_urenjaar1)&gt;0,_xlfn.SINGLE(object6_prijsjaar1)/_xlfn.SINGLE(object6_urenjaar1),0)</f>
        <v>#DIV/0!</v>
      </c>
      <c r="P180" s="75" t="e">
        <f>SUM(P151:P179)</f>
        <v>#DIV/0!</v>
      </c>
      <c r="Q180" s="76" t="e">
        <f>SUM(Q151:Q179)</f>
        <v>#DIV/0!</v>
      </c>
      <c r="R180" s="75" t="e">
        <f>SUM(R151:R179)</f>
        <v>#DIV/0!</v>
      </c>
      <c r="S180" s="77" t="e">
        <f>SUM(S151:S179)</f>
        <v>#DIV/0!</v>
      </c>
    </row>
    <row r="181" spans="1:19" x14ac:dyDescent="0.2">
      <c r="A181" s="82" t="s">
        <v>472</v>
      </c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72"/>
    </row>
    <row r="182" spans="1:19" x14ac:dyDescent="0.2">
      <c r="A182" s="83" t="s">
        <v>473</v>
      </c>
      <c r="B182" s="84" t="s">
        <v>35</v>
      </c>
      <c r="C182" s="84" t="s">
        <v>313</v>
      </c>
      <c r="D182" s="84" t="s">
        <v>314</v>
      </c>
      <c r="E182" s="85" t="s">
        <v>474</v>
      </c>
      <c r="F182" s="84" t="s">
        <v>329</v>
      </c>
      <c r="G182" s="84" t="s">
        <v>252</v>
      </c>
      <c r="H182" s="84" t="s">
        <v>21</v>
      </c>
      <c r="I182" s="84" t="s">
        <v>235</v>
      </c>
      <c r="J182" s="85" t="s">
        <v>253</v>
      </c>
      <c r="K182" s="86">
        <v>290</v>
      </c>
      <c r="L182" s="86">
        <f>K182*VLOOKUP(H182,dagsoorttabel1,2,FALSE)</f>
        <v>1.1153846153846154</v>
      </c>
      <c r="M182" s="87">
        <f>prodnorm67</f>
        <v>0</v>
      </c>
      <c r="N182" s="84" t="s">
        <v>101</v>
      </c>
      <c r="O182" s="88">
        <f>uurtarief67</f>
        <v>0</v>
      </c>
      <c r="P182" s="86" t="e">
        <f>IF(ISBLANK(M182),0,L182/ROUND(M182,4))</f>
        <v>#DIV/0!</v>
      </c>
      <c r="Q182" s="88" t="e">
        <f>ROUND(O182,2)*P182</f>
        <v>#DIV/0!</v>
      </c>
      <c r="R182" s="86" t="e">
        <f>P182*dagenperjaar1</f>
        <v>#DIV/0!</v>
      </c>
      <c r="S182" s="89" t="e">
        <f>R182*ROUND(O182,2)</f>
        <v>#DIV/0!</v>
      </c>
    </row>
    <row r="183" spans="1:19" x14ac:dyDescent="0.2">
      <c r="A183" s="90" t="s">
        <v>473</v>
      </c>
      <c r="B183" s="91" t="s">
        <v>35</v>
      </c>
      <c r="C183" s="91" t="s">
        <v>313</v>
      </c>
      <c r="D183" s="91" t="s">
        <v>317</v>
      </c>
      <c r="E183" s="92" t="s">
        <v>318</v>
      </c>
      <c r="F183" s="91" t="s">
        <v>319</v>
      </c>
      <c r="G183" s="91" t="s">
        <v>298</v>
      </c>
      <c r="H183" s="91" t="s">
        <v>13</v>
      </c>
      <c r="I183" s="91" t="s">
        <v>235</v>
      </c>
      <c r="J183" s="92" t="s">
        <v>299</v>
      </c>
      <c r="K183" s="93">
        <v>3.5</v>
      </c>
      <c r="L183" s="93">
        <f>K183*VLOOKUP(H183,dagsoorttabel1,2,FALSE)</f>
        <v>0.70000000000000007</v>
      </c>
      <c r="M183" s="94">
        <f>prodnorm124</f>
        <v>0</v>
      </c>
      <c r="N183" s="91" t="s">
        <v>101</v>
      </c>
      <c r="O183" s="26">
        <f>uurtarief124</f>
        <v>0</v>
      </c>
      <c r="P183" s="93" t="e">
        <f>IF(ISBLANK(M183),0,L183/ROUND(M183,4))</f>
        <v>#DIV/0!</v>
      </c>
      <c r="Q183" s="26" t="e">
        <f>ROUND(O183,2)*P183</f>
        <v>#DIV/0!</v>
      </c>
      <c r="R183" s="93" t="e">
        <f>P183*dagenperjaar1</f>
        <v>#DIV/0!</v>
      </c>
      <c r="S183" s="27" t="e">
        <f>R183*ROUND(O183,2)</f>
        <v>#DIV/0!</v>
      </c>
    </row>
    <row r="184" spans="1:19" x14ac:dyDescent="0.2">
      <c r="A184" s="90" t="s">
        <v>473</v>
      </c>
      <c r="B184" s="91" t="s">
        <v>35</v>
      </c>
      <c r="C184" s="91" t="s">
        <v>313</v>
      </c>
      <c r="D184" s="91" t="s">
        <v>320</v>
      </c>
      <c r="E184" s="92" t="s">
        <v>475</v>
      </c>
      <c r="F184" s="91" t="s">
        <v>329</v>
      </c>
      <c r="G184" s="91" t="s">
        <v>352</v>
      </c>
      <c r="H184" s="91"/>
      <c r="I184" s="91"/>
      <c r="J184" s="91"/>
      <c r="K184" s="93">
        <v>11.6</v>
      </c>
      <c r="L184" s="93"/>
      <c r="M184" s="94"/>
      <c r="N184" s="91"/>
      <c r="O184" s="26"/>
      <c r="P184" s="93"/>
      <c r="Q184" s="26"/>
      <c r="R184" s="95"/>
      <c r="S184" s="27"/>
    </row>
    <row r="185" spans="1:19" x14ac:dyDescent="0.2">
      <c r="A185" s="90" t="s">
        <v>473</v>
      </c>
      <c r="B185" s="91" t="s">
        <v>35</v>
      </c>
      <c r="C185" s="91" t="s">
        <v>313</v>
      </c>
      <c r="D185" s="91" t="s">
        <v>322</v>
      </c>
      <c r="E185" s="92" t="s">
        <v>354</v>
      </c>
      <c r="F185" s="91" t="s">
        <v>35</v>
      </c>
      <c r="G185" s="91" t="s">
        <v>352</v>
      </c>
      <c r="H185" s="91"/>
      <c r="I185" s="91"/>
      <c r="J185" s="91"/>
      <c r="K185" s="93">
        <v>0</v>
      </c>
      <c r="L185" s="93"/>
      <c r="M185" s="94"/>
      <c r="N185" s="91"/>
      <c r="O185" s="26"/>
      <c r="P185" s="93"/>
      <c r="Q185" s="26"/>
      <c r="R185" s="95"/>
      <c r="S185" s="27"/>
    </row>
    <row r="186" spans="1:19" x14ac:dyDescent="0.2">
      <c r="A186" s="90" t="s">
        <v>473</v>
      </c>
      <c r="B186" s="91" t="s">
        <v>35</v>
      </c>
      <c r="C186" s="91" t="s">
        <v>313</v>
      </c>
      <c r="D186" s="91" t="s">
        <v>324</v>
      </c>
      <c r="E186" s="92" t="s">
        <v>342</v>
      </c>
      <c r="F186" s="91" t="s">
        <v>329</v>
      </c>
      <c r="G186" s="91" t="s">
        <v>252</v>
      </c>
      <c r="H186" s="91" t="s">
        <v>21</v>
      </c>
      <c r="I186" s="91" t="s">
        <v>235</v>
      </c>
      <c r="J186" s="92" t="s">
        <v>253</v>
      </c>
      <c r="K186" s="93">
        <v>34</v>
      </c>
      <c r="L186" s="93">
        <f>K186*VLOOKUP(H186,dagsoorttabel1,2,FALSE)</f>
        <v>0.13076923076923078</v>
      </c>
      <c r="M186" s="94">
        <f>prodnorm67</f>
        <v>0</v>
      </c>
      <c r="N186" s="91" t="s">
        <v>101</v>
      </c>
      <c r="O186" s="26">
        <f>uurtarief67</f>
        <v>0</v>
      </c>
      <c r="P186" s="93" t="e">
        <f>IF(ISBLANK(M186),0,L186/ROUND(M186,4))</f>
        <v>#DIV/0!</v>
      </c>
      <c r="Q186" s="26" t="e">
        <f>ROUND(O186,2)*P186</f>
        <v>#DIV/0!</v>
      </c>
      <c r="R186" s="93" t="e">
        <f>P186*dagenperjaar1</f>
        <v>#DIV/0!</v>
      </c>
      <c r="S186" s="27" t="e">
        <f>R186*ROUND(O186,2)</f>
        <v>#DIV/0!</v>
      </c>
    </row>
    <row r="187" spans="1:19" x14ac:dyDescent="0.2">
      <c r="A187" s="90" t="s">
        <v>473</v>
      </c>
      <c r="B187" s="91" t="s">
        <v>35</v>
      </c>
      <c r="C187" s="91" t="s">
        <v>313</v>
      </c>
      <c r="D187" s="91" t="s">
        <v>325</v>
      </c>
      <c r="E187" s="92" t="s">
        <v>373</v>
      </c>
      <c r="F187" s="91" t="s">
        <v>329</v>
      </c>
      <c r="G187" s="91" t="s">
        <v>277</v>
      </c>
      <c r="H187" s="91" t="s">
        <v>13</v>
      </c>
      <c r="I187" s="91" t="s">
        <v>235</v>
      </c>
      <c r="J187" s="92" t="s">
        <v>278</v>
      </c>
      <c r="K187" s="93">
        <v>32.9</v>
      </c>
      <c r="L187" s="93">
        <f>K187*VLOOKUP(H187,dagsoorttabel1,2,FALSE)</f>
        <v>6.58</v>
      </c>
      <c r="M187" s="94">
        <f>prodnorm97</f>
        <v>0</v>
      </c>
      <c r="N187" s="91" t="s">
        <v>101</v>
      </c>
      <c r="O187" s="26">
        <f>uurtarief97</f>
        <v>0</v>
      </c>
      <c r="P187" s="93" t="e">
        <f>IF(ISBLANK(M187),0,L187/ROUND(M187,4))</f>
        <v>#DIV/0!</v>
      </c>
      <c r="Q187" s="26" t="e">
        <f>ROUND(O187,2)*P187</f>
        <v>#DIV/0!</v>
      </c>
      <c r="R187" s="93" t="e">
        <f>P187*dagenperjaar1</f>
        <v>#DIV/0!</v>
      </c>
      <c r="S187" s="27" t="e">
        <f>R187*ROUND(O187,2)</f>
        <v>#DIV/0!</v>
      </c>
    </row>
    <row r="188" spans="1:19" ht="25.2" x14ac:dyDescent="0.2">
      <c r="A188" s="90" t="s">
        <v>473</v>
      </c>
      <c r="B188" s="91" t="s">
        <v>35</v>
      </c>
      <c r="C188" s="91" t="s">
        <v>313</v>
      </c>
      <c r="D188" s="91" t="s">
        <v>327</v>
      </c>
      <c r="E188" s="92" t="s">
        <v>476</v>
      </c>
      <c r="F188" s="91" t="s">
        <v>329</v>
      </c>
      <c r="G188" s="91" t="s">
        <v>293</v>
      </c>
      <c r="H188" s="91" t="s">
        <v>13</v>
      </c>
      <c r="I188" s="91" t="s">
        <v>235</v>
      </c>
      <c r="J188" s="92" t="s">
        <v>294</v>
      </c>
      <c r="K188" s="93">
        <v>20.3</v>
      </c>
      <c r="L188" s="93">
        <f>K188*VLOOKUP(H188,dagsoorttabel1,2,FALSE)</f>
        <v>4.0600000000000005</v>
      </c>
      <c r="M188" s="94">
        <f>prodnorm119</f>
        <v>0</v>
      </c>
      <c r="N188" s="91" t="s">
        <v>101</v>
      </c>
      <c r="O188" s="26">
        <f>uurtarief119</f>
        <v>0</v>
      </c>
      <c r="P188" s="93" t="e">
        <f>IF(ISBLANK(M188),0,L188/ROUND(M188,4))</f>
        <v>#DIV/0!</v>
      </c>
      <c r="Q188" s="26" t="e">
        <f>ROUND(O188,2)*P188</f>
        <v>#DIV/0!</v>
      </c>
      <c r="R188" s="93" t="e">
        <f>P188*dagenperjaar1</f>
        <v>#DIV/0!</v>
      </c>
      <c r="S188" s="27" t="e">
        <f>R188*ROUND(O188,2)</f>
        <v>#DIV/0!</v>
      </c>
    </row>
    <row r="189" spans="1:19" x14ac:dyDescent="0.2">
      <c r="A189" s="90" t="s">
        <v>473</v>
      </c>
      <c r="B189" s="91" t="s">
        <v>35</v>
      </c>
      <c r="C189" s="91" t="s">
        <v>313</v>
      </c>
      <c r="D189" s="91" t="s">
        <v>330</v>
      </c>
      <c r="E189" s="92" t="s">
        <v>354</v>
      </c>
      <c r="F189" s="91" t="s">
        <v>329</v>
      </c>
      <c r="G189" s="91" t="s">
        <v>352</v>
      </c>
      <c r="H189" s="91"/>
      <c r="I189" s="91"/>
      <c r="J189" s="91"/>
      <c r="K189" s="93">
        <v>5.6</v>
      </c>
      <c r="L189" s="93"/>
      <c r="M189" s="94"/>
      <c r="N189" s="91"/>
      <c r="O189" s="26"/>
      <c r="P189" s="93"/>
      <c r="Q189" s="26"/>
      <c r="R189" s="95"/>
      <c r="S189" s="27"/>
    </row>
    <row r="190" spans="1:19" x14ac:dyDescent="0.2">
      <c r="A190" s="90" t="s">
        <v>473</v>
      </c>
      <c r="B190" s="91" t="s">
        <v>35</v>
      </c>
      <c r="C190" s="91" t="s">
        <v>313</v>
      </c>
      <c r="D190" s="91" t="s">
        <v>332</v>
      </c>
      <c r="E190" s="92" t="s">
        <v>331</v>
      </c>
      <c r="F190" s="91" t="s">
        <v>316</v>
      </c>
      <c r="G190" s="91" t="s">
        <v>279</v>
      </c>
      <c r="H190" s="91" t="s">
        <v>13</v>
      </c>
      <c r="I190" s="91" t="s">
        <v>235</v>
      </c>
      <c r="J190" s="92" t="s">
        <v>280</v>
      </c>
      <c r="K190" s="93">
        <v>15.1</v>
      </c>
      <c r="L190" s="93">
        <f>K190*VLOOKUP(H190,dagsoorttabel1,2,FALSE)</f>
        <v>3.02</v>
      </c>
      <c r="M190" s="94">
        <f>prodnorm100</f>
        <v>0</v>
      </c>
      <c r="N190" s="91" t="s">
        <v>101</v>
      </c>
      <c r="O190" s="26">
        <f>uurtarief100</f>
        <v>0</v>
      </c>
      <c r="P190" s="93" t="e">
        <f>IF(ISBLANK(M190),0,L190/ROUND(M190,4))</f>
        <v>#DIV/0!</v>
      </c>
      <c r="Q190" s="26" t="e">
        <f>ROUND(O190,2)*P190</f>
        <v>#DIV/0!</v>
      </c>
      <c r="R190" s="93" t="e">
        <f>P190*dagenperjaar1</f>
        <v>#DIV/0!</v>
      </c>
      <c r="S190" s="27" t="e">
        <f>R190*ROUND(O190,2)</f>
        <v>#DIV/0!</v>
      </c>
    </row>
    <row r="191" spans="1:19" x14ac:dyDescent="0.2">
      <c r="A191" s="90" t="s">
        <v>473</v>
      </c>
      <c r="B191" s="91" t="s">
        <v>35</v>
      </c>
      <c r="C191" s="91" t="s">
        <v>313</v>
      </c>
      <c r="D191" s="91" t="s">
        <v>334</v>
      </c>
      <c r="E191" s="92" t="s">
        <v>477</v>
      </c>
      <c r="F191" s="91" t="s">
        <v>316</v>
      </c>
      <c r="G191" s="91" t="s">
        <v>277</v>
      </c>
      <c r="H191" s="91" t="s">
        <v>13</v>
      </c>
      <c r="I191" s="91" t="s">
        <v>235</v>
      </c>
      <c r="J191" s="92" t="s">
        <v>278</v>
      </c>
      <c r="K191" s="93">
        <v>6.2</v>
      </c>
      <c r="L191" s="93">
        <f>K191*VLOOKUP(H191,dagsoorttabel1,2,FALSE)</f>
        <v>1.2400000000000002</v>
      </c>
      <c r="M191" s="94">
        <f>prodnorm97</f>
        <v>0</v>
      </c>
      <c r="N191" s="91" t="s">
        <v>101</v>
      </c>
      <c r="O191" s="26">
        <f>uurtarief97</f>
        <v>0</v>
      </c>
      <c r="P191" s="93" t="e">
        <f>IF(ISBLANK(M191),0,L191/ROUND(M191,4))</f>
        <v>#DIV/0!</v>
      </c>
      <c r="Q191" s="26" t="e">
        <f>ROUND(O191,2)*P191</f>
        <v>#DIV/0!</v>
      </c>
      <c r="R191" s="93" t="e">
        <f>P191*dagenperjaar1</f>
        <v>#DIV/0!</v>
      </c>
      <c r="S191" s="27" t="e">
        <f>R191*ROUND(O191,2)</f>
        <v>#DIV/0!</v>
      </c>
    </row>
    <row r="192" spans="1:19" x14ac:dyDescent="0.2">
      <c r="A192" s="90" t="s">
        <v>473</v>
      </c>
      <c r="B192" s="91" t="s">
        <v>35</v>
      </c>
      <c r="C192" s="91" t="s">
        <v>313</v>
      </c>
      <c r="D192" s="91" t="s">
        <v>336</v>
      </c>
      <c r="E192" s="92" t="s">
        <v>478</v>
      </c>
      <c r="F192" s="91" t="s">
        <v>316</v>
      </c>
      <c r="G192" s="91" t="s">
        <v>281</v>
      </c>
      <c r="H192" s="91" t="s">
        <v>13</v>
      </c>
      <c r="I192" s="91" t="s">
        <v>235</v>
      </c>
      <c r="J192" s="92" t="s">
        <v>282</v>
      </c>
      <c r="K192" s="93">
        <v>4.8</v>
      </c>
      <c r="L192" s="93">
        <f>K192*VLOOKUP(H192,dagsoorttabel1,2,FALSE)</f>
        <v>0.96</v>
      </c>
      <c r="M192" s="94">
        <f>prodnorm104</f>
        <v>0</v>
      </c>
      <c r="N192" s="91" t="s">
        <v>101</v>
      </c>
      <c r="O192" s="26">
        <f>uurtarief104</f>
        <v>0</v>
      </c>
      <c r="P192" s="93" t="e">
        <f>IF(ISBLANK(M192),0,L192/ROUND(M192,4))</f>
        <v>#DIV/0!</v>
      </c>
      <c r="Q192" s="26" t="e">
        <f>ROUND(O192,2)*P192</f>
        <v>#DIV/0!</v>
      </c>
      <c r="R192" s="93" t="e">
        <f>P192*dagenperjaar1</f>
        <v>#DIV/0!</v>
      </c>
      <c r="S192" s="27" t="e">
        <f>R192*ROUND(O192,2)</f>
        <v>#DIV/0!</v>
      </c>
    </row>
    <row r="193" spans="1:19" x14ac:dyDescent="0.2">
      <c r="A193" s="90" t="s">
        <v>473</v>
      </c>
      <c r="B193" s="91" t="s">
        <v>35</v>
      </c>
      <c r="C193" s="91" t="s">
        <v>313</v>
      </c>
      <c r="D193" s="91" t="s">
        <v>338</v>
      </c>
      <c r="E193" s="92" t="s">
        <v>479</v>
      </c>
      <c r="F193" s="91" t="s">
        <v>316</v>
      </c>
      <c r="G193" s="91" t="s">
        <v>275</v>
      </c>
      <c r="H193" s="91" t="s">
        <v>13</v>
      </c>
      <c r="I193" s="91" t="s">
        <v>235</v>
      </c>
      <c r="J193" s="92" t="s">
        <v>276</v>
      </c>
      <c r="K193" s="93">
        <v>5.5</v>
      </c>
      <c r="L193" s="93">
        <f>K193*VLOOKUP(H193,dagsoorttabel1,2,FALSE)</f>
        <v>1.1000000000000001</v>
      </c>
      <c r="M193" s="94">
        <f>prodnorm94</f>
        <v>0</v>
      </c>
      <c r="N193" s="91" t="s">
        <v>101</v>
      </c>
      <c r="O193" s="26">
        <f>uurtarief94</f>
        <v>0</v>
      </c>
      <c r="P193" s="93" t="e">
        <f>IF(ISBLANK(M193),0,L193/ROUND(M193,4))</f>
        <v>#DIV/0!</v>
      </c>
      <c r="Q193" s="26" t="e">
        <f>ROUND(O193,2)*P193</f>
        <v>#DIV/0!</v>
      </c>
      <c r="R193" s="93" t="e">
        <f>P193*dagenperjaar1</f>
        <v>#DIV/0!</v>
      </c>
      <c r="S193" s="27" t="e">
        <f>R193*ROUND(O193,2)</f>
        <v>#DIV/0!</v>
      </c>
    </row>
    <row r="194" spans="1:19" x14ac:dyDescent="0.2">
      <c r="A194" s="90" t="s">
        <v>473</v>
      </c>
      <c r="B194" s="91" t="s">
        <v>35</v>
      </c>
      <c r="C194" s="91" t="s">
        <v>313</v>
      </c>
      <c r="D194" s="91" t="s">
        <v>339</v>
      </c>
      <c r="E194" s="92" t="s">
        <v>377</v>
      </c>
      <c r="F194" s="91" t="s">
        <v>316</v>
      </c>
      <c r="G194" s="91" t="s">
        <v>279</v>
      </c>
      <c r="H194" s="91" t="s">
        <v>13</v>
      </c>
      <c r="I194" s="91" t="s">
        <v>235</v>
      </c>
      <c r="J194" s="92" t="s">
        <v>280</v>
      </c>
      <c r="K194" s="93">
        <v>8.26</v>
      </c>
      <c r="L194" s="93">
        <f>K194*VLOOKUP(H194,dagsoorttabel1,2,FALSE)</f>
        <v>1.6520000000000001</v>
      </c>
      <c r="M194" s="94">
        <f>prodnorm100</f>
        <v>0</v>
      </c>
      <c r="N194" s="91" t="s">
        <v>101</v>
      </c>
      <c r="O194" s="26">
        <f>uurtarief100</f>
        <v>0</v>
      </c>
      <c r="P194" s="93" t="e">
        <f>IF(ISBLANK(M194),0,L194/ROUND(M194,4))</f>
        <v>#DIV/0!</v>
      </c>
      <c r="Q194" s="26" t="e">
        <f>ROUND(O194,2)*P194</f>
        <v>#DIV/0!</v>
      </c>
      <c r="R194" s="93" t="e">
        <f>P194*dagenperjaar1</f>
        <v>#DIV/0!</v>
      </c>
      <c r="S194" s="27" t="e">
        <f>R194*ROUND(O194,2)</f>
        <v>#DIV/0!</v>
      </c>
    </row>
    <row r="195" spans="1:19" x14ac:dyDescent="0.2">
      <c r="A195" s="90" t="s">
        <v>473</v>
      </c>
      <c r="B195" s="91" t="s">
        <v>35</v>
      </c>
      <c r="C195" s="91" t="s">
        <v>313</v>
      </c>
      <c r="D195" s="91" t="s">
        <v>341</v>
      </c>
      <c r="E195" s="92" t="s">
        <v>480</v>
      </c>
      <c r="F195" s="91" t="s">
        <v>316</v>
      </c>
      <c r="G195" s="91" t="s">
        <v>277</v>
      </c>
      <c r="H195" s="91" t="s">
        <v>13</v>
      </c>
      <c r="I195" s="91" t="s">
        <v>235</v>
      </c>
      <c r="J195" s="92" t="s">
        <v>278</v>
      </c>
      <c r="K195" s="93">
        <v>3.5</v>
      </c>
      <c r="L195" s="93">
        <f>K195*VLOOKUP(H195,dagsoorttabel1,2,FALSE)</f>
        <v>0.70000000000000007</v>
      </c>
      <c r="M195" s="94">
        <f>prodnorm97</f>
        <v>0</v>
      </c>
      <c r="N195" s="91" t="s">
        <v>101</v>
      </c>
      <c r="O195" s="26">
        <f>uurtarief97</f>
        <v>0</v>
      </c>
      <c r="P195" s="93" t="e">
        <f>IF(ISBLANK(M195),0,L195/ROUND(M195,4))</f>
        <v>#DIV/0!</v>
      </c>
      <c r="Q195" s="26" t="e">
        <f>ROUND(O195,2)*P195</f>
        <v>#DIV/0!</v>
      </c>
      <c r="R195" s="93" t="e">
        <f>P195*dagenperjaar1</f>
        <v>#DIV/0!</v>
      </c>
      <c r="S195" s="27" t="e">
        <f>R195*ROUND(O195,2)</f>
        <v>#DIV/0!</v>
      </c>
    </row>
    <row r="196" spans="1:19" x14ac:dyDescent="0.2">
      <c r="A196" s="90" t="s">
        <v>473</v>
      </c>
      <c r="B196" s="91" t="s">
        <v>35</v>
      </c>
      <c r="C196" s="91" t="s">
        <v>313</v>
      </c>
      <c r="D196" s="91" t="s">
        <v>372</v>
      </c>
      <c r="E196" s="92" t="s">
        <v>481</v>
      </c>
      <c r="F196" s="91" t="s">
        <v>316</v>
      </c>
      <c r="G196" s="91" t="s">
        <v>275</v>
      </c>
      <c r="H196" s="91" t="s">
        <v>13</v>
      </c>
      <c r="I196" s="91" t="s">
        <v>235</v>
      </c>
      <c r="J196" s="92" t="s">
        <v>276</v>
      </c>
      <c r="K196" s="93">
        <v>2.6</v>
      </c>
      <c r="L196" s="93">
        <f>K196*VLOOKUP(H196,dagsoorttabel1,2,FALSE)</f>
        <v>0.52</v>
      </c>
      <c r="M196" s="94">
        <f>prodnorm94</f>
        <v>0</v>
      </c>
      <c r="N196" s="91" t="s">
        <v>101</v>
      </c>
      <c r="O196" s="26">
        <f>uurtarief94</f>
        <v>0</v>
      </c>
      <c r="P196" s="93" t="e">
        <f>IF(ISBLANK(M196),0,L196/ROUND(M196,4))</f>
        <v>#DIV/0!</v>
      </c>
      <c r="Q196" s="26" t="e">
        <f>ROUND(O196,2)*P196</f>
        <v>#DIV/0!</v>
      </c>
      <c r="R196" s="93" t="e">
        <f>P196*dagenperjaar1</f>
        <v>#DIV/0!</v>
      </c>
      <c r="S196" s="27" t="e">
        <f>R196*ROUND(O196,2)</f>
        <v>#DIV/0!</v>
      </c>
    </row>
    <row r="197" spans="1:19" x14ac:dyDescent="0.2">
      <c r="A197" s="90" t="s">
        <v>473</v>
      </c>
      <c r="B197" s="91" t="s">
        <v>35</v>
      </c>
      <c r="C197" s="91" t="s">
        <v>313</v>
      </c>
      <c r="D197" s="91" t="s">
        <v>391</v>
      </c>
      <c r="E197" s="92" t="s">
        <v>482</v>
      </c>
      <c r="F197" s="91" t="s">
        <v>329</v>
      </c>
      <c r="G197" s="91" t="s">
        <v>264</v>
      </c>
      <c r="H197" s="91" t="s">
        <v>13</v>
      </c>
      <c r="I197" s="91" t="s">
        <v>235</v>
      </c>
      <c r="J197" s="92" t="s">
        <v>265</v>
      </c>
      <c r="K197" s="93">
        <v>6.9</v>
      </c>
      <c r="L197" s="93">
        <f>K197*VLOOKUP(H197,dagsoorttabel1,2,FALSE)</f>
        <v>1.3800000000000001</v>
      </c>
      <c r="M197" s="94">
        <f>prodnorm82</f>
        <v>0</v>
      </c>
      <c r="N197" s="91" t="s">
        <v>101</v>
      </c>
      <c r="O197" s="26">
        <f>uurtarief82</f>
        <v>0</v>
      </c>
      <c r="P197" s="93" t="e">
        <f>IF(ISBLANK(M197),0,L197/ROUND(M197,4))</f>
        <v>#DIV/0!</v>
      </c>
      <c r="Q197" s="26" t="e">
        <f>ROUND(O197,2)*P197</f>
        <v>#DIV/0!</v>
      </c>
      <c r="R197" s="93" t="e">
        <f>P197*dagenperjaar1</f>
        <v>#DIV/0!</v>
      </c>
      <c r="S197" s="27" t="e">
        <f>R197*ROUND(O197,2)</f>
        <v>#DIV/0!</v>
      </c>
    </row>
    <row r="198" spans="1:19" x14ac:dyDescent="0.2">
      <c r="A198" s="90" t="s">
        <v>473</v>
      </c>
      <c r="B198" s="91" t="s">
        <v>35</v>
      </c>
      <c r="C198" s="91" t="s">
        <v>313</v>
      </c>
      <c r="D198" s="91" t="s">
        <v>392</v>
      </c>
      <c r="E198" s="92" t="s">
        <v>483</v>
      </c>
      <c r="F198" s="91" t="s">
        <v>329</v>
      </c>
      <c r="G198" s="91" t="s">
        <v>352</v>
      </c>
      <c r="H198" s="91"/>
      <c r="I198" s="91"/>
      <c r="J198" s="91"/>
      <c r="K198" s="93">
        <v>8.6999999999999993</v>
      </c>
      <c r="L198" s="93"/>
      <c r="M198" s="94"/>
      <c r="N198" s="91"/>
      <c r="O198" s="26"/>
      <c r="P198" s="93"/>
      <c r="Q198" s="26"/>
      <c r="R198" s="95"/>
      <c r="S198" s="27"/>
    </row>
    <row r="199" spans="1:19" x14ac:dyDescent="0.2">
      <c r="A199" s="90" t="s">
        <v>473</v>
      </c>
      <c r="B199" s="91" t="s">
        <v>35</v>
      </c>
      <c r="C199" s="91" t="s">
        <v>313</v>
      </c>
      <c r="D199" s="91" t="s">
        <v>393</v>
      </c>
      <c r="E199" s="92" t="s">
        <v>351</v>
      </c>
      <c r="F199" s="91" t="s">
        <v>329</v>
      </c>
      <c r="G199" s="91" t="s">
        <v>352</v>
      </c>
      <c r="H199" s="91"/>
      <c r="I199" s="91"/>
      <c r="J199" s="91"/>
      <c r="K199" s="93">
        <v>21.650000000000002</v>
      </c>
      <c r="L199" s="93"/>
      <c r="M199" s="94"/>
      <c r="N199" s="91"/>
      <c r="O199" s="26"/>
      <c r="P199" s="93"/>
      <c r="Q199" s="26"/>
      <c r="R199" s="95"/>
      <c r="S199" s="27"/>
    </row>
    <row r="200" spans="1:19" x14ac:dyDescent="0.2">
      <c r="A200" s="90" t="s">
        <v>473</v>
      </c>
      <c r="B200" s="91" t="s">
        <v>35</v>
      </c>
      <c r="C200" s="91" t="s">
        <v>313</v>
      </c>
      <c r="D200" s="91" t="s">
        <v>395</v>
      </c>
      <c r="E200" s="92" t="s">
        <v>484</v>
      </c>
      <c r="F200" s="91" t="s">
        <v>316</v>
      </c>
      <c r="G200" s="91" t="s">
        <v>279</v>
      </c>
      <c r="H200" s="91" t="s">
        <v>13</v>
      </c>
      <c r="I200" s="91" t="s">
        <v>235</v>
      </c>
      <c r="J200" s="92" t="s">
        <v>280</v>
      </c>
      <c r="K200" s="93">
        <v>4.2</v>
      </c>
      <c r="L200" s="93">
        <f>K200*VLOOKUP(H200,dagsoorttabel1,2,FALSE)</f>
        <v>0.84000000000000008</v>
      </c>
      <c r="M200" s="94">
        <f>prodnorm100</f>
        <v>0</v>
      </c>
      <c r="N200" s="91" t="s">
        <v>101</v>
      </c>
      <c r="O200" s="26">
        <f>uurtarief100</f>
        <v>0</v>
      </c>
      <c r="P200" s="93" t="e">
        <f>IF(ISBLANK(M200),0,L200/ROUND(M200,4))</f>
        <v>#DIV/0!</v>
      </c>
      <c r="Q200" s="26" t="e">
        <f>ROUND(O200,2)*P200</f>
        <v>#DIV/0!</v>
      </c>
      <c r="R200" s="93" t="e">
        <f>P200*dagenperjaar1</f>
        <v>#DIV/0!</v>
      </c>
      <c r="S200" s="27" t="e">
        <f>R200*ROUND(O200,2)</f>
        <v>#DIV/0!</v>
      </c>
    </row>
    <row r="201" spans="1:19" x14ac:dyDescent="0.2">
      <c r="A201" s="90" t="s">
        <v>473</v>
      </c>
      <c r="B201" s="91" t="s">
        <v>35</v>
      </c>
      <c r="C201" s="91" t="s">
        <v>313</v>
      </c>
      <c r="D201" s="91" t="s">
        <v>397</v>
      </c>
      <c r="E201" s="92" t="s">
        <v>367</v>
      </c>
      <c r="F201" s="91" t="s">
        <v>329</v>
      </c>
      <c r="G201" s="91" t="s">
        <v>283</v>
      </c>
      <c r="H201" s="91" t="s">
        <v>13</v>
      </c>
      <c r="I201" s="91" t="s">
        <v>235</v>
      </c>
      <c r="J201" s="92" t="s">
        <v>284</v>
      </c>
      <c r="K201" s="93">
        <v>44.5</v>
      </c>
      <c r="L201" s="93">
        <f>K201*VLOOKUP(H201,dagsoorttabel1,2,FALSE)</f>
        <v>8.9</v>
      </c>
      <c r="M201" s="94">
        <f>prodnorm106</f>
        <v>0</v>
      </c>
      <c r="N201" s="91" t="s">
        <v>101</v>
      </c>
      <c r="O201" s="26">
        <f>uurtarief106</f>
        <v>0</v>
      </c>
      <c r="P201" s="93" t="e">
        <f>IF(ISBLANK(M201),0,L201/ROUND(M201,4))</f>
        <v>#DIV/0!</v>
      </c>
      <c r="Q201" s="26" t="e">
        <f>ROUND(O201,2)*P201</f>
        <v>#DIV/0!</v>
      </c>
      <c r="R201" s="93" t="e">
        <f>P201*dagenperjaar1</f>
        <v>#DIV/0!</v>
      </c>
      <c r="S201" s="27" t="e">
        <f>R201*ROUND(O201,2)</f>
        <v>#DIV/0!</v>
      </c>
    </row>
    <row r="202" spans="1:19" x14ac:dyDescent="0.2">
      <c r="A202" s="90" t="s">
        <v>473</v>
      </c>
      <c r="B202" s="91" t="s">
        <v>35</v>
      </c>
      <c r="C202" s="91" t="s">
        <v>313</v>
      </c>
      <c r="D202" s="91" t="s">
        <v>399</v>
      </c>
      <c r="E202" s="92" t="s">
        <v>485</v>
      </c>
      <c r="F202" s="91" t="s">
        <v>329</v>
      </c>
      <c r="G202" s="91" t="s">
        <v>352</v>
      </c>
      <c r="H202" s="91"/>
      <c r="I202" s="91"/>
      <c r="J202" s="91"/>
      <c r="K202" s="93">
        <v>1.3</v>
      </c>
      <c r="L202" s="93"/>
      <c r="M202" s="94"/>
      <c r="N202" s="91"/>
      <c r="O202" s="26"/>
      <c r="P202" s="93"/>
      <c r="Q202" s="26"/>
      <c r="R202" s="95"/>
      <c r="S202" s="27"/>
    </row>
    <row r="203" spans="1:19" x14ac:dyDescent="0.2">
      <c r="A203" s="90" t="s">
        <v>473</v>
      </c>
      <c r="B203" s="91" t="s">
        <v>35</v>
      </c>
      <c r="C203" s="91" t="s">
        <v>313</v>
      </c>
      <c r="D203" s="91" t="s">
        <v>401</v>
      </c>
      <c r="E203" s="92" t="s">
        <v>346</v>
      </c>
      <c r="F203" s="91" t="s">
        <v>347</v>
      </c>
      <c r="G203" s="91" t="s">
        <v>262</v>
      </c>
      <c r="H203" s="91" t="s">
        <v>13</v>
      </c>
      <c r="I203" s="91" t="s">
        <v>235</v>
      </c>
      <c r="J203" s="92" t="s">
        <v>263</v>
      </c>
      <c r="K203" s="93">
        <v>51.8</v>
      </c>
      <c r="L203" s="93">
        <f>K203*VLOOKUP(H203,dagsoorttabel1,2,FALSE)</f>
        <v>10.36</v>
      </c>
      <c r="M203" s="94">
        <f>prodnorm78</f>
        <v>0</v>
      </c>
      <c r="N203" s="91" t="s">
        <v>101</v>
      </c>
      <c r="O203" s="26">
        <f>uurtarief78</f>
        <v>0</v>
      </c>
      <c r="P203" s="93" t="e">
        <f>IF(ISBLANK(M203),0,L203/ROUND(M203,4))</f>
        <v>#DIV/0!</v>
      </c>
      <c r="Q203" s="26" t="e">
        <f>ROUND(O203,2)*P203</f>
        <v>#DIV/0!</v>
      </c>
      <c r="R203" s="93" t="e">
        <f>P203*dagenperjaar1</f>
        <v>#DIV/0!</v>
      </c>
      <c r="S203" s="27" t="e">
        <f>R203*ROUND(O203,2)</f>
        <v>#DIV/0!</v>
      </c>
    </row>
    <row r="204" spans="1:19" x14ac:dyDescent="0.2">
      <c r="A204" s="90" t="s">
        <v>473</v>
      </c>
      <c r="B204" s="91" t="s">
        <v>35</v>
      </c>
      <c r="C204" s="91" t="s">
        <v>313</v>
      </c>
      <c r="D204" s="91" t="s">
        <v>486</v>
      </c>
      <c r="E204" s="92" t="s">
        <v>326</v>
      </c>
      <c r="F204" s="91" t="s">
        <v>347</v>
      </c>
      <c r="G204" s="91" t="s">
        <v>260</v>
      </c>
      <c r="H204" s="91" t="s">
        <v>13</v>
      </c>
      <c r="I204" s="91" t="s">
        <v>235</v>
      </c>
      <c r="J204" s="92" t="s">
        <v>261</v>
      </c>
      <c r="K204" s="93">
        <v>44</v>
      </c>
      <c r="L204" s="93">
        <f>K204*VLOOKUP(H204,dagsoorttabel1,2,FALSE)</f>
        <v>8.8000000000000007</v>
      </c>
      <c r="M204" s="94">
        <f>prodnorm75</f>
        <v>0</v>
      </c>
      <c r="N204" s="91" t="s">
        <v>101</v>
      </c>
      <c r="O204" s="26">
        <f>uurtarief75</f>
        <v>0</v>
      </c>
      <c r="P204" s="93" t="e">
        <f>IF(ISBLANK(M204),0,L204/ROUND(M204,4))</f>
        <v>#DIV/0!</v>
      </c>
      <c r="Q204" s="26" t="e">
        <f>ROUND(O204,2)*P204</f>
        <v>#DIV/0!</v>
      </c>
      <c r="R204" s="93" t="e">
        <f>P204*dagenperjaar1</f>
        <v>#DIV/0!</v>
      </c>
      <c r="S204" s="27" t="e">
        <f>R204*ROUND(O204,2)</f>
        <v>#DIV/0!</v>
      </c>
    </row>
    <row r="205" spans="1:19" x14ac:dyDescent="0.2">
      <c r="A205" s="90" t="s">
        <v>473</v>
      </c>
      <c r="B205" s="91" t="s">
        <v>35</v>
      </c>
      <c r="C205" s="91" t="s">
        <v>313</v>
      </c>
      <c r="D205" s="91" t="s">
        <v>487</v>
      </c>
      <c r="E205" s="92" t="s">
        <v>488</v>
      </c>
      <c r="F205" s="91" t="s">
        <v>316</v>
      </c>
      <c r="G205" s="91" t="s">
        <v>279</v>
      </c>
      <c r="H205" s="91" t="s">
        <v>13</v>
      </c>
      <c r="I205" s="91" t="s">
        <v>235</v>
      </c>
      <c r="J205" s="92" t="s">
        <v>280</v>
      </c>
      <c r="K205" s="93">
        <v>8.4</v>
      </c>
      <c r="L205" s="93">
        <f>K205*VLOOKUP(H205,dagsoorttabel1,2,FALSE)</f>
        <v>1.6800000000000002</v>
      </c>
      <c r="M205" s="94">
        <f>prodnorm100</f>
        <v>0</v>
      </c>
      <c r="N205" s="91" t="s">
        <v>101</v>
      </c>
      <c r="O205" s="26">
        <f>uurtarief100</f>
        <v>0</v>
      </c>
      <c r="P205" s="93" t="e">
        <f>IF(ISBLANK(M205),0,L205/ROUND(M205,4))</f>
        <v>#DIV/0!</v>
      </c>
      <c r="Q205" s="26" t="e">
        <f>ROUND(O205,2)*P205</f>
        <v>#DIV/0!</v>
      </c>
      <c r="R205" s="93" t="e">
        <f>P205*dagenperjaar1</f>
        <v>#DIV/0!</v>
      </c>
      <c r="S205" s="27" t="e">
        <f>R205*ROUND(O205,2)</f>
        <v>#DIV/0!</v>
      </c>
    </row>
    <row r="206" spans="1:19" x14ac:dyDescent="0.2">
      <c r="A206" s="90" t="s">
        <v>473</v>
      </c>
      <c r="B206" s="91" t="s">
        <v>35</v>
      </c>
      <c r="C206" s="91" t="s">
        <v>313</v>
      </c>
      <c r="D206" s="91" t="s">
        <v>489</v>
      </c>
      <c r="E206" s="92" t="s">
        <v>377</v>
      </c>
      <c r="F206" s="91" t="s">
        <v>316</v>
      </c>
      <c r="G206" s="91" t="s">
        <v>279</v>
      </c>
      <c r="H206" s="91" t="s">
        <v>13</v>
      </c>
      <c r="I206" s="91" t="s">
        <v>235</v>
      </c>
      <c r="J206" s="92" t="s">
        <v>280</v>
      </c>
      <c r="K206" s="93">
        <v>7.1</v>
      </c>
      <c r="L206" s="93">
        <f>K206*VLOOKUP(H206,dagsoorttabel1,2,FALSE)</f>
        <v>1.42</v>
      </c>
      <c r="M206" s="94">
        <f>prodnorm100</f>
        <v>0</v>
      </c>
      <c r="N206" s="91" t="s">
        <v>101</v>
      </c>
      <c r="O206" s="26">
        <f>uurtarief100</f>
        <v>0</v>
      </c>
      <c r="P206" s="93" t="e">
        <f>IF(ISBLANK(M206),0,L206/ROUND(M206,4))</f>
        <v>#DIV/0!</v>
      </c>
      <c r="Q206" s="26" t="e">
        <f>ROUND(O206,2)*P206</f>
        <v>#DIV/0!</v>
      </c>
      <c r="R206" s="93" t="e">
        <f>P206*dagenperjaar1</f>
        <v>#DIV/0!</v>
      </c>
      <c r="S206" s="27" t="e">
        <f>R206*ROUND(O206,2)</f>
        <v>#DIV/0!</v>
      </c>
    </row>
    <row r="207" spans="1:19" x14ac:dyDescent="0.2">
      <c r="A207" s="90" t="s">
        <v>473</v>
      </c>
      <c r="B207" s="91" t="s">
        <v>35</v>
      </c>
      <c r="C207" s="91" t="s">
        <v>313</v>
      </c>
      <c r="D207" s="91" t="s">
        <v>490</v>
      </c>
      <c r="E207" s="92" t="s">
        <v>315</v>
      </c>
      <c r="F207" s="91" t="s">
        <v>387</v>
      </c>
      <c r="G207" s="91" t="s">
        <v>289</v>
      </c>
      <c r="H207" s="91" t="s">
        <v>13</v>
      </c>
      <c r="I207" s="91" t="s">
        <v>235</v>
      </c>
      <c r="J207" s="92" t="s">
        <v>290</v>
      </c>
      <c r="K207" s="93">
        <v>6.7</v>
      </c>
      <c r="L207" s="93">
        <f>K207*VLOOKUP(H207,dagsoorttabel1,2,FALSE)</f>
        <v>1.34</v>
      </c>
      <c r="M207" s="94">
        <f>prodnorm113</f>
        <v>0</v>
      </c>
      <c r="N207" s="91" t="s">
        <v>101</v>
      </c>
      <c r="O207" s="26">
        <f>uurtarief113</f>
        <v>0</v>
      </c>
      <c r="P207" s="93" t="e">
        <f>IF(ISBLANK(M207),0,L207/ROUND(M207,4))</f>
        <v>#DIV/0!</v>
      </c>
      <c r="Q207" s="26" t="e">
        <f>ROUND(O207,2)*P207</f>
        <v>#DIV/0!</v>
      </c>
      <c r="R207" s="93" t="e">
        <f>P207*dagenperjaar1</f>
        <v>#DIV/0!</v>
      </c>
      <c r="S207" s="27" t="e">
        <f>R207*ROUND(O207,2)</f>
        <v>#DIV/0!</v>
      </c>
    </row>
    <row r="208" spans="1:19" x14ac:dyDescent="0.2">
      <c r="A208" s="90" t="s">
        <v>473</v>
      </c>
      <c r="B208" s="91" t="s">
        <v>35</v>
      </c>
      <c r="C208" s="91" t="s">
        <v>313</v>
      </c>
      <c r="D208" s="91" t="s">
        <v>491</v>
      </c>
      <c r="E208" s="92" t="s">
        <v>318</v>
      </c>
      <c r="F208" s="91" t="s">
        <v>492</v>
      </c>
      <c r="G208" s="91" t="s">
        <v>298</v>
      </c>
      <c r="H208" s="91" t="s">
        <v>13</v>
      </c>
      <c r="I208" s="91" t="s">
        <v>235</v>
      </c>
      <c r="J208" s="92" t="s">
        <v>299</v>
      </c>
      <c r="K208" s="93">
        <v>7</v>
      </c>
      <c r="L208" s="93">
        <f>K208*VLOOKUP(H208,dagsoorttabel1,2,FALSE)</f>
        <v>1.4000000000000001</v>
      </c>
      <c r="M208" s="94">
        <f>prodnorm124</f>
        <v>0</v>
      </c>
      <c r="N208" s="91" t="s">
        <v>101</v>
      </c>
      <c r="O208" s="26">
        <f>uurtarief124</f>
        <v>0</v>
      </c>
      <c r="P208" s="93" t="e">
        <f>IF(ISBLANK(M208),0,L208/ROUND(M208,4))</f>
        <v>#DIV/0!</v>
      </c>
      <c r="Q208" s="26" t="e">
        <f>ROUND(O208,2)*P208</f>
        <v>#DIV/0!</v>
      </c>
      <c r="R208" s="93" t="e">
        <f>P208*dagenperjaar1</f>
        <v>#DIV/0!</v>
      </c>
      <c r="S208" s="27" t="e">
        <f>R208*ROUND(O208,2)</f>
        <v>#DIV/0!</v>
      </c>
    </row>
    <row r="209" spans="1:19" x14ac:dyDescent="0.2">
      <c r="A209" s="90" t="s">
        <v>473</v>
      </c>
      <c r="B209" s="91" t="s">
        <v>35</v>
      </c>
      <c r="C209" s="91" t="s">
        <v>343</v>
      </c>
      <c r="D209" s="91" t="s">
        <v>344</v>
      </c>
      <c r="E209" s="92" t="s">
        <v>493</v>
      </c>
      <c r="F209" s="91" t="s">
        <v>387</v>
      </c>
      <c r="G209" s="91" t="s">
        <v>298</v>
      </c>
      <c r="H209" s="91" t="s">
        <v>13</v>
      </c>
      <c r="I209" s="91" t="s">
        <v>235</v>
      </c>
      <c r="J209" s="92" t="s">
        <v>299</v>
      </c>
      <c r="K209" s="93">
        <v>2.75</v>
      </c>
      <c r="L209" s="93">
        <f>K209*VLOOKUP(H209,dagsoorttabel1,2,FALSE)</f>
        <v>0.55000000000000004</v>
      </c>
      <c r="M209" s="94">
        <f>prodnorm124</f>
        <v>0</v>
      </c>
      <c r="N209" s="91" t="s">
        <v>101</v>
      </c>
      <c r="O209" s="26">
        <f>uurtarief124</f>
        <v>0</v>
      </c>
      <c r="P209" s="93" t="e">
        <f>IF(ISBLANK(M209),0,L209/ROUND(M209,4))</f>
        <v>#DIV/0!</v>
      </c>
      <c r="Q209" s="26" t="e">
        <f>ROUND(O209,2)*P209</f>
        <v>#DIV/0!</v>
      </c>
      <c r="R209" s="93" t="e">
        <f>P209*dagenperjaar1</f>
        <v>#DIV/0!</v>
      </c>
      <c r="S209" s="27" t="e">
        <f>R209*ROUND(O209,2)</f>
        <v>#DIV/0!</v>
      </c>
    </row>
    <row r="210" spans="1:19" x14ac:dyDescent="0.2">
      <c r="A210" s="90" t="s">
        <v>473</v>
      </c>
      <c r="B210" s="91" t="s">
        <v>35</v>
      </c>
      <c r="C210" s="91" t="s">
        <v>343</v>
      </c>
      <c r="D210" s="91" t="s">
        <v>345</v>
      </c>
      <c r="E210" s="92" t="s">
        <v>494</v>
      </c>
      <c r="F210" s="91" t="s">
        <v>387</v>
      </c>
      <c r="G210" s="91" t="s">
        <v>241</v>
      </c>
      <c r="H210" s="91" t="s">
        <v>13</v>
      </c>
      <c r="I210" s="91" t="s">
        <v>235</v>
      </c>
      <c r="J210" s="92" t="s">
        <v>242</v>
      </c>
      <c r="K210" s="93">
        <v>29.6</v>
      </c>
      <c r="L210" s="93">
        <f>K210*VLOOKUP(H210,dagsoorttabel1,2,FALSE)</f>
        <v>5.9200000000000008</v>
      </c>
      <c r="M210" s="94">
        <f>prodnorm56</f>
        <v>0</v>
      </c>
      <c r="N210" s="91" t="s">
        <v>101</v>
      </c>
      <c r="O210" s="26">
        <f>uurtarief56</f>
        <v>0</v>
      </c>
      <c r="P210" s="93" t="e">
        <f>IF(ISBLANK(M210),0,L210/ROUND(M210,4))</f>
        <v>#DIV/0!</v>
      </c>
      <c r="Q210" s="26" t="e">
        <f>ROUND(O210,2)*P210</f>
        <v>#DIV/0!</v>
      </c>
      <c r="R210" s="93" t="e">
        <f>P210*dagenperjaar1</f>
        <v>#DIV/0!</v>
      </c>
      <c r="S210" s="27" t="e">
        <f>R210*ROUND(O210,2)</f>
        <v>#DIV/0!</v>
      </c>
    </row>
    <row r="211" spans="1:19" x14ac:dyDescent="0.2">
      <c r="A211" s="96" t="s">
        <v>473</v>
      </c>
      <c r="B211" s="97" t="s">
        <v>35</v>
      </c>
      <c r="C211" s="97" t="s">
        <v>343</v>
      </c>
      <c r="D211" s="97" t="s">
        <v>348</v>
      </c>
      <c r="E211" s="98" t="s">
        <v>495</v>
      </c>
      <c r="F211" s="97" t="s">
        <v>385</v>
      </c>
      <c r="G211" s="97" t="s">
        <v>352</v>
      </c>
      <c r="H211" s="97"/>
      <c r="I211" s="97"/>
      <c r="J211" s="97"/>
      <c r="K211" s="99">
        <v>41</v>
      </c>
      <c r="L211" s="99"/>
      <c r="M211" s="100"/>
      <c r="N211" s="97"/>
      <c r="O211" s="36"/>
      <c r="P211" s="99"/>
      <c r="Q211" s="36"/>
      <c r="R211" s="102"/>
      <c r="S211" s="37"/>
    </row>
    <row r="212" spans="1:19" x14ac:dyDescent="0.2">
      <c r="A212" s="101" t="s">
        <v>356</v>
      </c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6" t="e">
        <f>IF(_xlfn.SINGLE(object7_urenjaar1)&gt;0,_xlfn.SINGLE(object7_prijsjaar1)/_xlfn.SINGLE(object7_urenjaar1),0)</f>
        <v>#DIV/0!</v>
      </c>
      <c r="P212" s="75" t="e">
        <f>SUM(P182:P211)</f>
        <v>#DIV/0!</v>
      </c>
      <c r="Q212" s="76" t="e">
        <f>SUM(Q182:Q211)</f>
        <v>#DIV/0!</v>
      </c>
      <c r="R212" s="75" t="e">
        <f>SUM(R182:R211)</f>
        <v>#DIV/0!</v>
      </c>
      <c r="S212" s="77" t="e">
        <f>SUM(S182:S211)</f>
        <v>#DIV/0!</v>
      </c>
    </row>
    <row r="213" spans="1:19" x14ac:dyDescent="0.2">
      <c r="A213" s="82" t="s">
        <v>496</v>
      </c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72"/>
    </row>
    <row r="214" spans="1:19" x14ac:dyDescent="0.2">
      <c r="A214" s="83" t="s">
        <v>497</v>
      </c>
      <c r="B214" s="84" t="s">
        <v>35</v>
      </c>
      <c r="C214" s="84" t="s">
        <v>313</v>
      </c>
      <c r="D214" s="84" t="s">
        <v>314</v>
      </c>
      <c r="E214" s="85" t="s">
        <v>417</v>
      </c>
      <c r="F214" s="84" t="s">
        <v>427</v>
      </c>
      <c r="G214" s="84" t="s">
        <v>289</v>
      </c>
      <c r="H214" s="84" t="s">
        <v>12</v>
      </c>
      <c r="I214" s="84" t="s">
        <v>235</v>
      </c>
      <c r="J214" s="85" t="s">
        <v>290</v>
      </c>
      <c r="K214" s="86">
        <v>45.4</v>
      </c>
      <c r="L214" s="86">
        <f>K214*VLOOKUP(H214,dagsoorttabel1,2,FALSE)</f>
        <v>18.16</v>
      </c>
      <c r="M214" s="87">
        <f>prodnorm114</f>
        <v>0</v>
      </c>
      <c r="N214" s="84" t="s">
        <v>101</v>
      </c>
      <c r="O214" s="88">
        <f>uurtarief114</f>
        <v>0</v>
      </c>
      <c r="P214" s="86" t="e">
        <f>IF(ISBLANK(M214),0,L214/ROUND(M214,4))</f>
        <v>#DIV/0!</v>
      </c>
      <c r="Q214" s="88" t="e">
        <f>ROUND(O214,2)*P214</f>
        <v>#DIV/0!</v>
      </c>
      <c r="R214" s="86" t="e">
        <f>P214*dagenperjaar1</f>
        <v>#DIV/0!</v>
      </c>
      <c r="S214" s="89" t="e">
        <f>R214*ROUND(O214,2)</f>
        <v>#DIV/0!</v>
      </c>
    </row>
    <row r="215" spans="1:19" x14ac:dyDescent="0.2">
      <c r="A215" s="90" t="s">
        <v>497</v>
      </c>
      <c r="B215" s="91" t="s">
        <v>35</v>
      </c>
      <c r="C215" s="91" t="s">
        <v>313</v>
      </c>
      <c r="D215" s="91" t="s">
        <v>317</v>
      </c>
      <c r="E215" s="92" t="s">
        <v>418</v>
      </c>
      <c r="F215" s="91" t="s">
        <v>414</v>
      </c>
      <c r="G215" s="91" t="s">
        <v>298</v>
      </c>
      <c r="H215" s="91" t="s">
        <v>12</v>
      </c>
      <c r="I215" s="91" t="s">
        <v>235</v>
      </c>
      <c r="J215" s="92" t="s">
        <v>299</v>
      </c>
      <c r="K215" s="93">
        <v>8.65</v>
      </c>
      <c r="L215" s="93">
        <f>K215*VLOOKUP(H215,dagsoorttabel1,2,FALSE)</f>
        <v>3.4600000000000004</v>
      </c>
      <c r="M215" s="94">
        <f>prodnorm125</f>
        <v>0</v>
      </c>
      <c r="N215" s="91" t="s">
        <v>101</v>
      </c>
      <c r="O215" s="26">
        <f>uurtarief125</f>
        <v>0</v>
      </c>
      <c r="P215" s="93" t="e">
        <f>IF(ISBLANK(M215),0,L215/ROUND(M215,4))</f>
        <v>#DIV/0!</v>
      </c>
      <c r="Q215" s="26" t="e">
        <f>ROUND(O215,2)*P215</f>
        <v>#DIV/0!</v>
      </c>
      <c r="R215" s="93" t="e">
        <f>P215*dagenperjaar1</f>
        <v>#DIV/0!</v>
      </c>
      <c r="S215" s="27" t="e">
        <f>R215*ROUND(O215,2)</f>
        <v>#DIV/0!</v>
      </c>
    </row>
    <row r="216" spans="1:19" x14ac:dyDescent="0.2">
      <c r="A216" s="90" t="s">
        <v>497</v>
      </c>
      <c r="B216" s="91" t="s">
        <v>35</v>
      </c>
      <c r="C216" s="91" t="s">
        <v>313</v>
      </c>
      <c r="D216" s="91" t="s">
        <v>320</v>
      </c>
      <c r="E216" s="92" t="s">
        <v>433</v>
      </c>
      <c r="F216" s="91" t="s">
        <v>414</v>
      </c>
      <c r="G216" s="91" t="s">
        <v>291</v>
      </c>
      <c r="H216" s="91" t="s">
        <v>13</v>
      </c>
      <c r="I216" s="91" t="s">
        <v>235</v>
      </c>
      <c r="J216" s="92" t="s">
        <v>292</v>
      </c>
      <c r="K216" s="93">
        <v>1.75</v>
      </c>
      <c r="L216" s="93">
        <f>K216*VLOOKUP(H216,dagsoorttabel1,2,FALSE)</f>
        <v>0.35000000000000003</v>
      </c>
      <c r="M216" s="94">
        <f>prodnorm116</f>
        <v>0</v>
      </c>
      <c r="N216" s="91" t="s">
        <v>101</v>
      </c>
      <c r="O216" s="26">
        <f>uurtarief116</f>
        <v>0</v>
      </c>
      <c r="P216" s="93" t="e">
        <f>IF(ISBLANK(M216),0,L216/ROUND(M216,4))</f>
        <v>#DIV/0!</v>
      </c>
      <c r="Q216" s="26" t="e">
        <f>ROUND(O216,2)*P216</f>
        <v>#DIV/0!</v>
      </c>
      <c r="R216" s="93" t="e">
        <f>P216*dagenperjaar1</f>
        <v>#DIV/0!</v>
      </c>
      <c r="S216" s="27" t="e">
        <f>R216*ROUND(O216,2)</f>
        <v>#DIV/0!</v>
      </c>
    </row>
    <row r="217" spans="1:19" x14ac:dyDescent="0.2">
      <c r="A217" s="90" t="s">
        <v>497</v>
      </c>
      <c r="B217" s="91" t="s">
        <v>35</v>
      </c>
      <c r="C217" s="91" t="s">
        <v>313</v>
      </c>
      <c r="D217" s="91" t="s">
        <v>322</v>
      </c>
      <c r="E217" s="92" t="s">
        <v>421</v>
      </c>
      <c r="F217" s="91" t="s">
        <v>387</v>
      </c>
      <c r="G217" s="91" t="s">
        <v>241</v>
      </c>
      <c r="H217" s="91" t="s">
        <v>13</v>
      </c>
      <c r="I217" s="91" t="s">
        <v>235</v>
      </c>
      <c r="J217" s="92" t="s">
        <v>242</v>
      </c>
      <c r="K217" s="93">
        <v>33.4</v>
      </c>
      <c r="L217" s="93">
        <f>K217*VLOOKUP(H217,dagsoorttabel1,2,FALSE)</f>
        <v>6.68</v>
      </c>
      <c r="M217" s="94">
        <f>prodnorm56</f>
        <v>0</v>
      </c>
      <c r="N217" s="91" t="s">
        <v>101</v>
      </c>
      <c r="O217" s="26">
        <f>uurtarief56</f>
        <v>0</v>
      </c>
      <c r="P217" s="93" t="e">
        <f>IF(ISBLANK(M217),0,L217/ROUND(M217,4))</f>
        <v>#DIV/0!</v>
      </c>
      <c r="Q217" s="26" t="e">
        <f>ROUND(O217,2)*P217</f>
        <v>#DIV/0!</v>
      </c>
      <c r="R217" s="93" t="e">
        <f>P217*dagenperjaar1</f>
        <v>#DIV/0!</v>
      </c>
      <c r="S217" s="27" t="e">
        <f>R217*ROUND(O217,2)</f>
        <v>#DIV/0!</v>
      </c>
    </row>
    <row r="218" spans="1:19" x14ac:dyDescent="0.2">
      <c r="A218" s="90" t="s">
        <v>497</v>
      </c>
      <c r="B218" s="91" t="s">
        <v>35</v>
      </c>
      <c r="C218" s="91" t="s">
        <v>313</v>
      </c>
      <c r="D218" s="91" t="s">
        <v>324</v>
      </c>
      <c r="E218" s="92" t="s">
        <v>419</v>
      </c>
      <c r="F218" s="91" t="s">
        <v>427</v>
      </c>
      <c r="G218" s="91" t="s">
        <v>283</v>
      </c>
      <c r="H218" s="91" t="s">
        <v>12</v>
      </c>
      <c r="I218" s="91" t="s">
        <v>235</v>
      </c>
      <c r="J218" s="92" t="s">
        <v>284</v>
      </c>
      <c r="K218" s="93">
        <v>12.5</v>
      </c>
      <c r="L218" s="93">
        <f>K218*VLOOKUP(H218,dagsoorttabel1,2,FALSE)</f>
        <v>5</v>
      </c>
      <c r="M218" s="94">
        <f>prodnorm107</f>
        <v>0</v>
      </c>
      <c r="N218" s="91" t="s">
        <v>101</v>
      </c>
      <c r="O218" s="26">
        <f>uurtarief107</f>
        <v>0</v>
      </c>
      <c r="P218" s="93" t="e">
        <f>IF(ISBLANK(M218),0,L218/ROUND(M218,4))</f>
        <v>#DIV/0!</v>
      </c>
      <c r="Q218" s="26" t="e">
        <f>ROUND(O218,2)*P218</f>
        <v>#DIV/0!</v>
      </c>
      <c r="R218" s="93" t="e">
        <f>P218*dagenperjaar1</f>
        <v>#DIV/0!</v>
      </c>
      <c r="S218" s="27" t="e">
        <f>R218*ROUND(O218,2)</f>
        <v>#DIV/0!</v>
      </c>
    </row>
    <row r="219" spans="1:19" x14ac:dyDescent="0.2">
      <c r="A219" s="90" t="s">
        <v>497</v>
      </c>
      <c r="B219" s="91" t="s">
        <v>35</v>
      </c>
      <c r="C219" s="91" t="s">
        <v>313</v>
      </c>
      <c r="D219" s="91" t="s">
        <v>327</v>
      </c>
      <c r="E219" s="92" t="s">
        <v>428</v>
      </c>
      <c r="F219" s="91" t="s">
        <v>427</v>
      </c>
      <c r="G219" s="91" t="s">
        <v>275</v>
      </c>
      <c r="H219" s="91" t="s">
        <v>12</v>
      </c>
      <c r="I219" s="91" t="s">
        <v>235</v>
      </c>
      <c r="J219" s="92" t="s">
        <v>276</v>
      </c>
      <c r="K219" s="93">
        <v>9</v>
      </c>
      <c r="L219" s="93">
        <f>K219*VLOOKUP(H219,dagsoorttabel1,2,FALSE)</f>
        <v>3.6</v>
      </c>
      <c r="M219" s="94">
        <f>prodnorm95</f>
        <v>0</v>
      </c>
      <c r="N219" s="91" t="s">
        <v>101</v>
      </c>
      <c r="O219" s="26">
        <f>uurtarief95</f>
        <v>0</v>
      </c>
      <c r="P219" s="93" t="e">
        <f>IF(ISBLANK(M219),0,L219/ROUND(M219,4))</f>
        <v>#DIV/0!</v>
      </c>
      <c r="Q219" s="26" t="e">
        <f>ROUND(O219,2)*P219</f>
        <v>#DIV/0!</v>
      </c>
      <c r="R219" s="93" t="e">
        <f>P219*dagenperjaar1</f>
        <v>#DIV/0!</v>
      </c>
      <c r="S219" s="27" t="e">
        <f>R219*ROUND(O219,2)</f>
        <v>#DIV/0!</v>
      </c>
    </row>
    <row r="220" spans="1:19" x14ac:dyDescent="0.2">
      <c r="A220" s="90" t="s">
        <v>497</v>
      </c>
      <c r="B220" s="91" t="s">
        <v>35</v>
      </c>
      <c r="C220" s="91" t="s">
        <v>313</v>
      </c>
      <c r="D220" s="91" t="s">
        <v>330</v>
      </c>
      <c r="E220" s="92" t="s">
        <v>428</v>
      </c>
      <c r="F220" s="91" t="s">
        <v>427</v>
      </c>
      <c r="G220" s="91" t="s">
        <v>275</v>
      </c>
      <c r="H220" s="91" t="s">
        <v>12</v>
      </c>
      <c r="I220" s="91" t="s">
        <v>235</v>
      </c>
      <c r="J220" s="92" t="s">
        <v>276</v>
      </c>
      <c r="K220" s="93">
        <v>3.75</v>
      </c>
      <c r="L220" s="93">
        <f>K220*VLOOKUP(H220,dagsoorttabel1,2,FALSE)</f>
        <v>1.5</v>
      </c>
      <c r="M220" s="94">
        <f>prodnorm95</f>
        <v>0</v>
      </c>
      <c r="N220" s="91" t="s">
        <v>101</v>
      </c>
      <c r="O220" s="26">
        <f>uurtarief95</f>
        <v>0</v>
      </c>
      <c r="P220" s="93" t="e">
        <f>IF(ISBLANK(M220),0,L220/ROUND(M220,4))</f>
        <v>#DIV/0!</v>
      </c>
      <c r="Q220" s="26" t="e">
        <f>ROUND(O220,2)*P220</f>
        <v>#DIV/0!</v>
      </c>
      <c r="R220" s="93" t="e">
        <f>P220*dagenperjaar1</f>
        <v>#DIV/0!</v>
      </c>
      <c r="S220" s="27" t="e">
        <f>R220*ROUND(O220,2)</f>
        <v>#DIV/0!</v>
      </c>
    </row>
    <row r="221" spans="1:19" x14ac:dyDescent="0.2">
      <c r="A221" s="90" t="s">
        <v>497</v>
      </c>
      <c r="B221" s="91" t="s">
        <v>35</v>
      </c>
      <c r="C221" s="91" t="s">
        <v>313</v>
      </c>
      <c r="D221" s="91" t="s">
        <v>332</v>
      </c>
      <c r="E221" s="92" t="s">
        <v>498</v>
      </c>
      <c r="F221" s="91" t="s">
        <v>427</v>
      </c>
      <c r="G221" s="91" t="s">
        <v>277</v>
      </c>
      <c r="H221" s="91" t="s">
        <v>12</v>
      </c>
      <c r="I221" s="91" t="s">
        <v>235</v>
      </c>
      <c r="J221" s="92" t="s">
        <v>278</v>
      </c>
      <c r="K221" s="93">
        <v>30</v>
      </c>
      <c r="L221" s="93">
        <f>K221*VLOOKUP(H221,dagsoorttabel1,2,FALSE)</f>
        <v>12</v>
      </c>
      <c r="M221" s="94">
        <f>prodnorm98</f>
        <v>0</v>
      </c>
      <c r="N221" s="91" t="s">
        <v>101</v>
      </c>
      <c r="O221" s="26">
        <f>uurtarief98</f>
        <v>0</v>
      </c>
      <c r="P221" s="93" t="e">
        <f>IF(ISBLANK(M221),0,L221/ROUND(M221,4))</f>
        <v>#DIV/0!</v>
      </c>
      <c r="Q221" s="26" t="e">
        <f>ROUND(O221,2)*P221</f>
        <v>#DIV/0!</v>
      </c>
      <c r="R221" s="93" t="e">
        <f>P221*dagenperjaar1</f>
        <v>#DIV/0!</v>
      </c>
      <c r="S221" s="27" t="e">
        <f>R221*ROUND(O221,2)</f>
        <v>#DIV/0!</v>
      </c>
    </row>
    <row r="222" spans="1:19" x14ac:dyDescent="0.2">
      <c r="A222" s="90" t="s">
        <v>497</v>
      </c>
      <c r="B222" s="91" t="s">
        <v>35</v>
      </c>
      <c r="C222" s="91" t="s">
        <v>313</v>
      </c>
      <c r="D222" s="91" t="s">
        <v>334</v>
      </c>
      <c r="E222" s="92" t="s">
        <v>499</v>
      </c>
      <c r="F222" s="91" t="s">
        <v>427</v>
      </c>
      <c r="G222" s="91" t="s">
        <v>279</v>
      </c>
      <c r="H222" s="91" t="s">
        <v>12</v>
      </c>
      <c r="I222" s="91" t="s">
        <v>235</v>
      </c>
      <c r="J222" s="92" t="s">
        <v>280</v>
      </c>
      <c r="K222" s="93">
        <v>2</v>
      </c>
      <c r="L222" s="93">
        <f>K222*VLOOKUP(H222,dagsoorttabel1,2,FALSE)</f>
        <v>0.8</v>
      </c>
      <c r="M222" s="94">
        <f>prodnorm101</f>
        <v>0</v>
      </c>
      <c r="N222" s="91" t="s">
        <v>101</v>
      </c>
      <c r="O222" s="26">
        <f>uurtarief101</f>
        <v>0</v>
      </c>
      <c r="P222" s="93" t="e">
        <f>IF(ISBLANK(M222),0,L222/ROUND(M222,4))</f>
        <v>#DIV/0!</v>
      </c>
      <c r="Q222" s="26" t="e">
        <f>ROUND(O222,2)*P222</f>
        <v>#DIV/0!</v>
      </c>
      <c r="R222" s="93" t="e">
        <f>P222*dagenperjaar1</f>
        <v>#DIV/0!</v>
      </c>
      <c r="S222" s="27" t="e">
        <f>R222*ROUND(O222,2)</f>
        <v>#DIV/0!</v>
      </c>
    </row>
    <row r="223" spans="1:19" x14ac:dyDescent="0.2">
      <c r="A223" s="90" t="s">
        <v>497</v>
      </c>
      <c r="B223" s="91" t="s">
        <v>35</v>
      </c>
      <c r="C223" s="91" t="s">
        <v>313</v>
      </c>
      <c r="D223" s="91" t="s">
        <v>336</v>
      </c>
      <c r="E223" s="92" t="s">
        <v>442</v>
      </c>
      <c r="F223" s="91" t="s">
        <v>427</v>
      </c>
      <c r="G223" s="91" t="s">
        <v>279</v>
      </c>
      <c r="H223" s="91" t="s">
        <v>12</v>
      </c>
      <c r="I223" s="91" t="s">
        <v>235</v>
      </c>
      <c r="J223" s="92" t="s">
        <v>280</v>
      </c>
      <c r="K223" s="93">
        <v>1.7</v>
      </c>
      <c r="L223" s="93">
        <f>K223*VLOOKUP(H223,dagsoorttabel1,2,FALSE)</f>
        <v>0.68</v>
      </c>
      <c r="M223" s="94">
        <f>prodnorm101</f>
        <v>0</v>
      </c>
      <c r="N223" s="91" t="s">
        <v>101</v>
      </c>
      <c r="O223" s="26">
        <f>uurtarief101</f>
        <v>0</v>
      </c>
      <c r="P223" s="93" t="e">
        <f>IF(ISBLANK(M223),0,L223/ROUND(M223,4))</f>
        <v>#DIV/0!</v>
      </c>
      <c r="Q223" s="26" t="e">
        <f>ROUND(O223,2)*P223</f>
        <v>#DIV/0!</v>
      </c>
      <c r="R223" s="93" t="e">
        <f>P223*dagenperjaar1</f>
        <v>#DIV/0!</v>
      </c>
      <c r="S223" s="27" t="e">
        <f>R223*ROUND(O223,2)</f>
        <v>#DIV/0!</v>
      </c>
    </row>
    <row r="224" spans="1:19" x14ac:dyDescent="0.2">
      <c r="A224" s="90" t="s">
        <v>497</v>
      </c>
      <c r="B224" s="91" t="s">
        <v>35</v>
      </c>
      <c r="C224" s="91" t="s">
        <v>313</v>
      </c>
      <c r="D224" s="91" t="s">
        <v>338</v>
      </c>
      <c r="E224" s="92" t="s">
        <v>500</v>
      </c>
      <c r="F224" s="91" t="s">
        <v>427</v>
      </c>
      <c r="G224" s="91" t="s">
        <v>277</v>
      </c>
      <c r="H224" s="91" t="s">
        <v>12</v>
      </c>
      <c r="I224" s="91" t="s">
        <v>235</v>
      </c>
      <c r="J224" s="92" t="s">
        <v>278</v>
      </c>
      <c r="K224" s="93">
        <v>13</v>
      </c>
      <c r="L224" s="93">
        <f>K224*VLOOKUP(H224,dagsoorttabel1,2,FALSE)</f>
        <v>5.2</v>
      </c>
      <c r="M224" s="94">
        <f>prodnorm98</f>
        <v>0</v>
      </c>
      <c r="N224" s="91" t="s">
        <v>101</v>
      </c>
      <c r="O224" s="26">
        <f>uurtarief98</f>
        <v>0</v>
      </c>
      <c r="P224" s="93" t="e">
        <f>IF(ISBLANK(M224),0,L224/ROUND(M224,4))</f>
        <v>#DIV/0!</v>
      </c>
      <c r="Q224" s="26" t="e">
        <f>ROUND(O224,2)*P224</f>
        <v>#DIV/0!</v>
      </c>
      <c r="R224" s="93" t="e">
        <f>P224*dagenperjaar1</f>
        <v>#DIV/0!</v>
      </c>
      <c r="S224" s="27" t="e">
        <f>R224*ROUND(O224,2)</f>
        <v>#DIV/0!</v>
      </c>
    </row>
    <row r="225" spans="1:19" x14ac:dyDescent="0.2">
      <c r="A225" s="90" t="s">
        <v>497</v>
      </c>
      <c r="B225" s="91" t="s">
        <v>35</v>
      </c>
      <c r="C225" s="91" t="s">
        <v>313</v>
      </c>
      <c r="D225" s="91" t="s">
        <v>339</v>
      </c>
      <c r="E225" s="92" t="s">
        <v>444</v>
      </c>
      <c r="F225" s="91" t="s">
        <v>427</v>
      </c>
      <c r="G225" s="91" t="s">
        <v>279</v>
      </c>
      <c r="H225" s="91" t="s">
        <v>12</v>
      </c>
      <c r="I225" s="91" t="s">
        <v>235</v>
      </c>
      <c r="J225" s="92" t="s">
        <v>280</v>
      </c>
      <c r="K225" s="93">
        <v>1.3</v>
      </c>
      <c r="L225" s="93">
        <f>K225*VLOOKUP(H225,dagsoorttabel1,2,FALSE)</f>
        <v>0.52</v>
      </c>
      <c r="M225" s="94">
        <f>prodnorm101</f>
        <v>0</v>
      </c>
      <c r="N225" s="91" t="s">
        <v>101</v>
      </c>
      <c r="O225" s="26">
        <f>uurtarief101</f>
        <v>0</v>
      </c>
      <c r="P225" s="93" t="e">
        <f>IF(ISBLANK(M225),0,L225/ROUND(M225,4))</f>
        <v>#DIV/0!</v>
      </c>
      <c r="Q225" s="26" t="e">
        <f>ROUND(O225,2)*P225</f>
        <v>#DIV/0!</v>
      </c>
      <c r="R225" s="93" t="e">
        <f>P225*dagenperjaar1</f>
        <v>#DIV/0!</v>
      </c>
      <c r="S225" s="27" t="e">
        <f>R225*ROUND(O225,2)</f>
        <v>#DIV/0!</v>
      </c>
    </row>
    <row r="226" spans="1:19" x14ac:dyDescent="0.2">
      <c r="A226" s="90" t="s">
        <v>497</v>
      </c>
      <c r="B226" s="91" t="s">
        <v>35</v>
      </c>
      <c r="C226" s="91" t="s">
        <v>313</v>
      </c>
      <c r="D226" s="91" t="s">
        <v>341</v>
      </c>
      <c r="E226" s="92" t="s">
        <v>501</v>
      </c>
      <c r="F226" s="91" t="s">
        <v>427</v>
      </c>
      <c r="G226" s="91" t="s">
        <v>275</v>
      </c>
      <c r="H226" s="91" t="s">
        <v>12</v>
      </c>
      <c r="I226" s="91" t="s">
        <v>235</v>
      </c>
      <c r="J226" s="92" t="s">
        <v>276</v>
      </c>
      <c r="K226" s="93">
        <v>2.5</v>
      </c>
      <c r="L226" s="93">
        <f>K226*VLOOKUP(H226,dagsoorttabel1,2,FALSE)</f>
        <v>1</v>
      </c>
      <c r="M226" s="94">
        <f>prodnorm95</f>
        <v>0</v>
      </c>
      <c r="N226" s="91" t="s">
        <v>101</v>
      </c>
      <c r="O226" s="26">
        <f>uurtarief95</f>
        <v>0</v>
      </c>
      <c r="P226" s="93" t="e">
        <f>IF(ISBLANK(M226),0,L226/ROUND(M226,4))</f>
        <v>#DIV/0!</v>
      </c>
      <c r="Q226" s="26" t="e">
        <f>ROUND(O226,2)*P226</f>
        <v>#DIV/0!</v>
      </c>
      <c r="R226" s="93" t="e">
        <f>P226*dagenperjaar1</f>
        <v>#DIV/0!</v>
      </c>
      <c r="S226" s="27" t="e">
        <f>R226*ROUND(O226,2)</f>
        <v>#DIV/0!</v>
      </c>
    </row>
    <row r="227" spans="1:19" x14ac:dyDescent="0.2">
      <c r="A227" s="90" t="s">
        <v>497</v>
      </c>
      <c r="B227" s="91" t="s">
        <v>35</v>
      </c>
      <c r="C227" s="91" t="s">
        <v>313</v>
      </c>
      <c r="D227" s="91" t="s">
        <v>372</v>
      </c>
      <c r="E227" s="92" t="s">
        <v>419</v>
      </c>
      <c r="F227" s="91" t="s">
        <v>427</v>
      </c>
      <c r="G227" s="91" t="s">
        <v>283</v>
      </c>
      <c r="H227" s="91" t="s">
        <v>12</v>
      </c>
      <c r="I227" s="91" t="s">
        <v>235</v>
      </c>
      <c r="J227" s="92" t="s">
        <v>284</v>
      </c>
      <c r="K227" s="93">
        <v>5.5</v>
      </c>
      <c r="L227" s="93">
        <f>K227*VLOOKUP(H227,dagsoorttabel1,2,FALSE)</f>
        <v>2.2000000000000002</v>
      </c>
      <c r="M227" s="94">
        <f>prodnorm107</f>
        <v>0</v>
      </c>
      <c r="N227" s="91" t="s">
        <v>101</v>
      </c>
      <c r="O227" s="26">
        <f>uurtarief107</f>
        <v>0</v>
      </c>
      <c r="P227" s="93" t="e">
        <f>IF(ISBLANK(M227),0,L227/ROUND(M227,4))</f>
        <v>#DIV/0!</v>
      </c>
      <c r="Q227" s="26" t="e">
        <f>ROUND(O227,2)*P227</f>
        <v>#DIV/0!</v>
      </c>
      <c r="R227" s="93" t="e">
        <f>P227*dagenperjaar1</f>
        <v>#DIV/0!</v>
      </c>
      <c r="S227" s="27" t="e">
        <f>R227*ROUND(O227,2)</f>
        <v>#DIV/0!</v>
      </c>
    </row>
    <row r="228" spans="1:19" x14ac:dyDescent="0.2">
      <c r="A228" s="90" t="s">
        <v>497</v>
      </c>
      <c r="B228" s="91" t="s">
        <v>35</v>
      </c>
      <c r="C228" s="91" t="s">
        <v>313</v>
      </c>
      <c r="D228" s="91" t="s">
        <v>502</v>
      </c>
      <c r="E228" s="92" t="s">
        <v>419</v>
      </c>
      <c r="F228" s="91" t="s">
        <v>387</v>
      </c>
      <c r="G228" s="91" t="s">
        <v>285</v>
      </c>
      <c r="H228" s="91" t="s">
        <v>12</v>
      </c>
      <c r="I228" s="91" t="s">
        <v>235</v>
      </c>
      <c r="J228" s="92" t="s">
        <v>286</v>
      </c>
      <c r="K228" s="93">
        <v>4</v>
      </c>
      <c r="L228" s="93">
        <f>K228*VLOOKUP(H228,dagsoorttabel1,2,FALSE)</f>
        <v>1.6</v>
      </c>
      <c r="M228" s="94">
        <f>prodnorm110</f>
        <v>0</v>
      </c>
      <c r="N228" s="91" t="s">
        <v>101</v>
      </c>
      <c r="O228" s="26">
        <f>uurtarief110</f>
        <v>0</v>
      </c>
      <c r="P228" s="93" t="e">
        <f>IF(ISBLANK(M228),0,L228/ROUND(M228,4))</f>
        <v>#DIV/0!</v>
      </c>
      <c r="Q228" s="26" t="e">
        <f>ROUND(O228,2)*P228</f>
        <v>#DIV/0!</v>
      </c>
      <c r="R228" s="93" t="e">
        <f>P228*dagenperjaar1</f>
        <v>#DIV/0!</v>
      </c>
      <c r="S228" s="27" t="e">
        <f>R228*ROUND(O228,2)</f>
        <v>#DIV/0!</v>
      </c>
    </row>
    <row r="229" spans="1:19" x14ac:dyDescent="0.2">
      <c r="A229" s="90" t="s">
        <v>497</v>
      </c>
      <c r="B229" s="91" t="s">
        <v>35</v>
      </c>
      <c r="C229" s="91" t="s">
        <v>313</v>
      </c>
      <c r="D229" s="91" t="s">
        <v>391</v>
      </c>
      <c r="E229" s="92" t="s">
        <v>460</v>
      </c>
      <c r="F229" s="91" t="s">
        <v>427</v>
      </c>
      <c r="G229" s="91" t="s">
        <v>277</v>
      </c>
      <c r="H229" s="91" t="s">
        <v>12</v>
      </c>
      <c r="I229" s="91" t="s">
        <v>235</v>
      </c>
      <c r="J229" s="92" t="s">
        <v>278</v>
      </c>
      <c r="K229" s="93">
        <v>14.4</v>
      </c>
      <c r="L229" s="93">
        <f>K229*VLOOKUP(H229,dagsoorttabel1,2,FALSE)</f>
        <v>5.7600000000000007</v>
      </c>
      <c r="M229" s="94">
        <f>prodnorm98</f>
        <v>0</v>
      </c>
      <c r="N229" s="91" t="s">
        <v>101</v>
      </c>
      <c r="O229" s="26">
        <f>uurtarief98</f>
        <v>0</v>
      </c>
      <c r="P229" s="93" t="e">
        <f>IF(ISBLANK(M229),0,L229/ROUND(M229,4))</f>
        <v>#DIV/0!</v>
      </c>
      <c r="Q229" s="26" t="e">
        <f>ROUND(O229,2)*P229</f>
        <v>#DIV/0!</v>
      </c>
      <c r="R229" s="93" t="e">
        <f>P229*dagenperjaar1</f>
        <v>#DIV/0!</v>
      </c>
      <c r="S229" s="27" t="e">
        <f>R229*ROUND(O229,2)</f>
        <v>#DIV/0!</v>
      </c>
    </row>
    <row r="230" spans="1:19" ht="25.2" x14ac:dyDescent="0.2">
      <c r="A230" s="90" t="s">
        <v>497</v>
      </c>
      <c r="B230" s="91" t="s">
        <v>35</v>
      </c>
      <c r="C230" s="91" t="s">
        <v>313</v>
      </c>
      <c r="D230" s="91" t="s">
        <v>392</v>
      </c>
      <c r="E230" s="92" t="s">
        <v>503</v>
      </c>
      <c r="F230" s="91" t="s">
        <v>424</v>
      </c>
      <c r="G230" s="91" t="s">
        <v>293</v>
      </c>
      <c r="H230" s="91" t="s">
        <v>21</v>
      </c>
      <c r="I230" s="91" t="s">
        <v>235</v>
      </c>
      <c r="J230" s="92" t="s">
        <v>294</v>
      </c>
      <c r="K230" s="93">
        <v>13.4</v>
      </c>
      <c r="L230" s="93">
        <f>K230*VLOOKUP(H230,dagsoorttabel1,2,FALSE)</f>
        <v>5.153846153846154E-2</v>
      </c>
      <c r="M230" s="94">
        <f>prodnorm118</f>
        <v>0</v>
      </c>
      <c r="N230" s="91" t="s">
        <v>101</v>
      </c>
      <c r="O230" s="26">
        <f>uurtarief118</f>
        <v>0</v>
      </c>
      <c r="P230" s="93" t="e">
        <f>IF(ISBLANK(M230),0,L230/ROUND(M230,4))</f>
        <v>#DIV/0!</v>
      </c>
      <c r="Q230" s="26" t="e">
        <f>ROUND(O230,2)*P230</f>
        <v>#DIV/0!</v>
      </c>
      <c r="R230" s="93" t="e">
        <f>P230*dagenperjaar1</f>
        <v>#DIV/0!</v>
      </c>
      <c r="S230" s="27" t="e">
        <f>R230*ROUND(O230,2)</f>
        <v>#DIV/0!</v>
      </c>
    </row>
    <row r="231" spans="1:19" x14ac:dyDescent="0.2">
      <c r="A231" s="90" t="s">
        <v>497</v>
      </c>
      <c r="B231" s="91" t="s">
        <v>35</v>
      </c>
      <c r="C231" s="91" t="s">
        <v>313</v>
      </c>
      <c r="D231" s="91" t="s">
        <v>393</v>
      </c>
      <c r="E231" s="92" t="s">
        <v>504</v>
      </c>
      <c r="F231" s="91" t="s">
        <v>424</v>
      </c>
      <c r="G231" s="91" t="s">
        <v>264</v>
      </c>
      <c r="H231" s="91" t="s">
        <v>21</v>
      </c>
      <c r="I231" s="91" t="s">
        <v>235</v>
      </c>
      <c r="J231" s="92" t="s">
        <v>265</v>
      </c>
      <c r="K231" s="93">
        <v>12.6</v>
      </c>
      <c r="L231" s="93">
        <f>K231*VLOOKUP(H231,dagsoorttabel1,2,FALSE)</f>
        <v>4.8461538461538466E-2</v>
      </c>
      <c r="M231" s="94">
        <f>prodnorm81</f>
        <v>0</v>
      </c>
      <c r="N231" s="91" t="s">
        <v>101</v>
      </c>
      <c r="O231" s="26">
        <f>uurtarief81</f>
        <v>0</v>
      </c>
      <c r="P231" s="93" t="e">
        <f>IF(ISBLANK(M231),0,L231/ROUND(M231,4))</f>
        <v>#DIV/0!</v>
      </c>
      <c r="Q231" s="26" t="e">
        <f>ROUND(O231,2)*P231</f>
        <v>#DIV/0!</v>
      </c>
      <c r="R231" s="93" t="e">
        <f>P231*dagenperjaar1</f>
        <v>#DIV/0!</v>
      </c>
      <c r="S231" s="27" t="e">
        <f>R231*ROUND(O231,2)</f>
        <v>#DIV/0!</v>
      </c>
    </row>
    <row r="232" spans="1:19" x14ac:dyDescent="0.2">
      <c r="A232" s="90" t="s">
        <v>497</v>
      </c>
      <c r="B232" s="91" t="s">
        <v>35</v>
      </c>
      <c r="C232" s="91" t="s">
        <v>313</v>
      </c>
      <c r="D232" s="91" t="s">
        <v>394</v>
      </c>
      <c r="E232" s="92" t="s">
        <v>432</v>
      </c>
      <c r="F232" s="91" t="s">
        <v>424</v>
      </c>
      <c r="G232" s="91" t="s">
        <v>252</v>
      </c>
      <c r="H232" s="91" t="s">
        <v>21</v>
      </c>
      <c r="I232" s="91" t="s">
        <v>235</v>
      </c>
      <c r="J232" s="92" t="s">
        <v>253</v>
      </c>
      <c r="K232" s="93">
        <v>20</v>
      </c>
      <c r="L232" s="93">
        <f>K232*VLOOKUP(H232,dagsoorttabel1,2,FALSE)</f>
        <v>7.6923076923076927E-2</v>
      </c>
      <c r="M232" s="94">
        <f>prodnorm67</f>
        <v>0</v>
      </c>
      <c r="N232" s="91" t="s">
        <v>101</v>
      </c>
      <c r="O232" s="26">
        <f>uurtarief67</f>
        <v>0</v>
      </c>
      <c r="P232" s="93" t="e">
        <f>IF(ISBLANK(M232),0,L232/ROUND(M232,4))</f>
        <v>#DIV/0!</v>
      </c>
      <c r="Q232" s="26" t="e">
        <f>ROUND(O232,2)*P232</f>
        <v>#DIV/0!</v>
      </c>
      <c r="R232" s="93" t="e">
        <f>P232*dagenperjaar1</f>
        <v>#DIV/0!</v>
      </c>
      <c r="S232" s="27" t="e">
        <f>R232*ROUND(O232,2)</f>
        <v>#DIV/0!</v>
      </c>
    </row>
    <row r="233" spans="1:19" x14ac:dyDescent="0.2">
      <c r="A233" s="90" t="s">
        <v>497</v>
      </c>
      <c r="B233" s="91" t="s">
        <v>35</v>
      </c>
      <c r="C233" s="91" t="s">
        <v>313</v>
      </c>
      <c r="D233" s="91" t="s">
        <v>395</v>
      </c>
      <c r="E233" s="92" t="s">
        <v>505</v>
      </c>
      <c r="F233" s="91" t="s">
        <v>424</v>
      </c>
      <c r="G233" s="91" t="s">
        <v>352</v>
      </c>
      <c r="H233" s="91"/>
      <c r="I233" s="91"/>
      <c r="J233" s="91"/>
      <c r="K233" s="93">
        <v>14.4</v>
      </c>
      <c r="L233" s="93"/>
      <c r="M233" s="94"/>
      <c r="N233" s="91"/>
      <c r="O233" s="26"/>
      <c r="P233" s="93"/>
      <c r="Q233" s="26"/>
      <c r="R233" s="95"/>
      <c r="S233" s="27"/>
    </row>
    <row r="234" spans="1:19" x14ac:dyDescent="0.2">
      <c r="A234" s="90" t="s">
        <v>497</v>
      </c>
      <c r="B234" s="91" t="s">
        <v>35</v>
      </c>
      <c r="C234" s="91" t="s">
        <v>313</v>
      </c>
      <c r="D234" s="91" t="s">
        <v>397</v>
      </c>
      <c r="E234" s="92" t="s">
        <v>435</v>
      </c>
      <c r="F234" s="91" t="s">
        <v>414</v>
      </c>
      <c r="G234" s="91" t="s">
        <v>252</v>
      </c>
      <c r="H234" s="91" t="s">
        <v>21</v>
      </c>
      <c r="I234" s="91" t="s">
        <v>235</v>
      </c>
      <c r="J234" s="92" t="s">
        <v>253</v>
      </c>
      <c r="K234" s="93">
        <v>56</v>
      </c>
      <c r="L234" s="93">
        <f>K234*VLOOKUP(H234,dagsoorttabel1,2,FALSE)</f>
        <v>0.2153846153846154</v>
      </c>
      <c r="M234" s="94">
        <f>prodnorm67</f>
        <v>0</v>
      </c>
      <c r="N234" s="91" t="s">
        <v>101</v>
      </c>
      <c r="O234" s="26">
        <f>uurtarief67</f>
        <v>0</v>
      </c>
      <c r="P234" s="93" t="e">
        <f>IF(ISBLANK(M234),0,L234/ROUND(M234,4))</f>
        <v>#DIV/0!</v>
      </c>
      <c r="Q234" s="26" t="e">
        <f>ROUND(O234,2)*P234</f>
        <v>#DIV/0!</v>
      </c>
      <c r="R234" s="93" t="e">
        <f>P234*dagenperjaar1</f>
        <v>#DIV/0!</v>
      </c>
      <c r="S234" s="27" t="e">
        <f>R234*ROUND(O234,2)</f>
        <v>#DIV/0!</v>
      </c>
    </row>
    <row r="235" spans="1:19" x14ac:dyDescent="0.2">
      <c r="A235" s="90" t="s">
        <v>497</v>
      </c>
      <c r="B235" s="91" t="s">
        <v>35</v>
      </c>
      <c r="C235" s="91" t="s">
        <v>313</v>
      </c>
      <c r="D235" s="91" t="s">
        <v>399</v>
      </c>
      <c r="E235" s="92" t="s">
        <v>506</v>
      </c>
      <c r="F235" s="91" t="s">
        <v>329</v>
      </c>
      <c r="G235" s="91" t="s">
        <v>277</v>
      </c>
      <c r="H235" s="91" t="s">
        <v>13</v>
      </c>
      <c r="I235" s="91" t="s">
        <v>235</v>
      </c>
      <c r="J235" s="92" t="s">
        <v>278</v>
      </c>
      <c r="K235" s="93">
        <v>42.4</v>
      </c>
      <c r="L235" s="93">
        <f>K235*VLOOKUP(H235,dagsoorttabel1,2,FALSE)</f>
        <v>8.48</v>
      </c>
      <c r="M235" s="94">
        <f>prodnorm97</f>
        <v>0</v>
      </c>
      <c r="N235" s="91" t="s">
        <v>101</v>
      </c>
      <c r="O235" s="26">
        <f>uurtarief97</f>
        <v>0</v>
      </c>
      <c r="P235" s="93" t="e">
        <f>IF(ISBLANK(M235),0,L235/ROUND(M235,4))</f>
        <v>#DIV/0!</v>
      </c>
      <c r="Q235" s="26" t="e">
        <f>ROUND(O235,2)*P235</f>
        <v>#DIV/0!</v>
      </c>
      <c r="R235" s="93" t="e">
        <f>P235*dagenperjaar1</f>
        <v>#DIV/0!</v>
      </c>
      <c r="S235" s="27" t="e">
        <f>R235*ROUND(O235,2)</f>
        <v>#DIV/0!</v>
      </c>
    </row>
    <row r="236" spans="1:19" x14ac:dyDescent="0.2">
      <c r="A236" s="90" t="s">
        <v>497</v>
      </c>
      <c r="B236" s="91" t="s">
        <v>35</v>
      </c>
      <c r="C236" s="91" t="s">
        <v>313</v>
      </c>
      <c r="D236" s="91" t="s">
        <v>401</v>
      </c>
      <c r="E236" s="92" t="s">
        <v>423</v>
      </c>
      <c r="F236" s="91" t="s">
        <v>329</v>
      </c>
      <c r="G236" s="91" t="s">
        <v>252</v>
      </c>
      <c r="H236" s="91" t="s">
        <v>21</v>
      </c>
      <c r="I236" s="91" t="s">
        <v>235</v>
      </c>
      <c r="J236" s="92" t="s">
        <v>253</v>
      </c>
      <c r="K236" s="93">
        <v>236</v>
      </c>
      <c r="L236" s="93">
        <f>K236*VLOOKUP(H236,dagsoorttabel1,2,FALSE)</f>
        <v>0.9076923076923078</v>
      </c>
      <c r="M236" s="94">
        <f>prodnorm67</f>
        <v>0</v>
      </c>
      <c r="N236" s="91" t="s">
        <v>101</v>
      </c>
      <c r="O236" s="26">
        <f>uurtarief67</f>
        <v>0</v>
      </c>
      <c r="P236" s="93" t="e">
        <f>IF(ISBLANK(M236),0,L236/ROUND(M236,4))</f>
        <v>#DIV/0!</v>
      </c>
      <c r="Q236" s="26" t="e">
        <f>ROUND(O236,2)*P236</f>
        <v>#DIV/0!</v>
      </c>
      <c r="R236" s="93" t="e">
        <f>P236*dagenperjaar1</f>
        <v>#DIV/0!</v>
      </c>
      <c r="S236" s="27" t="e">
        <f>R236*ROUND(O236,2)</f>
        <v>#DIV/0!</v>
      </c>
    </row>
    <row r="237" spans="1:19" ht="25.2" x14ac:dyDescent="0.2">
      <c r="A237" s="90" t="s">
        <v>497</v>
      </c>
      <c r="B237" s="91" t="s">
        <v>35</v>
      </c>
      <c r="C237" s="91" t="s">
        <v>343</v>
      </c>
      <c r="D237" s="91" t="s">
        <v>344</v>
      </c>
      <c r="E237" s="92" t="s">
        <v>507</v>
      </c>
      <c r="F237" s="91" t="s">
        <v>387</v>
      </c>
      <c r="G237" s="91" t="s">
        <v>250</v>
      </c>
      <c r="H237" s="91" t="s">
        <v>12</v>
      </c>
      <c r="I237" s="91" t="s">
        <v>235</v>
      </c>
      <c r="J237" s="92" t="s">
        <v>251</v>
      </c>
      <c r="K237" s="93">
        <v>50.5</v>
      </c>
      <c r="L237" s="93">
        <f>K237*VLOOKUP(H237,dagsoorttabel1,2,FALSE)</f>
        <v>20.200000000000003</v>
      </c>
      <c r="M237" s="94">
        <f>prodnorm65</f>
        <v>0</v>
      </c>
      <c r="N237" s="91" t="s">
        <v>101</v>
      </c>
      <c r="O237" s="26">
        <f>uurtarief65</f>
        <v>0</v>
      </c>
      <c r="P237" s="93" t="e">
        <f>IF(ISBLANK(M237),0,L237/ROUND(M237,4))</f>
        <v>#DIV/0!</v>
      </c>
      <c r="Q237" s="26" t="e">
        <f>ROUND(O237,2)*P237</f>
        <v>#DIV/0!</v>
      </c>
      <c r="R237" s="93" t="e">
        <f>P237*dagenperjaar1</f>
        <v>#DIV/0!</v>
      </c>
      <c r="S237" s="27" t="e">
        <f>R237*ROUND(O237,2)</f>
        <v>#DIV/0!</v>
      </c>
    </row>
    <row r="238" spans="1:19" x14ac:dyDescent="0.2">
      <c r="A238" s="90" t="s">
        <v>497</v>
      </c>
      <c r="B238" s="91" t="s">
        <v>35</v>
      </c>
      <c r="C238" s="91" t="s">
        <v>343</v>
      </c>
      <c r="D238" s="91" t="s">
        <v>345</v>
      </c>
      <c r="E238" s="92" t="s">
        <v>439</v>
      </c>
      <c r="F238" s="91" t="s">
        <v>443</v>
      </c>
      <c r="G238" s="91" t="s">
        <v>270</v>
      </c>
      <c r="H238" s="91" t="s">
        <v>12</v>
      </c>
      <c r="I238" s="91" t="s">
        <v>235</v>
      </c>
      <c r="J238" s="92" t="s">
        <v>271</v>
      </c>
      <c r="K238" s="93">
        <v>21.7</v>
      </c>
      <c r="L238" s="93">
        <f>K238*VLOOKUP(H238,dagsoorttabel1,2,FALSE)</f>
        <v>8.68</v>
      </c>
      <c r="M238" s="94">
        <f>prodnorm90</f>
        <v>0</v>
      </c>
      <c r="N238" s="91" t="s">
        <v>101</v>
      </c>
      <c r="O238" s="26">
        <f>uurtarief90</f>
        <v>0</v>
      </c>
      <c r="P238" s="93" t="e">
        <f>IF(ISBLANK(M238),0,L238/ROUND(M238,4))</f>
        <v>#DIV/0!</v>
      </c>
      <c r="Q238" s="26" t="e">
        <f>ROUND(O238,2)*P238</f>
        <v>#DIV/0!</v>
      </c>
      <c r="R238" s="93" t="e">
        <f>P238*dagenperjaar1</f>
        <v>#DIV/0!</v>
      </c>
      <c r="S238" s="27" t="e">
        <f>R238*ROUND(O238,2)</f>
        <v>#DIV/0!</v>
      </c>
    </row>
    <row r="239" spans="1:19" x14ac:dyDescent="0.2">
      <c r="A239" s="90" t="s">
        <v>497</v>
      </c>
      <c r="B239" s="91" t="s">
        <v>35</v>
      </c>
      <c r="C239" s="91" t="s">
        <v>343</v>
      </c>
      <c r="D239" s="91" t="s">
        <v>345</v>
      </c>
      <c r="E239" s="92" t="s">
        <v>439</v>
      </c>
      <c r="F239" s="91" t="s">
        <v>387</v>
      </c>
      <c r="G239" s="91" t="s">
        <v>273</v>
      </c>
      <c r="H239" s="91" t="s">
        <v>12</v>
      </c>
      <c r="I239" s="91" t="s">
        <v>235</v>
      </c>
      <c r="J239" s="92" t="s">
        <v>274</v>
      </c>
      <c r="K239" s="93">
        <v>20</v>
      </c>
      <c r="L239" s="93">
        <f>K239*VLOOKUP(H239,dagsoorttabel1,2,FALSE)</f>
        <v>8</v>
      </c>
      <c r="M239" s="94">
        <f>prodnorm93</f>
        <v>0</v>
      </c>
      <c r="N239" s="91" t="s">
        <v>101</v>
      </c>
      <c r="O239" s="26">
        <f>uurtarief93</f>
        <v>0</v>
      </c>
      <c r="P239" s="93" t="e">
        <f>IF(ISBLANK(M239),0,L239/ROUND(M239,4))</f>
        <v>#DIV/0!</v>
      </c>
      <c r="Q239" s="26" t="e">
        <f>ROUND(O239,2)*P239</f>
        <v>#DIV/0!</v>
      </c>
      <c r="R239" s="93" t="e">
        <f>P239*dagenperjaar1</f>
        <v>#DIV/0!</v>
      </c>
      <c r="S239" s="27" t="e">
        <f>R239*ROUND(O239,2)</f>
        <v>#DIV/0!</v>
      </c>
    </row>
    <row r="240" spans="1:19" x14ac:dyDescent="0.2">
      <c r="A240" s="90" t="s">
        <v>497</v>
      </c>
      <c r="B240" s="91" t="s">
        <v>35</v>
      </c>
      <c r="C240" s="91" t="s">
        <v>343</v>
      </c>
      <c r="D240" s="91" t="s">
        <v>345</v>
      </c>
      <c r="E240" s="92" t="s">
        <v>439</v>
      </c>
      <c r="F240" s="91" t="s">
        <v>508</v>
      </c>
      <c r="G240" s="91" t="s">
        <v>270</v>
      </c>
      <c r="H240" s="91" t="s">
        <v>12</v>
      </c>
      <c r="I240" s="91" t="s">
        <v>235</v>
      </c>
      <c r="J240" s="92" t="s">
        <v>271</v>
      </c>
      <c r="K240" s="93">
        <v>20</v>
      </c>
      <c r="L240" s="93">
        <f>K240*VLOOKUP(H240,dagsoorttabel1,2,FALSE)</f>
        <v>8</v>
      </c>
      <c r="M240" s="94">
        <f>prodnorm90</f>
        <v>0</v>
      </c>
      <c r="N240" s="91" t="s">
        <v>101</v>
      </c>
      <c r="O240" s="26">
        <f>uurtarief90</f>
        <v>0</v>
      </c>
      <c r="P240" s="93" t="e">
        <f>IF(ISBLANK(M240),0,L240/ROUND(M240,4))</f>
        <v>#DIV/0!</v>
      </c>
      <c r="Q240" s="26" t="e">
        <f>ROUND(O240,2)*P240</f>
        <v>#DIV/0!</v>
      </c>
      <c r="R240" s="93" t="e">
        <f>P240*dagenperjaar1</f>
        <v>#DIV/0!</v>
      </c>
      <c r="S240" s="27" t="e">
        <f>R240*ROUND(O240,2)</f>
        <v>#DIV/0!</v>
      </c>
    </row>
    <row r="241" spans="1:19" x14ac:dyDescent="0.2">
      <c r="A241" s="90" t="s">
        <v>497</v>
      </c>
      <c r="B241" s="91" t="s">
        <v>35</v>
      </c>
      <c r="C241" s="91" t="s">
        <v>343</v>
      </c>
      <c r="D241" s="91" t="s">
        <v>348</v>
      </c>
      <c r="E241" s="92" t="s">
        <v>467</v>
      </c>
      <c r="F241" s="91" t="s">
        <v>427</v>
      </c>
      <c r="G241" s="91" t="s">
        <v>266</v>
      </c>
      <c r="H241" s="91" t="s">
        <v>12</v>
      </c>
      <c r="I241" s="91" t="s">
        <v>235</v>
      </c>
      <c r="J241" s="92" t="s">
        <v>267</v>
      </c>
      <c r="K241" s="93">
        <v>13.450000000000001</v>
      </c>
      <c r="L241" s="93">
        <f>K241*VLOOKUP(H241,dagsoorttabel1,2,FALSE)</f>
        <v>5.3800000000000008</v>
      </c>
      <c r="M241" s="94">
        <f>prodnorm84</f>
        <v>0</v>
      </c>
      <c r="N241" s="91" t="s">
        <v>101</v>
      </c>
      <c r="O241" s="26">
        <f>uurtarief84</f>
        <v>0</v>
      </c>
      <c r="P241" s="93" t="e">
        <f>IF(ISBLANK(M241),0,L241/ROUND(M241,4))</f>
        <v>#DIV/0!</v>
      </c>
      <c r="Q241" s="26" t="e">
        <f>ROUND(O241,2)*P241</f>
        <v>#DIV/0!</v>
      </c>
      <c r="R241" s="93" t="e">
        <f>P241*dagenperjaar1</f>
        <v>#DIV/0!</v>
      </c>
      <c r="S241" s="27" t="e">
        <f>R241*ROUND(O241,2)</f>
        <v>#DIV/0!</v>
      </c>
    </row>
    <row r="242" spans="1:19" x14ac:dyDescent="0.2">
      <c r="A242" s="90" t="s">
        <v>497</v>
      </c>
      <c r="B242" s="91" t="s">
        <v>35</v>
      </c>
      <c r="C242" s="91" t="s">
        <v>343</v>
      </c>
      <c r="D242" s="91" t="s">
        <v>350</v>
      </c>
      <c r="E242" s="92" t="s">
        <v>442</v>
      </c>
      <c r="F242" s="91" t="s">
        <v>427</v>
      </c>
      <c r="G242" s="91" t="s">
        <v>279</v>
      </c>
      <c r="H242" s="91" t="s">
        <v>12</v>
      </c>
      <c r="I242" s="91" t="s">
        <v>235</v>
      </c>
      <c r="J242" s="92" t="s">
        <v>280</v>
      </c>
      <c r="K242" s="93">
        <v>9.6999999999999993</v>
      </c>
      <c r="L242" s="93">
        <f>K242*VLOOKUP(H242,dagsoorttabel1,2,FALSE)</f>
        <v>3.88</v>
      </c>
      <c r="M242" s="94">
        <f>prodnorm101</f>
        <v>0</v>
      </c>
      <c r="N242" s="91" t="s">
        <v>101</v>
      </c>
      <c r="O242" s="26">
        <f>uurtarief101</f>
        <v>0</v>
      </c>
      <c r="P242" s="93" t="e">
        <f>IF(ISBLANK(M242),0,L242/ROUND(M242,4))</f>
        <v>#DIV/0!</v>
      </c>
      <c r="Q242" s="26" t="e">
        <f>ROUND(O242,2)*P242</f>
        <v>#DIV/0!</v>
      </c>
      <c r="R242" s="93" t="e">
        <f>P242*dagenperjaar1</f>
        <v>#DIV/0!</v>
      </c>
      <c r="S242" s="27" t="e">
        <f>R242*ROUND(O242,2)</f>
        <v>#DIV/0!</v>
      </c>
    </row>
    <row r="243" spans="1:19" x14ac:dyDescent="0.2">
      <c r="A243" s="90" t="s">
        <v>497</v>
      </c>
      <c r="B243" s="91" t="s">
        <v>35</v>
      </c>
      <c r="C243" s="91" t="s">
        <v>343</v>
      </c>
      <c r="D243" s="91" t="s">
        <v>353</v>
      </c>
      <c r="E243" s="92" t="s">
        <v>444</v>
      </c>
      <c r="F243" s="91" t="s">
        <v>427</v>
      </c>
      <c r="G243" s="91" t="s">
        <v>279</v>
      </c>
      <c r="H243" s="91" t="s">
        <v>12</v>
      </c>
      <c r="I243" s="91" t="s">
        <v>235</v>
      </c>
      <c r="J243" s="92" t="s">
        <v>280</v>
      </c>
      <c r="K243" s="93">
        <v>5.5</v>
      </c>
      <c r="L243" s="93">
        <f>K243*VLOOKUP(H243,dagsoorttabel1,2,FALSE)</f>
        <v>2.2000000000000002</v>
      </c>
      <c r="M243" s="94">
        <f>prodnorm101</f>
        <v>0</v>
      </c>
      <c r="N243" s="91" t="s">
        <v>101</v>
      </c>
      <c r="O243" s="26">
        <f>uurtarief101</f>
        <v>0</v>
      </c>
      <c r="P243" s="93" t="e">
        <f>IF(ISBLANK(M243),0,L243/ROUND(M243,4))</f>
        <v>#DIV/0!</v>
      </c>
      <c r="Q243" s="26" t="e">
        <f>ROUND(O243,2)*P243</f>
        <v>#DIV/0!</v>
      </c>
      <c r="R243" s="93" t="e">
        <f>P243*dagenperjaar1</f>
        <v>#DIV/0!</v>
      </c>
      <c r="S243" s="27" t="e">
        <f>R243*ROUND(O243,2)</f>
        <v>#DIV/0!</v>
      </c>
    </row>
    <row r="244" spans="1:19" x14ac:dyDescent="0.2">
      <c r="A244" s="90" t="s">
        <v>497</v>
      </c>
      <c r="B244" s="91" t="s">
        <v>35</v>
      </c>
      <c r="C244" s="91" t="s">
        <v>343</v>
      </c>
      <c r="D244" s="91" t="s">
        <v>355</v>
      </c>
      <c r="E244" s="92" t="s">
        <v>419</v>
      </c>
      <c r="F244" s="91" t="s">
        <v>361</v>
      </c>
      <c r="G244" s="91" t="s">
        <v>283</v>
      </c>
      <c r="H244" s="91" t="s">
        <v>12</v>
      </c>
      <c r="I244" s="91" t="s">
        <v>235</v>
      </c>
      <c r="J244" s="92" t="s">
        <v>284</v>
      </c>
      <c r="K244" s="93">
        <v>33</v>
      </c>
      <c r="L244" s="93">
        <f>K244*VLOOKUP(H244,dagsoorttabel1,2,FALSE)</f>
        <v>13.200000000000001</v>
      </c>
      <c r="M244" s="94">
        <f>prodnorm107</f>
        <v>0</v>
      </c>
      <c r="N244" s="91" t="s">
        <v>101</v>
      </c>
      <c r="O244" s="26">
        <f>uurtarief107</f>
        <v>0</v>
      </c>
      <c r="P244" s="93" t="e">
        <f>IF(ISBLANK(M244),0,L244/ROUND(M244,4))</f>
        <v>#DIV/0!</v>
      </c>
      <c r="Q244" s="26" t="e">
        <f>ROUND(O244,2)*P244</f>
        <v>#DIV/0!</v>
      </c>
      <c r="R244" s="93" t="e">
        <f>P244*dagenperjaar1</f>
        <v>#DIV/0!</v>
      </c>
      <c r="S244" s="27" t="e">
        <f>R244*ROUND(O244,2)</f>
        <v>#DIV/0!</v>
      </c>
    </row>
    <row r="245" spans="1:19" x14ac:dyDescent="0.2">
      <c r="A245" s="96" t="s">
        <v>497</v>
      </c>
      <c r="B245" s="97" t="s">
        <v>35</v>
      </c>
      <c r="C245" s="97" t="s">
        <v>343</v>
      </c>
      <c r="D245" s="97" t="s">
        <v>379</v>
      </c>
      <c r="E245" s="98" t="s">
        <v>509</v>
      </c>
      <c r="F245" s="97" t="s">
        <v>361</v>
      </c>
      <c r="G245" s="97" t="s">
        <v>283</v>
      </c>
      <c r="H245" s="97" t="s">
        <v>12</v>
      </c>
      <c r="I245" s="97" t="s">
        <v>235</v>
      </c>
      <c r="J245" s="98" t="s">
        <v>284</v>
      </c>
      <c r="K245" s="99">
        <v>31.4</v>
      </c>
      <c r="L245" s="99">
        <f>K245*VLOOKUP(H245,dagsoorttabel1,2,FALSE)</f>
        <v>12.56</v>
      </c>
      <c r="M245" s="100">
        <f>prodnorm107</f>
        <v>0</v>
      </c>
      <c r="N245" s="97" t="s">
        <v>101</v>
      </c>
      <c r="O245" s="36">
        <f>uurtarief107</f>
        <v>0</v>
      </c>
      <c r="P245" s="99" t="e">
        <f>IF(ISBLANK(M245),0,L245/ROUND(M245,4))</f>
        <v>#DIV/0!</v>
      </c>
      <c r="Q245" s="36" t="e">
        <f>ROUND(O245,2)*P245</f>
        <v>#DIV/0!</v>
      </c>
      <c r="R245" s="99" t="e">
        <f>P245*dagenperjaar1</f>
        <v>#DIV/0!</v>
      </c>
      <c r="S245" s="37" t="e">
        <f>R245*ROUND(O245,2)</f>
        <v>#DIV/0!</v>
      </c>
    </row>
    <row r="246" spans="1:19" x14ac:dyDescent="0.2">
      <c r="A246" s="101" t="s">
        <v>356</v>
      </c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6" t="e">
        <f>IF(_xlfn.SINGLE(object8_urenjaar1)&gt;0,_xlfn.SINGLE(object8_prijsjaar1)/_xlfn.SINGLE(object8_urenjaar1),0)</f>
        <v>#DIV/0!</v>
      </c>
      <c r="P246" s="75" t="e">
        <f>SUM(P214:P245)</f>
        <v>#DIV/0!</v>
      </c>
      <c r="Q246" s="76" t="e">
        <f>SUM(Q214:Q245)</f>
        <v>#DIV/0!</v>
      </c>
      <c r="R246" s="75" t="e">
        <f>SUM(R214:R245)</f>
        <v>#DIV/0!</v>
      </c>
      <c r="S246" s="77" t="e">
        <f>SUM(S214:S245)</f>
        <v>#DIV/0!</v>
      </c>
    </row>
    <row r="247" spans="1:19" x14ac:dyDescent="0.2">
      <c r="A247" s="82" t="s">
        <v>510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72"/>
    </row>
    <row r="248" spans="1:19" x14ac:dyDescent="0.2">
      <c r="A248" s="83" t="s">
        <v>511</v>
      </c>
      <c r="B248" s="84" t="s">
        <v>35</v>
      </c>
      <c r="C248" s="84" t="s">
        <v>313</v>
      </c>
      <c r="D248" s="84" t="s">
        <v>314</v>
      </c>
      <c r="E248" s="85" t="s">
        <v>418</v>
      </c>
      <c r="F248" s="84" t="s">
        <v>390</v>
      </c>
      <c r="G248" s="84" t="s">
        <v>298</v>
      </c>
      <c r="H248" s="84" t="s">
        <v>13</v>
      </c>
      <c r="I248" s="84" t="s">
        <v>235</v>
      </c>
      <c r="J248" s="85" t="s">
        <v>299</v>
      </c>
      <c r="K248" s="86">
        <v>4.3</v>
      </c>
      <c r="L248" s="86">
        <f>K248*VLOOKUP(H248,dagsoorttabel1,2,FALSE)</f>
        <v>0.86</v>
      </c>
      <c r="M248" s="87">
        <f>prodnorm124</f>
        <v>0</v>
      </c>
      <c r="N248" s="84" t="s">
        <v>101</v>
      </c>
      <c r="O248" s="88">
        <f>uurtarief124</f>
        <v>0</v>
      </c>
      <c r="P248" s="86" t="e">
        <f>IF(ISBLANK(M248),0,L248/ROUND(M248,4))</f>
        <v>#DIV/0!</v>
      </c>
      <c r="Q248" s="88" t="e">
        <f>ROUND(O248,2)*P248</f>
        <v>#DIV/0!</v>
      </c>
      <c r="R248" s="86" t="e">
        <f>P248*dagenperjaar1</f>
        <v>#DIV/0!</v>
      </c>
      <c r="S248" s="89" t="e">
        <f>R248*ROUND(O248,2)</f>
        <v>#DIV/0!</v>
      </c>
    </row>
    <row r="249" spans="1:19" x14ac:dyDescent="0.2">
      <c r="A249" s="90" t="s">
        <v>511</v>
      </c>
      <c r="B249" s="91" t="s">
        <v>35</v>
      </c>
      <c r="C249" s="91" t="s">
        <v>313</v>
      </c>
      <c r="D249" s="91" t="s">
        <v>317</v>
      </c>
      <c r="E249" s="92" t="s">
        <v>417</v>
      </c>
      <c r="F249" s="91" t="s">
        <v>329</v>
      </c>
      <c r="G249" s="91" t="s">
        <v>287</v>
      </c>
      <c r="H249" s="91" t="s">
        <v>13</v>
      </c>
      <c r="I249" s="91" t="s">
        <v>235</v>
      </c>
      <c r="J249" s="92" t="s">
        <v>288</v>
      </c>
      <c r="K249" s="93">
        <v>15.2</v>
      </c>
      <c r="L249" s="93">
        <f>K249*VLOOKUP(H249,dagsoorttabel1,2,FALSE)</f>
        <v>3.04</v>
      </c>
      <c r="M249" s="94">
        <f>prodnorm112</f>
        <v>0</v>
      </c>
      <c r="N249" s="91" t="s">
        <v>101</v>
      </c>
      <c r="O249" s="26">
        <f>uurtarief112</f>
        <v>0</v>
      </c>
      <c r="P249" s="93" t="e">
        <f>IF(ISBLANK(M249),0,L249/ROUND(M249,4))</f>
        <v>#DIV/0!</v>
      </c>
      <c r="Q249" s="26" t="e">
        <f>ROUND(O249,2)*P249</f>
        <v>#DIV/0!</v>
      </c>
      <c r="R249" s="93" t="e">
        <f>P249*dagenperjaar1</f>
        <v>#DIV/0!</v>
      </c>
      <c r="S249" s="27" t="e">
        <f>R249*ROUND(O249,2)</f>
        <v>#DIV/0!</v>
      </c>
    </row>
    <row r="250" spans="1:19" x14ac:dyDescent="0.2">
      <c r="A250" s="90" t="s">
        <v>511</v>
      </c>
      <c r="B250" s="91" t="s">
        <v>35</v>
      </c>
      <c r="C250" s="91" t="s">
        <v>313</v>
      </c>
      <c r="D250" s="91" t="s">
        <v>512</v>
      </c>
      <c r="E250" s="92" t="s">
        <v>417</v>
      </c>
      <c r="F250" s="91" t="s">
        <v>513</v>
      </c>
      <c r="G250" s="91" t="s">
        <v>289</v>
      </c>
      <c r="H250" s="91" t="s">
        <v>13</v>
      </c>
      <c r="I250" s="91" t="s">
        <v>235</v>
      </c>
      <c r="J250" s="92" t="s">
        <v>290</v>
      </c>
      <c r="K250" s="93">
        <v>4</v>
      </c>
      <c r="L250" s="93">
        <f>K250*VLOOKUP(H250,dagsoorttabel1,2,FALSE)</f>
        <v>0.8</v>
      </c>
      <c r="M250" s="94">
        <f>prodnorm113</f>
        <v>0</v>
      </c>
      <c r="N250" s="91" t="s">
        <v>101</v>
      </c>
      <c r="O250" s="26">
        <f>uurtarief113</f>
        <v>0</v>
      </c>
      <c r="P250" s="93" t="e">
        <f>IF(ISBLANK(M250),0,L250/ROUND(M250,4))</f>
        <v>#DIV/0!</v>
      </c>
      <c r="Q250" s="26" t="e">
        <f>ROUND(O250,2)*P250</f>
        <v>#DIV/0!</v>
      </c>
      <c r="R250" s="93" t="e">
        <f>P250*dagenperjaar1</f>
        <v>#DIV/0!</v>
      </c>
      <c r="S250" s="27" t="e">
        <f>R250*ROUND(O250,2)</f>
        <v>#DIV/0!</v>
      </c>
    </row>
    <row r="251" spans="1:19" x14ac:dyDescent="0.2">
      <c r="A251" s="90" t="s">
        <v>511</v>
      </c>
      <c r="B251" s="91" t="s">
        <v>35</v>
      </c>
      <c r="C251" s="91" t="s">
        <v>313</v>
      </c>
      <c r="D251" s="91" t="s">
        <v>320</v>
      </c>
      <c r="E251" s="92" t="s">
        <v>442</v>
      </c>
      <c r="F251" s="91" t="s">
        <v>329</v>
      </c>
      <c r="G251" s="91" t="s">
        <v>279</v>
      </c>
      <c r="H251" s="91" t="s">
        <v>13</v>
      </c>
      <c r="I251" s="91" t="s">
        <v>235</v>
      </c>
      <c r="J251" s="92" t="s">
        <v>280</v>
      </c>
      <c r="K251" s="93">
        <v>5.25</v>
      </c>
      <c r="L251" s="93">
        <f>K251*VLOOKUP(H251,dagsoorttabel1,2,FALSE)</f>
        <v>1.05</v>
      </c>
      <c r="M251" s="94">
        <f>prodnorm100</f>
        <v>0</v>
      </c>
      <c r="N251" s="91" t="s">
        <v>101</v>
      </c>
      <c r="O251" s="26">
        <f>uurtarief100</f>
        <v>0</v>
      </c>
      <c r="P251" s="93" t="e">
        <f>IF(ISBLANK(M251),0,L251/ROUND(M251,4))</f>
        <v>#DIV/0!</v>
      </c>
      <c r="Q251" s="26" t="e">
        <f>ROUND(O251,2)*P251</f>
        <v>#DIV/0!</v>
      </c>
      <c r="R251" s="93" t="e">
        <f>P251*dagenperjaar1</f>
        <v>#DIV/0!</v>
      </c>
      <c r="S251" s="27" t="e">
        <f>R251*ROUND(O251,2)</f>
        <v>#DIV/0!</v>
      </c>
    </row>
    <row r="252" spans="1:19" x14ac:dyDescent="0.2">
      <c r="A252" s="90" t="s">
        <v>511</v>
      </c>
      <c r="B252" s="91" t="s">
        <v>35</v>
      </c>
      <c r="C252" s="91" t="s">
        <v>313</v>
      </c>
      <c r="D252" s="91" t="s">
        <v>322</v>
      </c>
      <c r="E252" s="92" t="s">
        <v>444</v>
      </c>
      <c r="F252" s="91" t="s">
        <v>329</v>
      </c>
      <c r="G252" s="91" t="s">
        <v>279</v>
      </c>
      <c r="H252" s="91" t="s">
        <v>13</v>
      </c>
      <c r="I252" s="91" t="s">
        <v>235</v>
      </c>
      <c r="J252" s="92" t="s">
        <v>280</v>
      </c>
      <c r="K252" s="93">
        <v>1.45</v>
      </c>
      <c r="L252" s="93">
        <f>K252*VLOOKUP(H252,dagsoorttabel1,2,FALSE)</f>
        <v>0.28999999999999998</v>
      </c>
      <c r="M252" s="94">
        <f>prodnorm100</f>
        <v>0</v>
      </c>
      <c r="N252" s="91" t="s">
        <v>101</v>
      </c>
      <c r="O252" s="26">
        <f>uurtarief100</f>
        <v>0</v>
      </c>
      <c r="P252" s="93" t="e">
        <f>IF(ISBLANK(M252),0,L252/ROUND(M252,4))</f>
        <v>#DIV/0!</v>
      </c>
      <c r="Q252" s="26" t="e">
        <f>ROUND(O252,2)*P252</f>
        <v>#DIV/0!</v>
      </c>
      <c r="R252" s="93" t="e">
        <f>P252*dagenperjaar1</f>
        <v>#DIV/0!</v>
      </c>
      <c r="S252" s="27" t="e">
        <f>R252*ROUND(O252,2)</f>
        <v>#DIV/0!</v>
      </c>
    </row>
    <row r="253" spans="1:19" x14ac:dyDescent="0.2">
      <c r="A253" s="90" t="s">
        <v>511</v>
      </c>
      <c r="B253" s="91" t="s">
        <v>35</v>
      </c>
      <c r="C253" s="91" t="s">
        <v>313</v>
      </c>
      <c r="D253" s="91" t="s">
        <v>324</v>
      </c>
      <c r="E253" s="92" t="s">
        <v>514</v>
      </c>
      <c r="F253" s="91" t="s">
        <v>329</v>
      </c>
      <c r="G253" s="91" t="s">
        <v>275</v>
      </c>
      <c r="H253" s="91" t="s">
        <v>13</v>
      </c>
      <c r="I253" s="91" t="s">
        <v>235</v>
      </c>
      <c r="J253" s="92" t="s">
        <v>276</v>
      </c>
      <c r="K253" s="93">
        <v>3.9</v>
      </c>
      <c r="L253" s="93">
        <f>K253*VLOOKUP(H253,dagsoorttabel1,2,FALSE)</f>
        <v>0.78</v>
      </c>
      <c r="M253" s="94">
        <f>prodnorm94</f>
        <v>0</v>
      </c>
      <c r="N253" s="91" t="s">
        <v>101</v>
      </c>
      <c r="O253" s="26">
        <f>uurtarief94</f>
        <v>0</v>
      </c>
      <c r="P253" s="93" t="e">
        <f>IF(ISBLANK(M253),0,L253/ROUND(M253,4))</f>
        <v>#DIV/0!</v>
      </c>
      <c r="Q253" s="26" t="e">
        <f>ROUND(O253,2)*P253</f>
        <v>#DIV/0!</v>
      </c>
      <c r="R253" s="93" t="e">
        <f>P253*dagenperjaar1</f>
        <v>#DIV/0!</v>
      </c>
      <c r="S253" s="27" t="e">
        <f>R253*ROUND(O253,2)</f>
        <v>#DIV/0!</v>
      </c>
    </row>
    <row r="254" spans="1:19" x14ac:dyDescent="0.2">
      <c r="A254" s="90" t="s">
        <v>511</v>
      </c>
      <c r="B254" s="91" t="s">
        <v>35</v>
      </c>
      <c r="C254" s="91" t="s">
        <v>313</v>
      </c>
      <c r="D254" s="91" t="s">
        <v>325</v>
      </c>
      <c r="E254" s="92" t="s">
        <v>515</v>
      </c>
      <c r="F254" s="91" t="s">
        <v>329</v>
      </c>
      <c r="G254" s="91" t="s">
        <v>275</v>
      </c>
      <c r="H254" s="91" t="s">
        <v>13</v>
      </c>
      <c r="I254" s="91" t="s">
        <v>235</v>
      </c>
      <c r="J254" s="92" t="s">
        <v>276</v>
      </c>
      <c r="K254" s="93">
        <v>11.5</v>
      </c>
      <c r="L254" s="93">
        <f>K254*VLOOKUP(H254,dagsoorttabel1,2,FALSE)</f>
        <v>2.3000000000000003</v>
      </c>
      <c r="M254" s="94">
        <f>prodnorm94</f>
        <v>0</v>
      </c>
      <c r="N254" s="91" t="s">
        <v>101</v>
      </c>
      <c r="O254" s="26">
        <f>uurtarief94</f>
        <v>0</v>
      </c>
      <c r="P254" s="93" t="e">
        <f>IF(ISBLANK(M254),0,L254/ROUND(M254,4))</f>
        <v>#DIV/0!</v>
      </c>
      <c r="Q254" s="26" t="e">
        <f>ROUND(O254,2)*P254</f>
        <v>#DIV/0!</v>
      </c>
      <c r="R254" s="93" t="e">
        <f>P254*dagenperjaar1</f>
        <v>#DIV/0!</v>
      </c>
      <c r="S254" s="27" t="e">
        <f>R254*ROUND(O254,2)</f>
        <v>#DIV/0!</v>
      </c>
    </row>
    <row r="255" spans="1:19" ht="25.2" x14ac:dyDescent="0.2">
      <c r="A255" s="90" t="s">
        <v>511</v>
      </c>
      <c r="B255" s="91" t="s">
        <v>35</v>
      </c>
      <c r="C255" s="91" t="s">
        <v>313</v>
      </c>
      <c r="D255" s="91" t="s">
        <v>327</v>
      </c>
      <c r="E255" s="92" t="s">
        <v>516</v>
      </c>
      <c r="F255" s="91" t="s">
        <v>329</v>
      </c>
      <c r="G255" s="91" t="s">
        <v>293</v>
      </c>
      <c r="H255" s="91" t="s">
        <v>13</v>
      </c>
      <c r="I255" s="91" t="s">
        <v>235</v>
      </c>
      <c r="J255" s="92" t="s">
        <v>294</v>
      </c>
      <c r="K255" s="93">
        <v>31.8</v>
      </c>
      <c r="L255" s="93">
        <f>K255*VLOOKUP(H255,dagsoorttabel1,2,FALSE)</f>
        <v>6.36</v>
      </c>
      <c r="M255" s="94">
        <f>prodnorm119</f>
        <v>0</v>
      </c>
      <c r="N255" s="91" t="s">
        <v>101</v>
      </c>
      <c r="O255" s="26">
        <f>uurtarief119</f>
        <v>0</v>
      </c>
      <c r="P255" s="93" t="e">
        <f>IF(ISBLANK(M255),0,L255/ROUND(M255,4))</f>
        <v>#DIV/0!</v>
      </c>
      <c r="Q255" s="26" t="e">
        <f>ROUND(O255,2)*P255</f>
        <v>#DIV/0!</v>
      </c>
      <c r="R255" s="93" t="e">
        <f>P255*dagenperjaar1</f>
        <v>#DIV/0!</v>
      </c>
      <c r="S255" s="27" t="e">
        <f>R255*ROUND(O255,2)</f>
        <v>#DIV/0!</v>
      </c>
    </row>
    <row r="256" spans="1:19" x14ac:dyDescent="0.2">
      <c r="A256" s="90" t="s">
        <v>511</v>
      </c>
      <c r="B256" s="91" t="s">
        <v>35</v>
      </c>
      <c r="C256" s="91" t="s">
        <v>313</v>
      </c>
      <c r="D256" s="91" t="s">
        <v>330</v>
      </c>
      <c r="E256" s="92" t="s">
        <v>469</v>
      </c>
      <c r="F256" s="91" t="s">
        <v>329</v>
      </c>
      <c r="G256" s="91" t="s">
        <v>352</v>
      </c>
      <c r="H256" s="91"/>
      <c r="I256" s="91"/>
      <c r="J256" s="91"/>
      <c r="K256" s="93">
        <v>13.4</v>
      </c>
      <c r="L256" s="93"/>
      <c r="M256" s="94"/>
      <c r="N256" s="91"/>
      <c r="O256" s="26"/>
      <c r="P256" s="93"/>
      <c r="Q256" s="26"/>
      <c r="R256" s="95"/>
      <c r="S256" s="27"/>
    </row>
    <row r="257" spans="1:19" x14ac:dyDescent="0.2">
      <c r="A257" s="90" t="s">
        <v>511</v>
      </c>
      <c r="B257" s="91" t="s">
        <v>35</v>
      </c>
      <c r="C257" s="91" t="s">
        <v>313</v>
      </c>
      <c r="D257" s="91" t="s">
        <v>334</v>
      </c>
      <c r="E257" s="92" t="s">
        <v>423</v>
      </c>
      <c r="F257" s="91" t="s">
        <v>424</v>
      </c>
      <c r="G257" s="91" t="s">
        <v>252</v>
      </c>
      <c r="H257" s="91" t="s">
        <v>21</v>
      </c>
      <c r="I257" s="91" t="s">
        <v>235</v>
      </c>
      <c r="J257" s="92" t="s">
        <v>253</v>
      </c>
      <c r="K257" s="93">
        <v>124</v>
      </c>
      <c r="L257" s="93">
        <f>K257*VLOOKUP(H257,dagsoorttabel1,2,FALSE)</f>
        <v>0.47692307692307695</v>
      </c>
      <c r="M257" s="94">
        <f>prodnorm67</f>
        <v>0</v>
      </c>
      <c r="N257" s="91" t="s">
        <v>101</v>
      </c>
      <c r="O257" s="26">
        <f>uurtarief67</f>
        <v>0</v>
      </c>
      <c r="P257" s="93" t="e">
        <f>IF(ISBLANK(M257),0,L257/ROUND(M257,4))</f>
        <v>#DIV/0!</v>
      </c>
      <c r="Q257" s="26" t="e">
        <f>ROUND(O257,2)*P257</f>
        <v>#DIV/0!</v>
      </c>
      <c r="R257" s="93" t="e">
        <f>P257*dagenperjaar1</f>
        <v>#DIV/0!</v>
      </c>
      <c r="S257" s="27" t="e">
        <f>R257*ROUND(O257,2)</f>
        <v>#DIV/0!</v>
      </c>
    </row>
    <row r="258" spans="1:19" x14ac:dyDescent="0.2">
      <c r="A258" s="90" t="s">
        <v>511</v>
      </c>
      <c r="B258" s="91" t="s">
        <v>35</v>
      </c>
      <c r="C258" s="91" t="s">
        <v>343</v>
      </c>
      <c r="D258" s="91" t="s">
        <v>344</v>
      </c>
      <c r="E258" s="92" t="s">
        <v>509</v>
      </c>
      <c r="F258" s="91" t="s">
        <v>361</v>
      </c>
      <c r="G258" s="91" t="s">
        <v>283</v>
      </c>
      <c r="H258" s="91" t="s">
        <v>13</v>
      </c>
      <c r="I258" s="91" t="s">
        <v>235</v>
      </c>
      <c r="J258" s="92" t="s">
        <v>284</v>
      </c>
      <c r="K258" s="93">
        <v>10.3</v>
      </c>
      <c r="L258" s="93">
        <f>K258*VLOOKUP(H258,dagsoorttabel1,2,FALSE)</f>
        <v>2.06</v>
      </c>
      <c r="M258" s="94">
        <f>prodnorm106</f>
        <v>0</v>
      </c>
      <c r="N258" s="91" t="s">
        <v>101</v>
      </c>
      <c r="O258" s="26">
        <f>uurtarief106</f>
        <v>0</v>
      </c>
      <c r="P258" s="93" t="e">
        <f>IF(ISBLANK(M258),0,L258/ROUND(M258,4))</f>
        <v>#DIV/0!</v>
      </c>
      <c r="Q258" s="26" t="e">
        <f>ROUND(O258,2)*P258</f>
        <v>#DIV/0!</v>
      </c>
      <c r="R258" s="93" t="e">
        <f>P258*dagenperjaar1</f>
        <v>#DIV/0!</v>
      </c>
      <c r="S258" s="27" t="e">
        <f>R258*ROUND(O258,2)</f>
        <v>#DIV/0!</v>
      </c>
    </row>
    <row r="259" spans="1:19" x14ac:dyDescent="0.2">
      <c r="A259" s="90" t="s">
        <v>511</v>
      </c>
      <c r="B259" s="91" t="s">
        <v>35</v>
      </c>
      <c r="C259" s="91" t="s">
        <v>343</v>
      </c>
      <c r="D259" s="91" t="s">
        <v>345</v>
      </c>
      <c r="E259" s="92" t="s">
        <v>421</v>
      </c>
      <c r="F259" s="91" t="s">
        <v>361</v>
      </c>
      <c r="G259" s="91" t="s">
        <v>239</v>
      </c>
      <c r="H259" s="91" t="s">
        <v>13</v>
      </c>
      <c r="I259" s="91" t="s">
        <v>235</v>
      </c>
      <c r="J259" s="92" t="s">
        <v>240</v>
      </c>
      <c r="K259" s="93">
        <v>14.9</v>
      </c>
      <c r="L259" s="93">
        <f>K259*VLOOKUP(H259,dagsoorttabel1,2,FALSE)</f>
        <v>2.9800000000000004</v>
      </c>
      <c r="M259" s="94">
        <f>prodnorm53</f>
        <v>0</v>
      </c>
      <c r="N259" s="91" t="s">
        <v>101</v>
      </c>
      <c r="O259" s="26">
        <f>uurtarief53</f>
        <v>0</v>
      </c>
      <c r="P259" s="93" t="e">
        <f>IF(ISBLANK(M259),0,L259/ROUND(M259,4))</f>
        <v>#DIV/0!</v>
      </c>
      <c r="Q259" s="26" t="e">
        <f>ROUND(O259,2)*P259</f>
        <v>#DIV/0!</v>
      </c>
      <c r="R259" s="93" t="e">
        <f>P259*dagenperjaar1</f>
        <v>#DIV/0!</v>
      </c>
      <c r="S259" s="27" t="e">
        <f>R259*ROUND(O259,2)</f>
        <v>#DIV/0!</v>
      </c>
    </row>
    <row r="260" spans="1:19" x14ac:dyDescent="0.2">
      <c r="A260" s="90" t="s">
        <v>511</v>
      </c>
      <c r="B260" s="91" t="s">
        <v>35</v>
      </c>
      <c r="C260" s="91" t="s">
        <v>343</v>
      </c>
      <c r="D260" s="91" t="s">
        <v>348</v>
      </c>
      <c r="E260" s="92" t="s">
        <v>517</v>
      </c>
      <c r="F260" s="91" t="s">
        <v>361</v>
      </c>
      <c r="G260" s="91" t="s">
        <v>260</v>
      </c>
      <c r="H260" s="91" t="s">
        <v>13</v>
      </c>
      <c r="I260" s="91" t="s">
        <v>235</v>
      </c>
      <c r="J260" s="92" t="s">
        <v>261</v>
      </c>
      <c r="K260" s="93">
        <v>57</v>
      </c>
      <c r="L260" s="93">
        <f>K260*VLOOKUP(H260,dagsoorttabel1,2,FALSE)</f>
        <v>11.4</v>
      </c>
      <c r="M260" s="94">
        <f>prodnorm75</f>
        <v>0</v>
      </c>
      <c r="N260" s="91" t="s">
        <v>101</v>
      </c>
      <c r="O260" s="26">
        <f>uurtarief75</f>
        <v>0</v>
      </c>
      <c r="P260" s="93" t="e">
        <f>IF(ISBLANK(M260),0,L260/ROUND(M260,4))</f>
        <v>#DIV/0!</v>
      </c>
      <c r="Q260" s="26" t="e">
        <f>ROUND(O260,2)*P260</f>
        <v>#DIV/0!</v>
      </c>
      <c r="R260" s="93" t="e">
        <f>P260*dagenperjaar1</f>
        <v>#DIV/0!</v>
      </c>
      <c r="S260" s="27" t="e">
        <f>R260*ROUND(O260,2)</f>
        <v>#DIV/0!</v>
      </c>
    </row>
    <row r="261" spans="1:19" x14ac:dyDescent="0.2">
      <c r="A261" s="90" t="s">
        <v>511</v>
      </c>
      <c r="B261" s="91" t="s">
        <v>35</v>
      </c>
      <c r="C261" s="91" t="s">
        <v>343</v>
      </c>
      <c r="D261" s="91" t="s">
        <v>350</v>
      </c>
      <c r="E261" s="92" t="s">
        <v>438</v>
      </c>
      <c r="F261" s="91" t="s">
        <v>361</v>
      </c>
      <c r="G261" s="91" t="s">
        <v>264</v>
      </c>
      <c r="H261" s="91" t="s">
        <v>13</v>
      </c>
      <c r="I261" s="91" t="s">
        <v>235</v>
      </c>
      <c r="J261" s="92" t="s">
        <v>265</v>
      </c>
      <c r="K261" s="93">
        <v>7.6</v>
      </c>
      <c r="L261" s="93">
        <f>K261*VLOOKUP(H261,dagsoorttabel1,2,FALSE)</f>
        <v>1.52</v>
      </c>
      <c r="M261" s="94">
        <f>prodnorm82</f>
        <v>0</v>
      </c>
      <c r="N261" s="91" t="s">
        <v>101</v>
      </c>
      <c r="O261" s="26">
        <f>uurtarief82</f>
        <v>0</v>
      </c>
      <c r="P261" s="93" t="e">
        <f>IF(ISBLANK(M261),0,L261/ROUND(M261,4))</f>
        <v>#DIV/0!</v>
      </c>
      <c r="Q261" s="26" t="e">
        <f>ROUND(O261,2)*P261</f>
        <v>#DIV/0!</v>
      </c>
      <c r="R261" s="93" t="e">
        <f>P261*dagenperjaar1</f>
        <v>#DIV/0!</v>
      </c>
      <c r="S261" s="27" t="e">
        <f>R261*ROUND(O261,2)</f>
        <v>#DIV/0!</v>
      </c>
    </row>
    <row r="262" spans="1:19" x14ac:dyDescent="0.2">
      <c r="A262" s="96" t="s">
        <v>511</v>
      </c>
      <c r="B262" s="97" t="s">
        <v>35</v>
      </c>
      <c r="C262" s="97" t="s">
        <v>343</v>
      </c>
      <c r="D262" s="97" t="s">
        <v>353</v>
      </c>
      <c r="E262" s="98" t="s">
        <v>437</v>
      </c>
      <c r="F262" s="97" t="s">
        <v>361</v>
      </c>
      <c r="G262" s="97" t="s">
        <v>352</v>
      </c>
      <c r="H262" s="97"/>
      <c r="I262" s="97"/>
      <c r="J262" s="97"/>
      <c r="K262" s="99">
        <v>13.3</v>
      </c>
      <c r="L262" s="99"/>
      <c r="M262" s="100"/>
      <c r="N262" s="97"/>
      <c r="O262" s="36"/>
      <c r="P262" s="99"/>
      <c r="Q262" s="36"/>
      <c r="R262" s="102"/>
      <c r="S262" s="37"/>
    </row>
    <row r="263" spans="1:19" x14ac:dyDescent="0.2">
      <c r="A263" s="101" t="s">
        <v>356</v>
      </c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6" t="e">
        <f>IF(_xlfn.SINGLE(object9_urenjaar1)&gt;0,_xlfn.SINGLE(object9_prijsjaar1)/_xlfn.SINGLE(object9_urenjaar1),0)</f>
        <v>#DIV/0!</v>
      </c>
      <c r="P263" s="75" t="e">
        <f>SUM(P248:P262)</f>
        <v>#DIV/0!</v>
      </c>
      <c r="Q263" s="76" t="e">
        <f>SUM(Q248:Q262)</f>
        <v>#DIV/0!</v>
      </c>
      <c r="R263" s="75" t="e">
        <f>SUM(R248:R262)</f>
        <v>#DIV/0!</v>
      </c>
      <c r="S263" s="77" t="e">
        <f>SUM(S248:S262)</f>
        <v>#DIV/0!</v>
      </c>
    </row>
    <row r="264" spans="1:19" x14ac:dyDescent="0.2">
      <c r="A264" s="82" t="s">
        <v>518</v>
      </c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72"/>
    </row>
    <row r="265" spans="1:19" x14ac:dyDescent="0.2">
      <c r="A265" s="83" t="s">
        <v>519</v>
      </c>
      <c r="B265" s="84" t="s">
        <v>35</v>
      </c>
      <c r="C265" s="84" t="s">
        <v>313</v>
      </c>
      <c r="D265" s="84" t="s">
        <v>314</v>
      </c>
      <c r="E265" s="85" t="s">
        <v>315</v>
      </c>
      <c r="F265" s="84" t="s">
        <v>387</v>
      </c>
      <c r="G265" s="84" t="s">
        <v>289</v>
      </c>
      <c r="H265" s="84" t="s">
        <v>13</v>
      </c>
      <c r="I265" s="84" t="s">
        <v>235</v>
      </c>
      <c r="J265" s="85" t="s">
        <v>290</v>
      </c>
      <c r="K265" s="86">
        <v>5</v>
      </c>
      <c r="L265" s="86">
        <f>K265*VLOOKUP(H265,dagsoorttabel1,2,FALSE)</f>
        <v>1</v>
      </c>
      <c r="M265" s="87">
        <f>prodnorm113</f>
        <v>0</v>
      </c>
      <c r="N265" s="84" t="s">
        <v>101</v>
      </c>
      <c r="O265" s="88">
        <f>uurtarief113</f>
        <v>0</v>
      </c>
      <c r="P265" s="86" t="e">
        <f>IF(ISBLANK(M265),0,L265/ROUND(M265,4))</f>
        <v>#DIV/0!</v>
      </c>
      <c r="Q265" s="88" t="e">
        <f>ROUND(O265,2)*P265</f>
        <v>#DIV/0!</v>
      </c>
      <c r="R265" s="86" t="e">
        <f>P265*dagenperjaar1</f>
        <v>#DIV/0!</v>
      </c>
      <c r="S265" s="89" t="e">
        <f>R265*ROUND(O265,2)</f>
        <v>#DIV/0!</v>
      </c>
    </row>
    <row r="266" spans="1:19" x14ac:dyDescent="0.2">
      <c r="A266" s="90" t="s">
        <v>519</v>
      </c>
      <c r="B266" s="91" t="s">
        <v>35</v>
      </c>
      <c r="C266" s="91" t="s">
        <v>313</v>
      </c>
      <c r="D266" s="91" t="s">
        <v>317</v>
      </c>
      <c r="E266" s="92" t="s">
        <v>520</v>
      </c>
      <c r="F266" s="91" t="s">
        <v>508</v>
      </c>
      <c r="G266" s="91" t="s">
        <v>260</v>
      </c>
      <c r="H266" s="91" t="s">
        <v>13</v>
      </c>
      <c r="I266" s="91" t="s">
        <v>235</v>
      </c>
      <c r="J266" s="92" t="s">
        <v>261</v>
      </c>
      <c r="K266" s="93">
        <v>72</v>
      </c>
      <c r="L266" s="93">
        <f>K266*VLOOKUP(H266,dagsoorttabel1,2,FALSE)</f>
        <v>14.4</v>
      </c>
      <c r="M266" s="94">
        <f>prodnorm75</f>
        <v>0</v>
      </c>
      <c r="N266" s="91" t="s">
        <v>101</v>
      </c>
      <c r="O266" s="26">
        <f>uurtarief75</f>
        <v>0</v>
      </c>
      <c r="P266" s="93" t="e">
        <f>IF(ISBLANK(M266),0,L266/ROUND(M266,4))</f>
        <v>#DIV/0!</v>
      </c>
      <c r="Q266" s="26" t="e">
        <f>ROUND(O266,2)*P266</f>
        <v>#DIV/0!</v>
      </c>
      <c r="R266" s="93" t="e">
        <f>P266*dagenperjaar1</f>
        <v>#DIV/0!</v>
      </c>
      <c r="S266" s="27" t="e">
        <f>R266*ROUND(O266,2)</f>
        <v>#DIV/0!</v>
      </c>
    </row>
    <row r="267" spans="1:19" x14ac:dyDescent="0.2">
      <c r="A267" s="90" t="s">
        <v>519</v>
      </c>
      <c r="B267" s="91" t="s">
        <v>35</v>
      </c>
      <c r="C267" s="91" t="s">
        <v>313</v>
      </c>
      <c r="D267" s="91" t="s">
        <v>320</v>
      </c>
      <c r="E267" s="92" t="s">
        <v>349</v>
      </c>
      <c r="F267" s="91" t="s">
        <v>508</v>
      </c>
      <c r="G267" s="91" t="s">
        <v>266</v>
      </c>
      <c r="H267" s="91" t="s">
        <v>13</v>
      </c>
      <c r="I267" s="91" t="s">
        <v>235</v>
      </c>
      <c r="J267" s="92" t="s">
        <v>267</v>
      </c>
      <c r="K267" s="93">
        <v>13</v>
      </c>
      <c r="L267" s="93">
        <f>K267*VLOOKUP(H267,dagsoorttabel1,2,FALSE)</f>
        <v>2.6</v>
      </c>
      <c r="M267" s="94">
        <f>prodnorm83</f>
        <v>0</v>
      </c>
      <c r="N267" s="91" t="s">
        <v>101</v>
      </c>
      <c r="O267" s="26">
        <f>uurtarief83</f>
        <v>0</v>
      </c>
      <c r="P267" s="93" t="e">
        <f>IF(ISBLANK(M267),0,L267/ROUND(M267,4))</f>
        <v>#DIV/0!</v>
      </c>
      <c r="Q267" s="26" t="e">
        <f>ROUND(O267,2)*P267</f>
        <v>#DIV/0!</v>
      </c>
      <c r="R267" s="93" t="e">
        <f>P267*dagenperjaar1</f>
        <v>#DIV/0!</v>
      </c>
      <c r="S267" s="27" t="e">
        <f>R267*ROUND(O267,2)</f>
        <v>#DIV/0!</v>
      </c>
    </row>
    <row r="268" spans="1:19" x14ac:dyDescent="0.2">
      <c r="A268" s="90" t="s">
        <v>519</v>
      </c>
      <c r="B268" s="91" t="s">
        <v>35</v>
      </c>
      <c r="C268" s="91" t="s">
        <v>313</v>
      </c>
      <c r="D268" s="91" t="s">
        <v>521</v>
      </c>
      <c r="E268" s="92" t="s">
        <v>522</v>
      </c>
      <c r="F268" s="91" t="s">
        <v>523</v>
      </c>
      <c r="G268" s="91" t="s">
        <v>266</v>
      </c>
      <c r="H268" s="91" t="s">
        <v>13</v>
      </c>
      <c r="I268" s="91" t="s">
        <v>235</v>
      </c>
      <c r="J268" s="92" t="s">
        <v>267</v>
      </c>
      <c r="K268" s="93">
        <v>5</v>
      </c>
      <c r="L268" s="93">
        <f>K268*VLOOKUP(H268,dagsoorttabel1,2,FALSE)</f>
        <v>1</v>
      </c>
      <c r="M268" s="94">
        <f>prodnorm83</f>
        <v>0</v>
      </c>
      <c r="N268" s="91" t="s">
        <v>101</v>
      </c>
      <c r="O268" s="26">
        <f>uurtarief83</f>
        <v>0</v>
      </c>
      <c r="P268" s="93" t="e">
        <f>IF(ISBLANK(M268),0,L268/ROUND(M268,4))</f>
        <v>#DIV/0!</v>
      </c>
      <c r="Q268" s="26" t="e">
        <f>ROUND(O268,2)*P268</f>
        <v>#DIV/0!</v>
      </c>
      <c r="R268" s="93" t="e">
        <f>P268*dagenperjaar1</f>
        <v>#DIV/0!</v>
      </c>
      <c r="S268" s="27" t="e">
        <f>R268*ROUND(O268,2)</f>
        <v>#DIV/0!</v>
      </c>
    </row>
    <row r="269" spans="1:19" x14ac:dyDescent="0.2">
      <c r="A269" s="90" t="s">
        <v>519</v>
      </c>
      <c r="B269" s="91" t="s">
        <v>35</v>
      </c>
      <c r="C269" s="91" t="s">
        <v>313</v>
      </c>
      <c r="D269" s="91" t="s">
        <v>322</v>
      </c>
      <c r="E269" s="92" t="s">
        <v>323</v>
      </c>
      <c r="F269" s="91" t="s">
        <v>508</v>
      </c>
      <c r="G269" s="91" t="s">
        <v>239</v>
      </c>
      <c r="H269" s="91" t="s">
        <v>13</v>
      </c>
      <c r="I269" s="91" t="s">
        <v>235</v>
      </c>
      <c r="J269" s="92" t="s">
        <v>240</v>
      </c>
      <c r="K269" s="93">
        <v>14.2</v>
      </c>
      <c r="L269" s="93">
        <f>K269*VLOOKUP(H269,dagsoorttabel1,2,FALSE)</f>
        <v>2.84</v>
      </c>
      <c r="M269" s="94">
        <f>prodnorm53</f>
        <v>0</v>
      </c>
      <c r="N269" s="91" t="s">
        <v>101</v>
      </c>
      <c r="O269" s="26">
        <f>uurtarief53</f>
        <v>0</v>
      </c>
      <c r="P269" s="93" t="e">
        <f>IF(ISBLANK(M269),0,L269/ROUND(M269,4))</f>
        <v>#DIV/0!</v>
      </c>
      <c r="Q269" s="26" t="e">
        <f>ROUND(O269,2)*P269</f>
        <v>#DIV/0!</v>
      </c>
      <c r="R269" s="93" t="e">
        <f>P269*dagenperjaar1</f>
        <v>#DIV/0!</v>
      </c>
      <c r="S269" s="27" t="e">
        <f>R269*ROUND(O269,2)</f>
        <v>#DIV/0!</v>
      </c>
    </row>
    <row r="270" spans="1:19" x14ac:dyDescent="0.2">
      <c r="A270" s="90" t="s">
        <v>519</v>
      </c>
      <c r="B270" s="91" t="s">
        <v>35</v>
      </c>
      <c r="C270" s="91" t="s">
        <v>313</v>
      </c>
      <c r="D270" s="91" t="s">
        <v>324</v>
      </c>
      <c r="E270" s="92" t="s">
        <v>340</v>
      </c>
      <c r="F270" s="91" t="s">
        <v>329</v>
      </c>
      <c r="G270" s="91" t="s">
        <v>252</v>
      </c>
      <c r="H270" s="91" t="s">
        <v>21</v>
      </c>
      <c r="I270" s="91" t="s">
        <v>235</v>
      </c>
      <c r="J270" s="92" t="s">
        <v>253</v>
      </c>
      <c r="K270" s="93">
        <v>132</v>
      </c>
      <c r="L270" s="93">
        <f>K270*VLOOKUP(H270,dagsoorttabel1,2,FALSE)</f>
        <v>0.50769230769230766</v>
      </c>
      <c r="M270" s="94">
        <f>prodnorm67</f>
        <v>0</v>
      </c>
      <c r="N270" s="91" t="s">
        <v>101</v>
      </c>
      <c r="O270" s="26">
        <f>uurtarief67</f>
        <v>0</v>
      </c>
      <c r="P270" s="93" t="e">
        <f>IF(ISBLANK(M270),0,L270/ROUND(M270,4))</f>
        <v>#DIV/0!</v>
      </c>
      <c r="Q270" s="26" t="e">
        <f>ROUND(O270,2)*P270</f>
        <v>#DIV/0!</v>
      </c>
      <c r="R270" s="93" t="e">
        <f>P270*dagenperjaar1</f>
        <v>#DIV/0!</v>
      </c>
      <c r="S270" s="27" t="e">
        <f>R270*ROUND(O270,2)</f>
        <v>#DIV/0!</v>
      </c>
    </row>
    <row r="271" spans="1:19" x14ac:dyDescent="0.2">
      <c r="A271" s="90" t="s">
        <v>519</v>
      </c>
      <c r="B271" s="91" t="s">
        <v>35</v>
      </c>
      <c r="C271" s="91" t="s">
        <v>313</v>
      </c>
      <c r="D271" s="91" t="s">
        <v>325</v>
      </c>
      <c r="E271" s="92" t="s">
        <v>377</v>
      </c>
      <c r="F271" s="91" t="s">
        <v>316</v>
      </c>
      <c r="G271" s="91" t="s">
        <v>279</v>
      </c>
      <c r="H271" s="91" t="s">
        <v>13</v>
      </c>
      <c r="I271" s="91" t="s">
        <v>235</v>
      </c>
      <c r="J271" s="92" t="s">
        <v>280</v>
      </c>
      <c r="K271" s="93">
        <v>3</v>
      </c>
      <c r="L271" s="93">
        <f>K271*VLOOKUP(H271,dagsoorttabel1,2,FALSE)</f>
        <v>0.60000000000000009</v>
      </c>
      <c r="M271" s="94">
        <f>prodnorm100</f>
        <v>0</v>
      </c>
      <c r="N271" s="91" t="s">
        <v>101</v>
      </c>
      <c r="O271" s="26">
        <f>uurtarief100</f>
        <v>0</v>
      </c>
      <c r="P271" s="93" t="e">
        <f>IF(ISBLANK(M271),0,L271/ROUND(M271,4))</f>
        <v>#DIV/0!</v>
      </c>
      <c r="Q271" s="26" t="e">
        <f>ROUND(O271,2)*P271</f>
        <v>#DIV/0!</v>
      </c>
      <c r="R271" s="93" t="e">
        <f>P271*dagenperjaar1</f>
        <v>#DIV/0!</v>
      </c>
      <c r="S271" s="27" t="e">
        <f>R271*ROUND(O271,2)</f>
        <v>#DIV/0!</v>
      </c>
    </row>
    <row r="272" spans="1:19" x14ac:dyDescent="0.2">
      <c r="A272" s="90" t="s">
        <v>519</v>
      </c>
      <c r="B272" s="91" t="s">
        <v>35</v>
      </c>
      <c r="C272" s="91" t="s">
        <v>313</v>
      </c>
      <c r="D272" s="91" t="s">
        <v>327</v>
      </c>
      <c r="E272" s="92" t="s">
        <v>331</v>
      </c>
      <c r="F272" s="91" t="s">
        <v>316</v>
      </c>
      <c r="G272" s="91" t="s">
        <v>279</v>
      </c>
      <c r="H272" s="91" t="s">
        <v>13</v>
      </c>
      <c r="I272" s="91" t="s">
        <v>235</v>
      </c>
      <c r="J272" s="92" t="s">
        <v>280</v>
      </c>
      <c r="K272" s="93">
        <v>4.9000000000000004</v>
      </c>
      <c r="L272" s="93">
        <f>K272*VLOOKUP(H272,dagsoorttabel1,2,FALSE)</f>
        <v>0.98000000000000009</v>
      </c>
      <c r="M272" s="94">
        <f>prodnorm100</f>
        <v>0</v>
      </c>
      <c r="N272" s="91" t="s">
        <v>101</v>
      </c>
      <c r="O272" s="26">
        <f>uurtarief100</f>
        <v>0</v>
      </c>
      <c r="P272" s="93" t="e">
        <f>IF(ISBLANK(M272),0,L272/ROUND(M272,4))</f>
        <v>#DIV/0!</v>
      </c>
      <c r="Q272" s="26" t="e">
        <f>ROUND(O272,2)*P272</f>
        <v>#DIV/0!</v>
      </c>
      <c r="R272" s="93" t="e">
        <f>P272*dagenperjaar1</f>
        <v>#DIV/0!</v>
      </c>
      <c r="S272" s="27" t="e">
        <f>R272*ROUND(O272,2)</f>
        <v>#DIV/0!</v>
      </c>
    </row>
    <row r="273" spans="1:19" x14ac:dyDescent="0.2">
      <c r="A273" s="90" t="s">
        <v>519</v>
      </c>
      <c r="B273" s="91" t="s">
        <v>35</v>
      </c>
      <c r="C273" s="91" t="s">
        <v>313</v>
      </c>
      <c r="D273" s="91" t="s">
        <v>330</v>
      </c>
      <c r="E273" s="92" t="s">
        <v>351</v>
      </c>
      <c r="F273" s="91" t="s">
        <v>316</v>
      </c>
      <c r="G273" s="91" t="s">
        <v>352</v>
      </c>
      <c r="H273" s="91"/>
      <c r="I273" s="91"/>
      <c r="J273" s="91"/>
      <c r="K273" s="93">
        <v>12</v>
      </c>
      <c r="L273" s="93"/>
      <c r="M273" s="94"/>
      <c r="N273" s="91"/>
      <c r="O273" s="26"/>
      <c r="P273" s="93"/>
      <c r="Q273" s="26"/>
      <c r="R273" s="95"/>
      <c r="S273" s="27"/>
    </row>
    <row r="274" spans="1:19" x14ac:dyDescent="0.2">
      <c r="A274" s="90" t="s">
        <v>519</v>
      </c>
      <c r="B274" s="91" t="s">
        <v>35</v>
      </c>
      <c r="C274" s="91" t="s">
        <v>313</v>
      </c>
      <c r="D274" s="91" t="s">
        <v>332</v>
      </c>
      <c r="E274" s="92" t="s">
        <v>373</v>
      </c>
      <c r="F274" s="91" t="s">
        <v>316</v>
      </c>
      <c r="G274" s="91" t="s">
        <v>277</v>
      </c>
      <c r="H274" s="91" t="s">
        <v>13</v>
      </c>
      <c r="I274" s="91" t="s">
        <v>235</v>
      </c>
      <c r="J274" s="92" t="s">
        <v>278</v>
      </c>
      <c r="K274" s="93">
        <v>24.2</v>
      </c>
      <c r="L274" s="93">
        <f>K274*VLOOKUP(H274,dagsoorttabel1,2,FALSE)</f>
        <v>4.84</v>
      </c>
      <c r="M274" s="94">
        <f>prodnorm97</f>
        <v>0</v>
      </c>
      <c r="N274" s="91" t="s">
        <v>101</v>
      </c>
      <c r="O274" s="26">
        <f>uurtarief97</f>
        <v>0</v>
      </c>
      <c r="P274" s="93" t="e">
        <f>IF(ISBLANK(M274),0,L274/ROUND(M274,4))</f>
        <v>#DIV/0!</v>
      </c>
      <c r="Q274" s="26" t="e">
        <f>ROUND(O274,2)*P274</f>
        <v>#DIV/0!</v>
      </c>
      <c r="R274" s="93" t="e">
        <f>P274*dagenperjaar1</f>
        <v>#DIV/0!</v>
      </c>
      <c r="S274" s="27" t="e">
        <f>R274*ROUND(O274,2)</f>
        <v>#DIV/0!</v>
      </c>
    </row>
    <row r="275" spans="1:19" x14ac:dyDescent="0.2">
      <c r="A275" s="90" t="s">
        <v>519</v>
      </c>
      <c r="B275" s="91" t="s">
        <v>35</v>
      </c>
      <c r="C275" s="91" t="s">
        <v>313</v>
      </c>
      <c r="D275" s="91" t="s">
        <v>334</v>
      </c>
      <c r="E275" s="92" t="s">
        <v>480</v>
      </c>
      <c r="F275" s="91" t="s">
        <v>316</v>
      </c>
      <c r="G275" s="91" t="s">
        <v>277</v>
      </c>
      <c r="H275" s="91" t="s">
        <v>13</v>
      </c>
      <c r="I275" s="91" t="s">
        <v>235</v>
      </c>
      <c r="J275" s="92" t="s">
        <v>278</v>
      </c>
      <c r="K275" s="93">
        <v>7.9</v>
      </c>
      <c r="L275" s="93">
        <f>K275*VLOOKUP(H275,dagsoorttabel1,2,FALSE)</f>
        <v>1.58</v>
      </c>
      <c r="M275" s="94">
        <f>prodnorm97</f>
        <v>0</v>
      </c>
      <c r="N275" s="91" t="s">
        <v>101</v>
      </c>
      <c r="O275" s="26">
        <f>uurtarief97</f>
        <v>0</v>
      </c>
      <c r="P275" s="93" t="e">
        <f>IF(ISBLANK(M275),0,L275/ROUND(M275,4))</f>
        <v>#DIV/0!</v>
      </c>
      <c r="Q275" s="26" t="e">
        <f>ROUND(O275,2)*P275</f>
        <v>#DIV/0!</v>
      </c>
      <c r="R275" s="93" t="e">
        <f>P275*dagenperjaar1</f>
        <v>#DIV/0!</v>
      </c>
      <c r="S275" s="27" t="e">
        <f>R275*ROUND(O275,2)</f>
        <v>#DIV/0!</v>
      </c>
    </row>
    <row r="276" spans="1:19" x14ac:dyDescent="0.2">
      <c r="A276" s="90" t="s">
        <v>519</v>
      </c>
      <c r="B276" s="91" t="s">
        <v>35</v>
      </c>
      <c r="C276" s="91" t="s">
        <v>313</v>
      </c>
      <c r="D276" s="91" t="s">
        <v>336</v>
      </c>
      <c r="E276" s="92" t="s">
        <v>477</v>
      </c>
      <c r="F276" s="91" t="s">
        <v>316</v>
      </c>
      <c r="G276" s="91" t="s">
        <v>277</v>
      </c>
      <c r="H276" s="91" t="s">
        <v>13</v>
      </c>
      <c r="I276" s="91" t="s">
        <v>235</v>
      </c>
      <c r="J276" s="92" t="s">
        <v>278</v>
      </c>
      <c r="K276" s="93">
        <v>9.9</v>
      </c>
      <c r="L276" s="93">
        <f>K276*VLOOKUP(H276,dagsoorttabel1,2,FALSE)</f>
        <v>1.9800000000000002</v>
      </c>
      <c r="M276" s="94">
        <f>prodnorm97</f>
        <v>0</v>
      </c>
      <c r="N276" s="91" t="s">
        <v>101</v>
      </c>
      <c r="O276" s="26">
        <f>uurtarief97</f>
        <v>0</v>
      </c>
      <c r="P276" s="93" t="e">
        <f>IF(ISBLANK(M276),0,L276/ROUND(M276,4))</f>
        <v>#DIV/0!</v>
      </c>
      <c r="Q276" s="26" t="e">
        <f>ROUND(O276,2)*P276</f>
        <v>#DIV/0!</v>
      </c>
      <c r="R276" s="93" t="e">
        <f>P276*dagenperjaar1</f>
        <v>#DIV/0!</v>
      </c>
      <c r="S276" s="27" t="e">
        <f>R276*ROUND(O276,2)</f>
        <v>#DIV/0!</v>
      </c>
    </row>
    <row r="277" spans="1:19" x14ac:dyDescent="0.2">
      <c r="A277" s="96" t="s">
        <v>519</v>
      </c>
      <c r="B277" s="97" t="s">
        <v>35</v>
      </c>
      <c r="C277" s="97" t="s">
        <v>313</v>
      </c>
      <c r="D277" s="97" t="s">
        <v>338</v>
      </c>
      <c r="E277" s="98" t="s">
        <v>524</v>
      </c>
      <c r="F277" s="97" t="s">
        <v>316</v>
      </c>
      <c r="G277" s="97" t="s">
        <v>275</v>
      </c>
      <c r="H277" s="97" t="s">
        <v>13</v>
      </c>
      <c r="I277" s="97" t="s">
        <v>235</v>
      </c>
      <c r="J277" s="98" t="s">
        <v>276</v>
      </c>
      <c r="K277" s="99">
        <v>6.5</v>
      </c>
      <c r="L277" s="99">
        <f>K277*VLOOKUP(H277,dagsoorttabel1,2,FALSE)</f>
        <v>1.3</v>
      </c>
      <c r="M277" s="100">
        <f>prodnorm94</f>
        <v>0</v>
      </c>
      <c r="N277" s="97" t="s">
        <v>101</v>
      </c>
      <c r="O277" s="36">
        <f>uurtarief94</f>
        <v>0</v>
      </c>
      <c r="P277" s="99" t="e">
        <f>IF(ISBLANK(M277),0,L277/ROUND(M277,4))</f>
        <v>#DIV/0!</v>
      </c>
      <c r="Q277" s="36" t="e">
        <f>ROUND(O277,2)*P277</f>
        <v>#DIV/0!</v>
      </c>
      <c r="R277" s="99" t="e">
        <f>P277*dagenperjaar1</f>
        <v>#DIV/0!</v>
      </c>
      <c r="S277" s="37" t="e">
        <f>R277*ROUND(O277,2)</f>
        <v>#DIV/0!</v>
      </c>
    </row>
    <row r="278" spans="1:19" x14ac:dyDescent="0.2">
      <c r="A278" s="101" t="s">
        <v>356</v>
      </c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6" t="e">
        <f>IF(_xlfn.SINGLE(object10_urenjaar1)&gt;0,_xlfn.SINGLE(object10_prijsjaar1)/_xlfn.SINGLE(object10_urenjaar1),0)</f>
        <v>#DIV/0!</v>
      </c>
      <c r="P278" s="75" t="e">
        <f>SUM(P265:P277)</f>
        <v>#DIV/0!</v>
      </c>
      <c r="Q278" s="76" t="e">
        <f>SUM(Q265:Q277)</f>
        <v>#DIV/0!</v>
      </c>
      <c r="R278" s="75" t="e">
        <f>SUM(R265:R277)</f>
        <v>#DIV/0!</v>
      </c>
      <c r="S278" s="77" t="e">
        <f>SUM(S265:S277)</f>
        <v>#DIV/0!</v>
      </c>
    </row>
    <row r="279" spans="1:19" x14ac:dyDescent="0.2">
      <c r="A279" s="82" t="s">
        <v>525</v>
      </c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72"/>
    </row>
    <row r="280" spans="1:19" x14ac:dyDescent="0.2">
      <c r="A280" s="83" t="s">
        <v>526</v>
      </c>
      <c r="B280" s="84" t="s">
        <v>35</v>
      </c>
      <c r="C280" s="84" t="s">
        <v>313</v>
      </c>
      <c r="D280" s="84" t="s">
        <v>527</v>
      </c>
      <c r="E280" s="85" t="s">
        <v>315</v>
      </c>
      <c r="F280" s="84" t="s">
        <v>316</v>
      </c>
      <c r="G280" s="84" t="s">
        <v>287</v>
      </c>
      <c r="H280" s="84" t="s">
        <v>13</v>
      </c>
      <c r="I280" s="84" t="s">
        <v>235</v>
      </c>
      <c r="J280" s="85" t="s">
        <v>288</v>
      </c>
      <c r="K280" s="86">
        <v>11.8</v>
      </c>
      <c r="L280" s="86">
        <f>K280*VLOOKUP(H280,dagsoorttabel1,2,FALSE)</f>
        <v>2.3600000000000003</v>
      </c>
      <c r="M280" s="87">
        <f>prodnorm112</f>
        <v>0</v>
      </c>
      <c r="N280" s="84" t="s">
        <v>101</v>
      </c>
      <c r="O280" s="88">
        <f>uurtarief112</f>
        <v>0</v>
      </c>
      <c r="P280" s="86" t="e">
        <f>IF(ISBLANK(M280),0,L280/ROUND(M280,4))</f>
        <v>#DIV/0!</v>
      </c>
      <c r="Q280" s="88" t="e">
        <f>ROUND(O280,2)*P280</f>
        <v>#DIV/0!</v>
      </c>
      <c r="R280" s="86" t="e">
        <f>P280*dagenperjaar1</f>
        <v>#DIV/0!</v>
      </c>
      <c r="S280" s="89" t="e">
        <f>R280*ROUND(O280,2)</f>
        <v>#DIV/0!</v>
      </c>
    </row>
    <row r="281" spans="1:19" x14ac:dyDescent="0.2">
      <c r="A281" s="90" t="s">
        <v>526</v>
      </c>
      <c r="B281" s="91" t="s">
        <v>35</v>
      </c>
      <c r="C281" s="91" t="s">
        <v>313</v>
      </c>
      <c r="D281" s="91" t="s">
        <v>528</v>
      </c>
      <c r="E281" s="92" t="s">
        <v>318</v>
      </c>
      <c r="F281" s="91" t="s">
        <v>390</v>
      </c>
      <c r="G281" s="91" t="s">
        <v>298</v>
      </c>
      <c r="H281" s="91" t="s">
        <v>13</v>
      </c>
      <c r="I281" s="91" t="s">
        <v>235</v>
      </c>
      <c r="J281" s="92" t="s">
        <v>299</v>
      </c>
      <c r="K281" s="93">
        <v>5</v>
      </c>
      <c r="L281" s="93">
        <f>K281*VLOOKUP(H281,dagsoorttabel1,2,FALSE)</f>
        <v>1</v>
      </c>
      <c r="M281" s="94">
        <f>prodnorm124</f>
        <v>0</v>
      </c>
      <c r="N281" s="91" t="s">
        <v>101</v>
      </c>
      <c r="O281" s="26">
        <f>uurtarief124</f>
        <v>0</v>
      </c>
      <c r="P281" s="93" t="e">
        <f>IF(ISBLANK(M281),0,L281/ROUND(M281,4))</f>
        <v>#DIV/0!</v>
      </c>
      <c r="Q281" s="26" t="e">
        <f>ROUND(O281,2)*P281</f>
        <v>#DIV/0!</v>
      </c>
      <c r="R281" s="93" t="e">
        <f>P281*dagenperjaar1</f>
        <v>#DIV/0!</v>
      </c>
      <c r="S281" s="27" t="e">
        <f>R281*ROUND(O281,2)</f>
        <v>#DIV/0!</v>
      </c>
    </row>
    <row r="282" spans="1:19" x14ac:dyDescent="0.2">
      <c r="A282" s="90" t="s">
        <v>526</v>
      </c>
      <c r="B282" s="91" t="s">
        <v>35</v>
      </c>
      <c r="C282" s="91" t="s">
        <v>313</v>
      </c>
      <c r="D282" s="91" t="s">
        <v>529</v>
      </c>
      <c r="E282" s="92" t="s">
        <v>323</v>
      </c>
      <c r="F282" s="91" t="s">
        <v>361</v>
      </c>
      <c r="G282" s="91" t="s">
        <v>239</v>
      </c>
      <c r="H282" s="91" t="s">
        <v>13</v>
      </c>
      <c r="I282" s="91" t="s">
        <v>235</v>
      </c>
      <c r="J282" s="92" t="s">
        <v>240</v>
      </c>
      <c r="K282" s="93">
        <v>18.3</v>
      </c>
      <c r="L282" s="93">
        <f>K282*VLOOKUP(H282,dagsoorttabel1,2,FALSE)</f>
        <v>3.66</v>
      </c>
      <c r="M282" s="94">
        <f>prodnorm53</f>
        <v>0</v>
      </c>
      <c r="N282" s="91" t="s">
        <v>101</v>
      </c>
      <c r="O282" s="26">
        <f>uurtarief53</f>
        <v>0</v>
      </c>
      <c r="P282" s="93" t="e">
        <f>IF(ISBLANK(M282),0,L282/ROUND(M282,4))</f>
        <v>#DIV/0!</v>
      </c>
      <c r="Q282" s="26" t="e">
        <f>ROUND(O282,2)*P282</f>
        <v>#DIV/0!</v>
      </c>
      <c r="R282" s="93" t="e">
        <f>P282*dagenperjaar1</f>
        <v>#DIV/0!</v>
      </c>
      <c r="S282" s="27" t="e">
        <f>R282*ROUND(O282,2)</f>
        <v>#DIV/0!</v>
      </c>
    </row>
    <row r="283" spans="1:19" x14ac:dyDescent="0.2">
      <c r="A283" s="90" t="s">
        <v>526</v>
      </c>
      <c r="B283" s="91" t="s">
        <v>35</v>
      </c>
      <c r="C283" s="91" t="s">
        <v>313</v>
      </c>
      <c r="D283" s="91" t="s">
        <v>530</v>
      </c>
      <c r="E283" s="92" t="s">
        <v>351</v>
      </c>
      <c r="F283" s="91" t="s">
        <v>329</v>
      </c>
      <c r="G283" s="91" t="s">
        <v>352</v>
      </c>
      <c r="H283" s="91"/>
      <c r="I283" s="91"/>
      <c r="J283" s="91"/>
      <c r="K283" s="93">
        <v>17.489999999999998</v>
      </c>
      <c r="L283" s="93"/>
      <c r="M283" s="94"/>
      <c r="N283" s="91"/>
      <c r="O283" s="26"/>
      <c r="P283" s="93"/>
      <c r="Q283" s="26"/>
      <c r="R283" s="95"/>
      <c r="S283" s="27"/>
    </row>
    <row r="284" spans="1:19" x14ac:dyDescent="0.2">
      <c r="A284" s="90" t="s">
        <v>526</v>
      </c>
      <c r="B284" s="91" t="s">
        <v>35</v>
      </c>
      <c r="C284" s="91" t="s">
        <v>313</v>
      </c>
      <c r="D284" s="91" t="s">
        <v>531</v>
      </c>
      <c r="E284" s="92" t="s">
        <v>532</v>
      </c>
      <c r="F284" s="91" t="s">
        <v>329</v>
      </c>
      <c r="G284" s="91" t="s">
        <v>283</v>
      </c>
      <c r="H284" s="91" t="s">
        <v>13</v>
      </c>
      <c r="I284" s="91" t="s">
        <v>235</v>
      </c>
      <c r="J284" s="92" t="s">
        <v>284</v>
      </c>
      <c r="K284" s="93">
        <v>6.7</v>
      </c>
      <c r="L284" s="93">
        <f>K284*VLOOKUP(H284,dagsoorttabel1,2,FALSE)</f>
        <v>1.34</v>
      </c>
      <c r="M284" s="94">
        <f>prodnorm106</f>
        <v>0</v>
      </c>
      <c r="N284" s="91" t="s">
        <v>101</v>
      </c>
      <c r="O284" s="26">
        <f>uurtarief106</f>
        <v>0</v>
      </c>
      <c r="P284" s="93" t="e">
        <f>IF(ISBLANK(M284),0,L284/ROUND(M284,4))</f>
        <v>#DIV/0!</v>
      </c>
      <c r="Q284" s="26" t="e">
        <f>ROUND(O284,2)*P284</f>
        <v>#DIV/0!</v>
      </c>
      <c r="R284" s="93" t="e">
        <f>P284*dagenperjaar1</f>
        <v>#DIV/0!</v>
      </c>
      <c r="S284" s="27" t="e">
        <f>R284*ROUND(O284,2)</f>
        <v>#DIV/0!</v>
      </c>
    </row>
    <row r="285" spans="1:19" x14ac:dyDescent="0.2">
      <c r="A285" s="90" t="s">
        <v>526</v>
      </c>
      <c r="B285" s="91" t="s">
        <v>35</v>
      </c>
      <c r="C285" s="91" t="s">
        <v>313</v>
      </c>
      <c r="D285" s="91" t="s">
        <v>533</v>
      </c>
      <c r="E285" s="92" t="s">
        <v>340</v>
      </c>
      <c r="F285" s="91" t="s">
        <v>329</v>
      </c>
      <c r="G285" s="91" t="s">
        <v>252</v>
      </c>
      <c r="H285" s="91" t="s">
        <v>21</v>
      </c>
      <c r="I285" s="91" t="s">
        <v>235</v>
      </c>
      <c r="J285" s="92" t="s">
        <v>253</v>
      </c>
      <c r="K285" s="93">
        <v>104</v>
      </c>
      <c r="L285" s="93">
        <f>K285*VLOOKUP(H285,dagsoorttabel1,2,FALSE)</f>
        <v>0.4</v>
      </c>
      <c r="M285" s="94">
        <f>prodnorm67</f>
        <v>0</v>
      </c>
      <c r="N285" s="91" t="s">
        <v>101</v>
      </c>
      <c r="O285" s="26">
        <f>uurtarief67</f>
        <v>0</v>
      </c>
      <c r="P285" s="93" t="e">
        <f>IF(ISBLANK(M285),0,L285/ROUND(M285,4))</f>
        <v>#DIV/0!</v>
      </c>
      <c r="Q285" s="26" t="e">
        <f>ROUND(O285,2)*P285</f>
        <v>#DIV/0!</v>
      </c>
      <c r="R285" s="93" t="e">
        <f>P285*dagenperjaar1</f>
        <v>#DIV/0!</v>
      </c>
      <c r="S285" s="27" t="e">
        <f>R285*ROUND(O285,2)</f>
        <v>#DIV/0!</v>
      </c>
    </row>
    <row r="286" spans="1:19" x14ac:dyDescent="0.2">
      <c r="A286" s="90" t="s">
        <v>526</v>
      </c>
      <c r="B286" s="91" t="s">
        <v>35</v>
      </c>
      <c r="C286" s="91" t="s">
        <v>313</v>
      </c>
      <c r="D286" s="91" t="s">
        <v>534</v>
      </c>
      <c r="E286" s="92" t="s">
        <v>373</v>
      </c>
      <c r="F286" s="91" t="s">
        <v>316</v>
      </c>
      <c r="G286" s="91" t="s">
        <v>277</v>
      </c>
      <c r="H286" s="91" t="s">
        <v>13</v>
      </c>
      <c r="I286" s="91" t="s">
        <v>235</v>
      </c>
      <c r="J286" s="92" t="s">
        <v>278</v>
      </c>
      <c r="K286" s="93">
        <v>25</v>
      </c>
      <c r="L286" s="93">
        <f>K286*VLOOKUP(H286,dagsoorttabel1,2,FALSE)</f>
        <v>5</v>
      </c>
      <c r="M286" s="94">
        <f>prodnorm97</f>
        <v>0</v>
      </c>
      <c r="N286" s="91" t="s">
        <v>101</v>
      </c>
      <c r="O286" s="26">
        <f>uurtarief97</f>
        <v>0</v>
      </c>
      <c r="P286" s="93" t="e">
        <f>IF(ISBLANK(M286),0,L286/ROUND(M286,4))</f>
        <v>#DIV/0!</v>
      </c>
      <c r="Q286" s="26" t="e">
        <f>ROUND(O286,2)*P286</f>
        <v>#DIV/0!</v>
      </c>
      <c r="R286" s="93" t="e">
        <f>P286*dagenperjaar1</f>
        <v>#DIV/0!</v>
      </c>
      <c r="S286" s="27" t="e">
        <f>R286*ROUND(O286,2)</f>
        <v>#DIV/0!</v>
      </c>
    </row>
    <row r="287" spans="1:19" x14ac:dyDescent="0.2">
      <c r="A287" s="90" t="s">
        <v>526</v>
      </c>
      <c r="B287" s="91" t="s">
        <v>35</v>
      </c>
      <c r="C287" s="91" t="s">
        <v>313</v>
      </c>
      <c r="D287" s="91" t="s">
        <v>535</v>
      </c>
      <c r="E287" s="92" t="s">
        <v>480</v>
      </c>
      <c r="F287" s="91" t="s">
        <v>316</v>
      </c>
      <c r="G287" s="91" t="s">
        <v>277</v>
      </c>
      <c r="H287" s="91" t="s">
        <v>13</v>
      </c>
      <c r="I287" s="91" t="s">
        <v>235</v>
      </c>
      <c r="J287" s="92" t="s">
        <v>278</v>
      </c>
      <c r="K287" s="93">
        <v>6.8</v>
      </c>
      <c r="L287" s="93">
        <f>K287*VLOOKUP(H287,dagsoorttabel1,2,FALSE)</f>
        <v>1.36</v>
      </c>
      <c r="M287" s="94">
        <f>prodnorm97</f>
        <v>0</v>
      </c>
      <c r="N287" s="91" t="s">
        <v>101</v>
      </c>
      <c r="O287" s="26">
        <f>uurtarief97</f>
        <v>0</v>
      </c>
      <c r="P287" s="93" t="e">
        <f>IF(ISBLANK(M287),0,L287/ROUND(M287,4))</f>
        <v>#DIV/0!</v>
      </c>
      <c r="Q287" s="26" t="e">
        <f>ROUND(O287,2)*P287</f>
        <v>#DIV/0!</v>
      </c>
      <c r="R287" s="93" t="e">
        <f>P287*dagenperjaar1</f>
        <v>#DIV/0!</v>
      </c>
      <c r="S287" s="27" t="e">
        <f>R287*ROUND(O287,2)</f>
        <v>#DIV/0!</v>
      </c>
    </row>
    <row r="288" spans="1:19" x14ac:dyDescent="0.2">
      <c r="A288" s="90" t="s">
        <v>526</v>
      </c>
      <c r="B288" s="91" t="s">
        <v>35</v>
      </c>
      <c r="C288" s="91" t="s">
        <v>313</v>
      </c>
      <c r="D288" s="91" t="s">
        <v>536</v>
      </c>
      <c r="E288" s="92" t="s">
        <v>315</v>
      </c>
      <c r="F288" s="91" t="s">
        <v>387</v>
      </c>
      <c r="G288" s="91" t="s">
        <v>289</v>
      </c>
      <c r="H288" s="91" t="s">
        <v>13</v>
      </c>
      <c r="I288" s="91" t="s">
        <v>235</v>
      </c>
      <c r="J288" s="92" t="s">
        <v>290</v>
      </c>
      <c r="K288" s="93">
        <v>2.5</v>
      </c>
      <c r="L288" s="93">
        <f>K288*VLOOKUP(H288,dagsoorttabel1,2,FALSE)</f>
        <v>0.5</v>
      </c>
      <c r="M288" s="94">
        <f>prodnorm113</f>
        <v>0</v>
      </c>
      <c r="N288" s="91" t="s">
        <v>101</v>
      </c>
      <c r="O288" s="26">
        <f>uurtarief113</f>
        <v>0</v>
      </c>
      <c r="P288" s="93" t="e">
        <f>IF(ISBLANK(M288),0,L288/ROUND(M288,4))</f>
        <v>#DIV/0!</v>
      </c>
      <c r="Q288" s="26" t="e">
        <f>ROUND(O288,2)*P288</f>
        <v>#DIV/0!</v>
      </c>
      <c r="R288" s="93" t="e">
        <f>P288*dagenperjaar1</f>
        <v>#DIV/0!</v>
      </c>
      <c r="S288" s="27" t="e">
        <f>R288*ROUND(O288,2)</f>
        <v>#DIV/0!</v>
      </c>
    </row>
    <row r="289" spans="1:19" x14ac:dyDescent="0.2">
      <c r="A289" s="90" t="s">
        <v>526</v>
      </c>
      <c r="B289" s="91" t="s">
        <v>35</v>
      </c>
      <c r="C289" s="91" t="s">
        <v>313</v>
      </c>
      <c r="D289" s="91" t="s">
        <v>537</v>
      </c>
      <c r="E289" s="92" t="s">
        <v>477</v>
      </c>
      <c r="F289" s="91" t="s">
        <v>316</v>
      </c>
      <c r="G289" s="91" t="s">
        <v>277</v>
      </c>
      <c r="H289" s="91" t="s">
        <v>13</v>
      </c>
      <c r="I289" s="91" t="s">
        <v>235</v>
      </c>
      <c r="J289" s="92" t="s">
        <v>278</v>
      </c>
      <c r="K289" s="93">
        <v>13.7</v>
      </c>
      <c r="L289" s="93">
        <f>K289*VLOOKUP(H289,dagsoorttabel1,2,FALSE)</f>
        <v>2.74</v>
      </c>
      <c r="M289" s="94">
        <f>prodnorm97</f>
        <v>0</v>
      </c>
      <c r="N289" s="91" t="s">
        <v>101</v>
      </c>
      <c r="O289" s="26">
        <f>uurtarief97</f>
        <v>0</v>
      </c>
      <c r="P289" s="93" t="e">
        <f>IF(ISBLANK(M289),0,L289/ROUND(M289,4))</f>
        <v>#DIV/0!</v>
      </c>
      <c r="Q289" s="26" t="e">
        <f>ROUND(O289,2)*P289</f>
        <v>#DIV/0!</v>
      </c>
      <c r="R289" s="93" t="e">
        <f>P289*dagenperjaar1</f>
        <v>#DIV/0!</v>
      </c>
      <c r="S289" s="27" t="e">
        <f>R289*ROUND(O289,2)</f>
        <v>#DIV/0!</v>
      </c>
    </row>
    <row r="290" spans="1:19" x14ac:dyDescent="0.2">
      <c r="A290" s="90" t="s">
        <v>526</v>
      </c>
      <c r="B290" s="91" t="s">
        <v>35</v>
      </c>
      <c r="C290" s="91" t="s">
        <v>313</v>
      </c>
      <c r="D290" s="91" t="s">
        <v>538</v>
      </c>
      <c r="E290" s="92" t="s">
        <v>333</v>
      </c>
      <c r="F290" s="91" t="s">
        <v>316</v>
      </c>
      <c r="G290" s="91" t="s">
        <v>279</v>
      </c>
      <c r="H290" s="91" t="s">
        <v>13</v>
      </c>
      <c r="I290" s="91" t="s">
        <v>235</v>
      </c>
      <c r="J290" s="92" t="s">
        <v>280</v>
      </c>
      <c r="K290" s="93">
        <v>6.1</v>
      </c>
      <c r="L290" s="93">
        <f>K290*VLOOKUP(H290,dagsoorttabel1,2,FALSE)</f>
        <v>1.22</v>
      </c>
      <c r="M290" s="94">
        <f>prodnorm100</f>
        <v>0</v>
      </c>
      <c r="N290" s="91" t="s">
        <v>101</v>
      </c>
      <c r="O290" s="26">
        <f>uurtarief100</f>
        <v>0</v>
      </c>
      <c r="P290" s="93" t="e">
        <f>IF(ISBLANK(M290),0,L290/ROUND(M290,4))</f>
        <v>#DIV/0!</v>
      </c>
      <c r="Q290" s="26" t="e">
        <f>ROUND(O290,2)*P290</f>
        <v>#DIV/0!</v>
      </c>
      <c r="R290" s="93" t="e">
        <f>P290*dagenperjaar1</f>
        <v>#DIV/0!</v>
      </c>
      <c r="S290" s="27" t="e">
        <f>R290*ROUND(O290,2)</f>
        <v>#DIV/0!</v>
      </c>
    </row>
    <row r="291" spans="1:19" x14ac:dyDescent="0.2">
      <c r="A291" s="90" t="s">
        <v>526</v>
      </c>
      <c r="B291" s="91" t="s">
        <v>35</v>
      </c>
      <c r="C291" s="91" t="s">
        <v>313</v>
      </c>
      <c r="D291" s="91" t="s">
        <v>539</v>
      </c>
      <c r="E291" s="92" t="s">
        <v>354</v>
      </c>
      <c r="F291" s="91" t="s">
        <v>316</v>
      </c>
      <c r="G291" s="91" t="s">
        <v>352</v>
      </c>
      <c r="H291" s="91"/>
      <c r="I291" s="91"/>
      <c r="J291" s="91"/>
      <c r="K291" s="93">
        <v>17.399999999999999</v>
      </c>
      <c r="L291" s="93"/>
      <c r="M291" s="94"/>
      <c r="N291" s="91"/>
      <c r="O291" s="26"/>
      <c r="P291" s="93"/>
      <c r="Q291" s="26"/>
      <c r="R291" s="95"/>
      <c r="S291" s="27"/>
    </row>
    <row r="292" spans="1:19" x14ac:dyDescent="0.2">
      <c r="A292" s="90" t="s">
        <v>526</v>
      </c>
      <c r="B292" s="91" t="s">
        <v>35</v>
      </c>
      <c r="C292" s="91" t="s">
        <v>343</v>
      </c>
      <c r="D292" s="91" t="s">
        <v>540</v>
      </c>
      <c r="E292" s="92" t="s">
        <v>367</v>
      </c>
      <c r="F292" s="91" t="s">
        <v>347</v>
      </c>
      <c r="G292" s="91" t="s">
        <v>283</v>
      </c>
      <c r="H292" s="91" t="s">
        <v>13</v>
      </c>
      <c r="I292" s="91" t="s">
        <v>235</v>
      </c>
      <c r="J292" s="92" t="s">
        <v>284</v>
      </c>
      <c r="K292" s="93">
        <v>12.25</v>
      </c>
      <c r="L292" s="93">
        <f>K292*VLOOKUP(H292,dagsoorttabel1,2,FALSE)</f>
        <v>2.4500000000000002</v>
      </c>
      <c r="M292" s="94">
        <f>prodnorm106</f>
        <v>0</v>
      </c>
      <c r="N292" s="91" t="s">
        <v>101</v>
      </c>
      <c r="O292" s="26">
        <f>uurtarief106</f>
        <v>0</v>
      </c>
      <c r="P292" s="93" t="e">
        <f>IF(ISBLANK(M292),0,L292/ROUND(M292,4))</f>
        <v>#DIV/0!</v>
      </c>
      <c r="Q292" s="26" t="e">
        <f>ROUND(O292,2)*P292</f>
        <v>#DIV/0!</v>
      </c>
      <c r="R292" s="93" t="e">
        <f>P292*dagenperjaar1</f>
        <v>#DIV/0!</v>
      </c>
      <c r="S292" s="27" t="e">
        <f>R292*ROUND(O292,2)</f>
        <v>#DIV/0!</v>
      </c>
    </row>
    <row r="293" spans="1:19" x14ac:dyDescent="0.2">
      <c r="A293" s="90" t="s">
        <v>526</v>
      </c>
      <c r="B293" s="91" t="s">
        <v>35</v>
      </c>
      <c r="C293" s="91" t="s">
        <v>343</v>
      </c>
      <c r="D293" s="91" t="s">
        <v>541</v>
      </c>
      <c r="E293" s="92" t="s">
        <v>323</v>
      </c>
      <c r="F293" s="91" t="s">
        <v>361</v>
      </c>
      <c r="G293" s="91" t="s">
        <v>239</v>
      </c>
      <c r="H293" s="91" t="s">
        <v>13</v>
      </c>
      <c r="I293" s="91" t="s">
        <v>235</v>
      </c>
      <c r="J293" s="92" t="s">
        <v>240</v>
      </c>
      <c r="K293" s="93">
        <v>13.5</v>
      </c>
      <c r="L293" s="93">
        <f>K293*VLOOKUP(H293,dagsoorttabel1,2,FALSE)</f>
        <v>2.7</v>
      </c>
      <c r="M293" s="94">
        <f>prodnorm53</f>
        <v>0</v>
      </c>
      <c r="N293" s="91" t="s">
        <v>101</v>
      </c>
      <c r="O293" s="26">
        <f>uurtarief53</f>
        <v>0</v>
      </c>
      <c r="P293" s="93" t="e">
        <f>IF(ISBLANK(M293),0,L293/ROUND(M293,4))</f>
        <v>#DIV/0!</v>
      </c>
      <c r="Q293" s="26" t="e">
        <f>ROUND(O293,2)*P293</f>
        <v>#DIV/0!</v>
      </c>
      <c r="R293" s="93" t="e">
        <f>P293*dagenperjaar1</f>
        <v>#DIV/0!</v>
      </c>
      <c r="S293" s="27" t="e">
        <f>R293*ROUND(O293,2)</f>
        <v>#DIV/0!</v>
      </c>
    </row>
    <row r="294" spans="1:19" x14ac:dyDescent="0.2">
      <c r="A294" s="90" t="s">
        <v>526</v>
      </c>
      <c r="B294" s="91" t="s">
        <v>35</v>
      </c>
      <c r="C294" s="91" t="s">
        <v>343</v>
      </c>
      <c r="D294" s="91" t="s">
        <v>542</v>
      </c>
      <c r="E294" s="92" t="s">
        <v>377</v>
      </c>
      <c r="F294" s="91" t="s">
        <v>316</v>
      </c>
      <c r="G294" s="91" t="s">
        <v>279</v>
      </c>
      <c r="H294" s="91" t="s">
        <v>13</v>
      </c>
      <c r="I294" s="91" t="s">
        <v>235</v>
      </c>
      <c r="J294" s="92" t="s">
        <v>280</v>
      </c>
      <c r="K294" s="93">
        <v>3</v>
      </c>
      <c r="L294" s="93">
        <f>K294*VLOOKUP(H294,dagsoorttabel1,2,FALSE)</f>
        <v>0.60000000000000009</v>
      </c>
      <c r="M294" s="94">
        <f>prodnorm100</f>
        <v>0</v>
      </c>
      <c r="N294" s="91" t="s">
        <v>101</v>
      </c>
      <c r="O294" s="26">
        <f>uurtarief100</f>
        <v>0</v>
      </c>
      <c r="P294" s="93" t="e">
        <f>IF(ISBLANK(M294),0,L294/ROUND(M294,4))</f>
        <v>#DIV/0!</v>
      </c>
      <c r="Q294" s="26" t="e">
        <f>ROUND(O294,2)*P294</f>
        <v>#DIV/0!</v>
      </c>
      <c r="R294" s="93" t="e">
        <f>P294*dagenperjaar1</f>
        <v>#DIV/0!</v>
      </c>
      <c r="S294" s="27" t="e">
        <f>R294*ROUND(O294,2)</f>
        <v>#DIV/0!</v>
      </c>
    </row>
    <row r="295" spans="1:19" x14ac:dyDescent="0.2">
      <c r="A295" s="90" t="s">
        <v>526</v>
      </c>
      <c r="B295" s="91" t="s">
        <v>35</v>
      </c>
      <c r="C295" s="91" t="s">
        <v>343</v>
      </c>
      <c r="D295" s="91" t="s">
        <v>543</v>
      </c>
      <c r="E295" s="92" t="s">
        <v>331</v>
      </c>
      <c r="F295" s="91" t="s">
        <v>316</v>
      </c>
      <c r="G295" s="91" t="s">
        <v>279</v>
      </c>
      <c r="H295" s="91" t="s">
        <v>13</v>
      </c>
      <c r="I295" s="91" t="s">
        <v>235</v>
      </c>
      <c r="J295" s="92" t="s">
        <v>280</v>
      </c>
      <c r="K295" s="93">
        <v>3</v>
      </c>
      <c r="L295" s="93">
        <f>K295*VLOOKUP(H295,dagsoorttabel1,2,FALSE)</f>
        <v>0.60000000000000009</v>
      </c>
      <c r="M295" s="94">
        <f>prodnorm100</f>
        <v>0</v>
      </c>
      <c r="N295" s="91" t="s">
        <v>101</v>
      </c>
      <c r="O295" s="26">
        <f>uurtarief100</f>
        <v>0</v>
      </c>
      <c r="P295" s="93" t="e">
        <f>IF(ISBLANK(M295),0,L295/ROUND(M295,4))</f>
        <v>#DIV/0!</v>
      </c>
      <c r="Q295" s="26" t="e">
        <f>ROUND(O295,2)*P295</f>
        <v>#DIV/0!</v>
      </c>
      <c r="R295" s="93" t="e">
        <f>P295*dagenperjaar1</f>
        <v>#DIV/0!</v>
      </c>
      <c r="S295" s="27" t="e">
        <f>R295*ROUND(O295,2)</f>
        <v>#DIV/0!</v>
      </c>
    </row>
    <row r="296" spans="1:19" x14ac:dyDescent="0.2">
      <c r="A296" s="90" t="s">
        <v>526</v>
      </c>
      <c r="B296" s="91" t="s">
        <v>35</v>
      </c>
      <c r="C296" s="91" t="s">
        <v>343</v>
      </c>
      <c r="D296" s="91" t="s">
        <v>544</v>
      </c>
      <c r="E296" s="92" t="s">
        <v>545</v>
      </c>
      <c r="F296" s="91" t="s">
        <v>347</v>
      </c>
      <c r="G296" s="91" t="s">
        <v>262</v>
      </c>
      <c r="H296" s="91" t="s">
        <v>13</v>
      </c>
      <c r="I296" s="91" t="s">
        <v>235</v>
      </c>
      <c r="J296" s="92" t="s">
        <v>263</v>
      </c>
      <c r="K296" s="93">
        <v>51.8</v>
      </c>
      <c r="L296" s="93">
        <f>K296*VLOOKUP(H296,dagsoorttabel1,2,FALSE)</f>
        <v>10.36</v>
      </c>
      <c r="M296" s="94">
        <f>prodnorm78</f>
        <v>0</v>
      </c>
      <c r="N296" s="91" t="s">
        <v>101</v>
      </c>
      <c r="O296" s="26">
        <f>uurtarief78</f>
        <v>0</v>
      </c>
      <c r="P296" s="93" t="e">
        <f>IF(ISBLANK(M296),0,L296/ROUND(M296,4))</f>
        <v>#DIV/0!</v>
      </c>
      <c r="Q296" s="26" t="e">
        <f>ROUND(O296,2)*P296</f>
        <v>#DIV/0!</v>
      </c>
      <c r="R296" s="93" t="e">
        <f>P296*dagenperjaar1</f>
        <v>#DIV/0!</v>
      </c>
      <c r="S296" s="27" t="e">
        <f>R296*ROUND(O296,2)</f>
        <v>#DIV/0!</v>
      </c>
    </row>
    <row r="297" spans="1:19" x14ac:dyDescent="0.2">
      <c r="A297" s="90" t="s">
        <v>526</v>
      </c>
      <c r="B297" s="91" t="s">
        <v>35</v>
      </c>
      <c r="C297" s="91" t="s">
        <v>343</v>
      </c>
      <c r="D297" s="91" t="s">
        <v>546</v>
      </c>
      <c r="E297" s="92" t="s">
        <v>349</v>
      </c>
      <c r="F297" s="91" t="s">
        <v>316</v>
      </c>
      <c r="G297" s="91" t="s">
        <v>266</v>
      </c>
      <c r="H297" s="91" t="s">
        <v>13</v>
      </c>
      <c r="I297" s="91" t="s">
        <v>235</v>
      </c>
      <c r="J297" s="92" t="s">
        <v>267</v>
      </c>
      <c r="K297" s="93">
        <v>12.6</v>
      </c>
      <c r="L297" s="93">
        <f>K297*VLOOKUP(H297,dagsoorttabel1,2,FALSE)</f>
        <v>2.52</v>
      </c>
      <c r="M297" s="94">
        <f>prodnorm83</f>
        <v>0</v>
      </c>
      <c r="N297" s="91" t="s">
        <v>101</v>
      </c>
      <c r="O297" s="26">
        <f>uurtarief83</f>
        <v>0</v>
      </c>
      <c r="P297" s="93" t="e">
        <f>IF(ISBLANK(M297),0,L297/ROUND(M297,4))</f>
        <v>#DIV/0!</v>
      </c>
      <c r="Q297" s="26" t="e">
        <f>ROUND(O297,2)*P297</f>
        <v>#DIV/0!</v>
      </c>
      <c r="R297" s="93" t="e">
        <f>P297*dagenperjaar1</f>
        <v>#DIV/0!</v>
      </c>
      <c r="S297" s="27" t="e">
        <f>R297*ROUND(O297,2)</f>
        <v>#DIV/0!</v>
      </c>
    </row>
    <row r="298" spans="1:19" x14ac:dyDescent="0.2">
      <c r="A298" s="96" t="s">
        <v>526</v>
      </c>
      <c r="B298" s="97" t="s">
        <v>35</v>
      </c>
      <c r="C298" s="97" t="s">
        <v>343</v>
      </c>
      <c r="D298" s="97" t="s">
        <v>547</v>
      </c>
      <c r="E298" s="98" t="s">
        <v>351</v>
      </c>
      <c r="F298" s="97" t="s">
        <v>316</v>
      </c>
      <c r="G298" s="97" t="s">
        <v>352</v>
      </c>
      <c r="H298" s="97"/>
      <c r="I298" s="97"/>
      <c r="J298" s="97"/>
      <c r="K298" s="99">
        <v>2</v>
      </c>
      <c r="L298" s="99"/>
      <c r="M298" s="100"/>
      <c r="N298" s="97"/>
      <c r="O298" s="36"/>
      <c r="P298" s="99"/>
      <c r="Q298" s="36"/>
      <c r="R298" s="102"/>
      <c r="S298" s="37"/>
    </row>
    <row r="299" spans="1:19" x14ac:dyDescent="0.2">
      <c r="A299" s="101" t="s">
        <v>356</v>
      </c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6" t="e">
        <f>IF(_xlfn.SINGLE(object11_urenjaar1)&gt;0,_xlfn.SINGLE(object11_prijsjaar1)/_xlfn.SINGLE(object11_urenjaar1),0)</f>
        <v>#DIV/0!</v>
      </c>
      <c r="P299" s="75" t="e">
        <f>SUM(P280:P298)</f>
        <v>#DIV/0!</v>
      </c>
      <c r="Q299" s="76" t="e">
        <f>SUM(Q280:Q298)</f>
        <v>#DIV/0!</v>
      </c>
      <c r="R299" s="75" t="e">
        <f>SUM(R280:R298)</f>
        <v>#DIV/0!</v>
      </c>
      <c r="S299" s="77" t="e">
        <f>SUM(S280:S298)</f>
        <v>#DIV/0!</v>
      </c>
    </row>
    <row r="300" spans="1:19" x14ac:dyDescent="0.2">
      <c r="A300" s="82" t="s">
        <v>548</v>
      </c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72"/>
    </row>
    <row r="301" spans="1:19" x14ac:dyDescent="0.2">
      <c r="A301" s="83" t="s">
        <v>549</v>
      </c>
      <c r="B301" s="84" t="s">
        <v>35</v>
      </c>
      <c r="C301" s="84" t="s">
        <v>313</v>
      </c>
      <c r="D301" s="84" t="s">
        <v>314</v>
      </c>
      <c r="E301" s="85" t="s">
        <v>315</v>
      </c>
      <c r="F301" s="84" t="s">
        <v>387</v>
      </c>
      <c r="G301" s="84" t="s">
        <v>289</v>
      </c>
      <c r="H301" s="84" t="s">
        <v>13</v>
      </c>
      <c r="I301" s="84" t="s">
        <v>235</v>
      </c>
      <c r="J301" s="85" t="s">
        <v>290</v>
      </c>
      <c r="K301" s="86">
        <v>6</v>
      </c>
      <c r="L301" s="86">
        <f>K301*VLOOKUP(H301,dagsoorttabel1,2,FALSE)</f>
        <v>1.2000000000000002</v>
      </c>
      <c r="M301" s="87">
        <f>prodnorm113</f>
        <v>0</v>
      </c>
      <c r="N301" s="84" t="s">
        <v>101</v>
      </c>
      <c r="O301" s="88">
        <f>uurtarief113</f>
        <v>0</v>
      </c>
      <c r="P301" s="86" t="e">
        <f>IF(ISBLANK(M301),0,L301/ROUND(M301,4))</f>
        <v>#DIV/0!</v>
      </c>
      <c r="Q301" s="88" t="e">
        <f>ROUND(O301,2)*P301</f>
        <v>#DIV/0!</v>
      </c>
      <c r="R301" s="86" t="e">
        <f>P301*dagenperjaar1</f>
        <v>#DIV/0!</v>
      </c>
      <c r="S301" s="89" t="e">
        <f>R301*ROUND(O301,2)</f>
        <v>#DIV/0!</v>
      </c>
    </row>
    <row r="302" spans="1:19" ht="25.2" x14ac:dyDescent="0.2">
      <c r="A302" s="90" t="s">
        <v>549</v>
      </c>
      <c r="B302" s="91" t="s">
        <v>35</v>
      </c>
      <c r="C302" s="91" t="s">
        <v>313</v>
      </c>
      <c r="D302" s="91" t="s">
        <v>317</v>
      </c>
      <c r="E302" s="92" t="s">
        <v>550</v>
      </c>
      <c r="F302" s="91" t="s">
        <v>361</v>
      </c>
      <c r="G302" s="91" t="s">
        <v>248</v>
      </c>
      <c r="H302" s="91" t="s">
        <v>13</v>
      </c>
      <c r="I302" s="91" t="s">
        <v>235</v>
      </c>
      <c r="J302" s="92" t="s">
        <v>249</v>
      </c>
      <c r="K302" s="93">
        <v>41.4</v>
      </c>
      <c r="L302" s="93">
        <f>K302*VLOOKUP(H302,dagsoorttabel1,2,FALSE)</f>
        <v>8.2799999999999994</v>
      </c>
      <c r="M302" s="94">
        <f>prodnorm61</f>
        <v>0</v>
      </c>
      <c r="N302" s="91" t="s">
        <v>101</v>
      </c>
      <c r="O302" s="26">
        <f>uurtarief61</f>
        <v>0</v>
      </c>
      <c r="P302" s="93" t="e">
        <f>IF(ISBLANK(M302),0,L302/ROUND(M302,4))</f>
        <v>#DIV/0!</v>
      </c>
      <c r="Q302" s="26" t="e">
        <f>ROUND(O302,2)*P302</f>
        <v>#DIV/0!</v>
      </c>
      <c r="R302" s="93" t="e">
        <f>P302*dagenperjaar1</f>
        <v>#DIV/0!</v>
      </c>
      <c r="S302" s="27" t="e">
        <f>R302*ROUND(O302,2)</f>
        <v>#DIV/0!</v>
      </c>
    </row>
    <row r="303" spans="1:19" x14ac:dyDescent="0.2">
      <c r="A303" s="90" t="s">
        <v>549</v>
      </c>
      <c r="B303" s="91" t="s">
        <v>35</v>
      </c>
      <c r="C303" s="91" t="s">
        <v>313</v>
      </c>
      <c r="D303" s="91" t="s">
        <v>320</v>
      </c>
      <c r="E303" s="92" t="s">
        <v>349</v>
      </c>
      <c r="F303" s="91" t="s">
        <v>361</v>
      </c>
      <c r="G303" s="91" t="s">
        <v>266</v>
      </c>
      <c r="H303" s="91" t="s">
        <v>13</v>
      </c>
      <c r="I303" s="91" t="s">
        <v>235</v>
      </c>
      <c r="J303" s="92" t="s">
        <v>267</v>
      </c>
      <c r="K303" s="93">
        <v>9.6</v>
      </c>
      <c r="L303" s="93">
        <f>K303*VLOOKUP(H303,dagsoorttabel1,2,FALSE)</f>
        <v>1.92</v>
      </c>
      <c r="M303" s="94">
        <f>prodnorm83</f>
        <v>0</v>
      </c>
      <c r="N303" s="91" t="s">
        <v>101</v>
      </c>
      <c r="O303" s="26">
        <f>uurtarief83</f>
        <v>0</v>
      </c>
      <c r="P303" s="93" t="e">
        <f>IF(ISBLANK(M303),0,L303/ROUND(M303,4))</f>
        <v>#DIV/0!</v>
      </c>
      <c r="Q303" s="26" t="e">
        <f>ROUND(O303,2)*P303</f>
        <v>#DIV/0!</v>
      </c>
      <c r="R303" s="93" t="e">
        <f>P303*dagenperjaar1</f>
        <v>#DIV/0!</v>
      </c>
      <c r="S303" s="27" t="e">
        <f>R303*ROUND(O303,2)</f>
        <v>#DIV/0!</v>
      </c>
    </row>
    <row r="304" spans="1:19" x14ac:dyDescent="0.2">
      <c r="A304" s="90" t="s">
        <v>549</v>
      </c>
      <c r="B304" s="91" t="s">
        <v>35</v>
      </c>
      <c r="C304" s="91" t="s">
        <v>313</v>
      </c>
      <c r="D304" s="91" t="s">
        <v>322</v>
      </c>
      <c r="E304" s="92" t="s">
        <v>551</v>
      </c>
      <c r="F304" s="91" t="s">
        <v>329</v>
      </c>
      <c r="G304" s="91" t="s">
        <v>279</v>
      </c>
      <c r="H304" s="91" t="s">
        <v>13</v>
      </c>
      <c r="I304" s="91" t="s">
        <v>235</v>
      </c>
      <c r="J304" s="92" t="s">
        <v>280</v>
      </c>
      <c r="K304" s="93">
        <v>7.4</v>
      </c>
      <c r="L304" s="93">
        <f>K304*VLOOKUP(H304,dagsoorttabel1,2,FALSE)</f>
        <v>1.4800000000000002</v>
      </c>
      <c r="M304" s="94">
        <f>prodnorm100</f>
        <v>0</v>
      </c>
      <c r="N304" s="91" t="s">
        <v>101</v>
      </c>
      <c r="O304" s="26">
        <f>uurtarief100</f>
        <v>0</v>
      </c>
      <c r="P304" s="93" t="e">
        <f>IF(ISBLANK(M304),0,L304/ROUND(M304,4))</f>
        <v>#DIV/0!</v>
      </c>
      <c r="Q304" s="26" t="e">
        <f>ROUND(O304,2)*P304</f>
        <v>#DIV/0!</v>
      </c>
      <c r="R304" s="93" t="e">
        <f>P304*dagenperjaar1</f>
        <v>#DIV/0!</v>
      </c>
      <c r="S304" s="27" t="e">
        <f>R304*ROUND(O304,2)</f>
        <v>#DIV/0!</v>
      </c>
    </row>
    <row r="305" spans="1:19" x14ac:dyDescent="0.2">
      <c r="A305" s="90" t="s">
        <v>549</v>
      </c>
      <c r="B305" s="91" t="s">
        <v>35</v>
      </c>
      <c r="C305" s="91" t="s">
        <v>313</v>
      </c>
      <c r="D305" s="91" t="s">
        <v>324</v>
      </c>
      <c r="E305" s="92" t="s">
        <v>380</v>
      </c>
      <c r="F305" s="91" t="s">
        <v>329</v>
      </c>
      <c r="G305" s="91" t="s">
        <v>352</v>
      </c>
      <c r="H305" s="91"/>
      <c r="I305" s="91"/>
      <c r="J305" s="91"/>
      <c r="K305" s="93">
        <v>1.5</v>
      </c>
      <c r="L305" s="93"/>
      <c r="M305" s="94"/>
      <c r="N305" s="91"/>
      <c r="O305" s="26"/>
      <c r="P305" s="93"/>
      <c r="Q305" s="26"/>
      <c r="R305" s="95"/>
      <c r="S305" s="27"/>
    </row>
    <row r="306" spans="1:19" x14ac:dyDescent="0.2">
      <c r="A306" s="90" t="s">
        <v>549</v>
      </c>
      <c r="B306" s="91" t="s">
        <v>35</v>
      </c>
      <c r="C306" s="91" t="s">
        <v>313</v>
      </c>
      <c r="D306" s="91" t="s">
        <v>325</v>
      </c>
      <c r="E306" s="92" t="s">
        <v>552</v>
      </c>
      <c r="F306" s="91" t="s">
        <v>329</v>
      </c>
      <c r="G306" s="91" t="s">
        <v>352</v>
      </c>
      <c r="H306" s="91"/>
      <c r="I306" s="91"/>
      <c r="J306" s="91"/>
      <c r="K306" s="93">
        <v>1.1500000000000001</v>
      </c>
      <c r="L306" s="93"/>
      <c r="M306" s="94"/>
      <c r="N306" s="91"/>
      <c r="O306" s="26"/>
      <c r="P306" s="93"/>
      <c r="Q306" s="26"/>
      <c r="R306" s="95"/>
      <c r="S306" s="27"/>
    </row>
    <row r="307" spans="1:19" x14ac:dyDescent="0.2">
      <c r="A307" s="90" t="s">
        <v>549</v>
      </c>
      <c r="B307" s="91" t="s">
        <v>35</v>
      </c>
      <c r="C307" s="91" t="s">
        <v>313</v>
      </c>
      <c r="D307" s="91" t="s">
        <v>327</v>
      </c>
      <c r="E307" s="92" t="s">
        <v>367</v>
      </c>
      <c r="F307" s="91" t="s">
        <v>329</v>
      </c>
      <c r="G307" s="91" t="s">
        <v>283</v>
      </c>
      <c r="H307" s="91" t="s">
        <v>13</v>
      </c>
      <c r="I307" s="91" t="s">
        <v>235</v>
      </c>
      <c r="J307" s="92" t="s">
        <v>284</v>
      </c>
      <c r="K307" s="93">
        <v>15.2</v>
      </c>
      <c r="L307" s="93">
        <f>K307*VLOOKUP(H307,dagsoorttabel1,2,FALSE)</f>
        <v>3.04</v>
      </c>
      <c r="M307" s="94">
        <f>prodnorm106</f>
        <v>0</v>
      </c>
      <c r="N307" s="91" t="s">
        <v>101</v>
      </c>
      <c r="O307" s="26">
        <f>uurtarief106</f>
        <v>0</v>
      </c>
      <c r="P307" s="93" t="e">
        <f>IF(ISBLANK(M307),0,L307/ROUND(M307,4))</f>
        <v>#DIV/0!</v>
      </c>
      <c r="Q307" s="26" t="e">
        <f>ROUND(O307,2)*P307</f>
        <v>#DIV/0!</v>
      </c>
      <c r="R307" s="93" t="e">
        <f>P307*dagenperjaar1</f>
        <v>#DIV/0!</v>
      </c>
      <c r="S307" s="27" t="e">
        <f>R307*ROUND(O307,2)</f>
        <v>#DIV/0!</v>
      </c>
    </row>
    <row r="308" spans="1:19" x14ac:dyDescent="0.2">
      <c r="A308" s="90" t="s">
        <v>549</v>
      </c>
      <c r="B308" s="91" t="s">
        <v>35</v>
      </c>
      <c r="C308" s="91" t="s">
        <v>313</v>
      </c>
      <c r="D308" s="91" t="s">
        <v>330</v>
      </c>
      <c r="E308" s="92" t="s">
        <v>373</v>
      </c>
      <c r="F308" s="91" t="s">
        <v>329</v>
      </c>
      <c r="G308" s="91" t="s">
        <v>277</v>
      </c>
      <c r="H308" s="91" t="s">
        <v>13</v>
      </c>
      <c r="I308" s="91" t="s">
        <v>235</v>
      </c>
      <c r="J308" s="92" t="s">
        <v>278</v>
      </c>
      <c r="K308" s="93">
        <v>5.46</v>
      </c>
      <c r="L308" s="93">
        <f>K308*VLOOKUP(H308,dagsoorttabel1,2,FALSE)</f>
        <v>1.0920000000000001</v>
      </c>
      <c r="M308" s="94">
        <f>prodnorm97</f>
        <v>0</v>
      </c>
      <c r="N308" s="91" t="s">
        <v>101</v>
      </c>
      <c r="O308" s="26">
        <f>uurtarief97</f>
        <v>0</v>
      </c>
      <c r="P308" s="93" t="e">
        <f>IF(ISBLANK(M308),0,L308/ROUND(M308,4))</f>
        <v>#DIV/0!</v>
      </c>
      <c r="Q308" s="26" t="e">
        <f>ROUND(O308,2)*P308</f>
        <v>#DIV/0!</v>
      </c>
      <c r="R308" s="93" t="e">
        <f>P308*dagenperjaar1</f>
        <v>#DIV/0!</v>
      </c>
      <c r="S308" s="27" t="e">
        <f>R308*ROUND(O308,2)</f>
        <v>#DIV/0!</v>
      </c>
    </row>
    <row r="309" spans="1:19" x14ac:dyDescent="0.2">
      <c r="A309" s="90" t="s">
        <v>549</v>
      </c>
      <c r="B309" s="91" t="s">
        <v>35</v>
      </c>
      <c r="C309" s="91" t="s">
        <v>313</v>
      </c>
      <c r="D309" s="91" t="s">
        <v>332</v>
      </c>
      <c r="E309" s="92" t="s">
        <v>365</v>
      </c>
      <c r="F309" s="91" t="s">
        <v>329</v>
      </c>
      <c r="G309" s="91" t="s">
        <v>279</v>
      </c>
      <c r="H309" s="91" t="s">
        <v>13</v>
      </c>
      <c r="I309" s="91" t="s">
        <v>235</v>
      </c>
      <c r="J309" s="92" t="s">
        <v>280</v>
      </c>
      <c r="K309" s="93">
        <v>3.6</v>
      </c>
      <c r="L309" s="93">
        <f>K309*VLOOKUP(H309,dagsoorttabel1,2,FALSE)</f>
        <v>0.72000000000000008</v>
      </c>
      <c r="M309" s="94">
        <f>prodnorm100</f>
        <v>0</v>
      </c>
      <c r="N309" s="91" t="s">
        <v>101</v>
      </c>
      <c r="O309" s="26">
        <f>uurtarief100</f>
        <v>0</v>
      </c>
      <c r="P309" s="93" t="e">
        <f>IF(ISBLANK(M309),0,L309/ROUND(M309,4))</f>
        <v>#DIV/0!</v>
      </c>
      <c r="Q309" s="26" t="e">
        <f>ROUND(O309,2)*P309</f>
        <v>#DIV/0!</v>
      </c>
      <c r="R309" s="93" t="e">
        <f>P309*dagenperjaar1</f>
        <v>#DIV/0!</v>
      </c>
      <c r="S309" s="27" t="e">
        <f>R309*ROUND(O309,2)</f>
        <v>#DIV/0!</v>
      </c>
    </row>
    <row r="310" spans="1:19" x14ac:dyDescent="0.2">
      <c r="A310" s="90" t="s">
        <v>549</v>
      </c>
      <c r="B310" s="91" t="s">
        <v>35</v>
      </c>
      <c r="C310" s="91" t="s">
        <v>313</v>
      </c>
      <c r="D310" s="91" t="s">
        <v>334</v>
      </c>
      <c r="E310" s="92" t="s">
        <v>363</v>
      </c>
      <c r="F310" s="91" t="s">
        <v>329</v>
      </c>
      <c r="G310" s="91" t="s">
        <v>277</v>
      </c>
      <c r="H310" s="91" t="s">
        <v>13</v>
      </c>
      <c r="I310" s="91" t="s">
        <v>235</v>
      </c>
      <c r="J310" s="92" t="s">
        <v>278</v>
      </c>
      <c r="K310" s="93">
        <v>24.5</v>
      </c>
      <c r="L310" s="93">
        <f>K310*VLOOKUP(H310,dagsoorttabel1,2,FALSE)</f>
        <v>4.9000000000000004</v>
      </c>
      <c r="M310" s="94">
        <f>prodnorm97</f>
        <v>0</v>
      </c>
      <c r="N310" s="91" t="s">
        <v>101</v>
      </c>
      <c r="O310" s="26">
        <f>uurtarief97</f>
        <v>0</v>
      </c>
      <c r="P310" s="93" t="e">
        <f>IF(ISBLANK(M310),0,L310/ROUND(M310,4))</f>
        <v>#DIV/0!</v>
      </c>
      <c r="Q310" s="26" t="e">
        <f>ROUND(O310,2)*P310</f>
        <v>#DIV/0!</v>
      </c>
      <c r="R310" s="93" t="e">
        <f>P310*dagenperjaar1</f>
        <v>#DIV/0!</v>
      </c>
      <c r="S310" s="27" t="e">
        <f>R310*ROUND(O310,2)</f>
        <v>#DIV/0!</v>
      </c>
    </row>
    <row r="311" spans="1:19" x14ac:dyDescent="0.2">
      <c r="A311" s="90" t="s">
        <v>549</v>
      </c>
      <c r="B311" s="91" t="s">
        <v>35</v>
      </c>
      <c r="C311" s="91" t="s">
        <v>313</v>
      </c>
      <c r="D311" s="91" t="s">
        <v>336</v>
      </c>
      <c r="E311" s="92" t="s">
        <v>362</v>
      </c>
      <c r="F311" s="91" t="s">
        <v>329</v>
      </c>
      <c r="G311" s="91" t="s">
        <v>277</v>
      </c>
      <c r="H311" s="91" t="s">
        <v>13</v>
      </c>
      <c r="I311" s="91" t="s">
        <v>235</v>
      </c>
      <c r="J311" s="92" t="s">
        <v>278</v>
      </c>
      <c r="K311" s="93">
        <v>11.9</v>
      </c>
      <c r="L311" s="93">
        <f>K311*VLOOKUP(H311,dagsoorttabel1,2,FALSE)</f>
        <v>2.3800000000000003</v>
      </c>
      <c r="M311" s="94">
        <f>prodnorm97</f>
        <v>0</v>
      </c>
      <c r="N311" s="91" t="s">
        <v>101</v>
      </c>
      <c r="O311" s="26">
        <f>uurtarief97</f>
        <v>0</v>
      </c>
      <c r="P311" s="93" t="e">
        <f>IF(ISBLANK(M311),0,L311/ROUND(M311,4))</f>
        <v>#DIV/0!</v>
      </c>
      <c r="Q311" s="26" t="e">
        <f>ROUND(O311,2)*P311</f>
        <v>#DIV/0!</v>
      </c>
      <c r="R311" s="93" t="e">
        <f>P311*dagenperjaar1</f>
        <v>#DIV/0!</v>
      </c>
      <c r="S311" s="27" t="e">
        <f>R311*ROUND(O311,2)</f>
        <v>#DIV/0!</v>
      </c>
    </row>
    <row r="312" spans="1:19" x14ac:dyDescent="0.2">
      <c r="A312" s="90" t="s">
        <v>549</v>
      </c>
      <c r="B312" s="91" t="s">
        <v>35</v>
      </c>
      <c r="C312" s="91" t="s">
        <v>313</v>
      </c>
      <c r="D312" s="91" t="s">
        <v>338</v>
      </c>
      <c r="E312" s="92" t="s">
        <v>553</v>
      </c>
      <c r="F312" s="91" t="s">
        <v>329</v>
      </c>
      <c r="G312" s="91" t="s">
        <v>252</v>
      </c>
      <c r="H312" s="91" t="s">
        <v>21</v>
      </c>
      <c r="I312" s="91" t="s">
        <v>235</v>
      </c>
      <c r="J312" s="92" t="s">
        <v>253</v>
      </c>
      <c r="K312" s="93">
        <v>124</v>
      </c>
      <c r="L312" s="93">
        <f>K312*VLOOKUP(H312,dagsoorttabel1,2,FALSE)</f>
        <v>0.47692307692307695</v>
      </c>
      <c r="M312" s="94">
        <f>prodnorm67</f>
        <v>0</v>
      </c>
      <c r="N312" s="91" t="s">
        <v>101</v>
      </c>
      <c r="O312" s="26">
        <f>uurtarief67</f>
        <v>0</v>
      </c>
      <c r="P312" s="93" t="e">
        <f>IF(ISBLANK(M312),0,L312/ROUND(M312,4))</f>
        <v>#DIV/0!</v>
      </c>
      <c r="Q312" s="26" t="e">
        <f>ROUND(O312,2)*P312</f>
        <v>#DIV/0!</v>
      </c>
      <c r="R312" s="93" t="e">
        <f>P312*dagenperjaar1</f>
        <v>#DIV/0!</v>
      </c>
      <c r="S312" s="27" t="e">
        <f>R312*ROUND(O312,2)</f>
        <v>#DIV/0!</v>
      </c>
    </row>
    <row r="313" spans="1:19" x14ac:dyDescent="0.2">
      <c r="A313" s="90" t="s">
        <v>549</v>
      </c>
      <c r="B313" s="91" t="s">
        <v>35</v>
      </c>
      <c r="C313" s="91" t="s">
        <v>313</v>
      </c>
      <c r="D313" s="91" t="s">
        <v>339</v>
      </c>
      <c r="E313" s="92" t="s">
        <v>386</v>
      </c>
      <c r="F313" s="91" t="s">
        <v>385</v>
      </c>
      <c r="G313" s="91" t="s">
        <v>352</v>
      </c>
      <c r="H313" s="91"/>
      <c r="I313" s="91"/>
      <c r="J313" s="91"/>
      <c r="K313" s="93">
        <v>9.1999999999999993</v>
      </c>
      <c r="L313" s="93"/>
      <c r="M313" s="94"/>
      <c r="N313" s="91"/>
      <c r="O313" s="26"/>
      <c r="P313" s="93"/>
      <c r="Q313" s="26"/>
      <c r="R313" s="95"/>
      <c r="S313" s="27"/>
    </row>
    <row r="314" spans="1:19" x14ac:dyDescent="0.2">
      <c r="A314" s="90" t="s">
        <v>549</v>
      </c>
      <c r="B314" s="91" t="s">
        <v>35</v>
      </c>
      <c r="C314" s="91" t="s">
        <v>313</v>
      </c>
      <c r="D314" s="91" t="s">
        <v>341</v>
      </c>
      <c r="E314" s="92" t="s">
        <v>554</v>
      </c>
      <c r="F314" s="91" t="s">
        <v>329</v>
      </c>
      <c r="G314" s="91" t="s">
        <v>252</v>
      </c>
      <c r="H314" s="91" t="s">
        <v>21</v>
      </c>
      <c r="I314" s="91" t="s">
        <v>235</v>
      </c>
      <c r="J314" s="92" t="s">
        <v>253</v>
      </c>
      <c r="K314" s="93">
        <v>18.100000000000001</v>
      </c>
      <c r="L314" s="93">
        <f>K314*VLOOKUP(H314,dagsoorttabel1,2,FALSE)</f>
        <v>6.9615384615384621E-2</v>
      </c>
      <c r="M314" s="94">
        <f>prodnorm67</f>
        <v>0</v>
      </c>
      <c r="N314" s="91" t="s">
        <v>101</v>
      </c>
      <c r="O314" s="26">
        <f>uurtarief67</f>
        <v>0</v>
      </c>
      <c r="P314" s="93" t="e">
        <f>IF(ISBLANK(M314),0,L314/ROUND(M314,4))</f>
        <v>#DIV/0!</v>
      </c>
      <c r="Q314" s="26" t="e">
        <f>ROUND(O314,2)*P314</f>
        <v>#DIV/0!</v>
      </c>
      <c r="R314" s="93" t="e">
        <f>P314*dagenperjaar1</f>
        <v>#DIV/0!</v>
      </c>
      <c r="S314" s="27" t="e">
        <f>R314*ROUND(O314,2)</f>
        <v>#DIV/0!</v>
      </c>
    </row>
    <row r="315" spans="1:19" x14ac:dyDescent="0.2">
      <c r="A315" s="96" t="s">
        <v>549</v>
      </c>
      <c r="B315" s="97" t="s">
        <v>35</v>
      </c>
      <c r="C315" s="97" t="s">
        <v>313</v>
      </c>
      <c r="D315" s="97" t="s">
        <v>372</v>
      </c>
      <c r="E315" s="98" t="s">
        <v>555</v>
      </c>
      <c r="F315" s="97" t="s">
        <v>329</v>
      </c>
      <c r="G315" s="97" t="s">
        <v>239</v>
      </c>
      <c r="H315" s="97" t="s">
        <v>13</v>
      </c>
      <c r="I315" s="97" t="s">
        <v>235</v>
      </c>
      <c r="J315" s="98" t="s">
        <v>240</v>
      </c>
      <c r="K315" s="99">
        <v>11.729999999999999</v>
      </c>
      <c r="L315" s="99">
        <f>K315*VLOOKUP(H315,dagsoorttabel1,2,FALSE)</f>
        <v>2.3459999999999996</v>
      </c>
      <c r="M315" s="100">
        <f>prodnorm53</f>
        <v>0</v>
      </c>
      <c r="N315" s="97" t="s">
        <v>101</v>
      </c>
      <c r="O315" s="36">
        <f>uurtarief53</f>
        <v>0</v>
      </c>
      <c r="P315" s="99" t="e">
        <f>IF(ISBLANK(M315),0,L315/ROUND(M315,4))</f>
        <v>#DIV/0!</v>
      </c>
      <c r="Q315" s="36" t="e">
        <f>ROUND(O315,2)*P315</f>
        <v>#DIV/0!</v>
      </c>
      <c r="R315" s="99" t="e">
        <f>P315*dagenperjaar1</f>
        <v>#DIV/0!</v>
      </c>
      <c r="S315" s="37" t="e">
        <f>R315*ROUND(O315,2)</f>
        <v>#DIV/0!</v>
      </c>
    </row>
    <row r="316" spans="1:19" x14ac:dyDescent="0.2">
      <c r="A316" s="101" t="s">
        <v>356</v>
      </c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6" t="e">
        <f>IF(_xlfn.SINGLE(object12_urenjaar1)&gt;0,_xlfn.SINGLE(object12_prijsjaar1)/_xlfn.SINGLE(object12_urenjaar1),0)</f>
        <v>#DIV/0!</v>
      </c>
      <c r="P316" s="75" t="e">
        <f>SUM(P301:P315)</f>
        <v>#DIV/0!</v>
      </c>
      <c r="Q316" s="76" t="e">
        <f>SUM(Q301:Q315)</f>
        <v>#DIV/0!</v>
      </c>
      <c r="R316" s="75" t="e">
        <f>SUM(R301:R315)</f>
        <v>#DIV/0!</v>
      </c>
      <c r="S316" s="77" t="e">
        <f>SUM(S301:S315)</f>
        <v>#DIV/0!</v>
      </c>
    </row>
    <row r="317" spans="1:19" x14ac:dyDescent="0.2">
      <c r="A317" s="82" t="s">
        <v>556</v>
      </c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72"/>
    </row>
    <row r="318" spans="1:19" x14ac:dyDescent="0.2">
      <c r="A318" s="83" t="s">
        <v>557</v>
      </c>
      <c r="B318" s="84" t="s">
        <v>35</v>
      </c>
      <c r="C318" s="84" t="s">
        <v>313</v>
      </c>
      <c r="D318" s="84" t="s">
        <v>314</v>
      </c>
      <c r="E318" s="85" t="s">
        <v>315</v>
      </c>
      <c r="F318" s="84" t="s">
        <v>387</v>
      </c>
      <c r="G318" s="84" t="s">
        <v>289</v>
      </c>
      <c r="H318" s="84" t="s">
        <v>9</v>
      </c>
      <c r="I318" s="84" t="s">
        <v>235</v>
      </c>
      <c r="J318" s="85" t="s">
        <v>290</v>
      </c>
      <c r="K318" s="86">
        <v>40.5</v>
      </c>
      <c r="L318" s="86">
        <f>K318*VLOOKUP(H318,dagsoorttabel1,2,FALSE)</f>
        <v>40.5</v>
      </c>
      <c r="M318" s="87">
        <f>prodnorm115</f>
        <v>0</v>
      </c>
      <c r="N318" s="84" t="s">
        <v>101</v>
      </c>
      <c r="O318" s="88">
        <f>uurtarief115</f>
        <v>0</v>
      </c>
      <c r="P318" s="86" t="e">
        <f>IF(ISBLANK(M318),0,L318/ROUND(M318,4))</f>
        <v>#DIV/0!</v>
      </c>
      <c r="Q318" s="88" t="e">
        <f>ROUND(O318,2)*P318</f>
        <v>#DIV/0!</v>
      </c>
      <c r="R318" s="86" t="e">
        <f>P318*dagenperjaar1</f>
        <v>#DIV/0!</v>
      </c>
      <c r="S318" s="89" t="e">
        <f>R318*ROUND(O318,2)</f>
        <v>#DIV/0!</v>
      </c>
    </row>
    <row r="319" spans="1:19" x14ac:dyDescent="0.2">
      <c r="A319" s="90" t="s">
        <v>557</v>
      </c>
      <c r="B319" s="91" t="s">
        <v>35</v>
      </c>
      <c r="C319" s="91" t="s">
        <v>313</v>
      </c>
      <c r="D319" s="91" t="s">
        <v>317</v>
      </c>
      <c r="E319" s="92" t="s">
        <v>558</v>
      </c>
      <c r="F319" s="91" t="s">
        <v>387</v>
      </c>
      <c r="G319" s="91" t="s">
        <v>246</v>
      </c>
      <c r="H319" s="91" t="s">
        <v>9</v>
      </c>
      <c r="I319" s="91" t="s">
        <v>235</v>
      </c>
      <c r="J319" s="92" t="s">
        <v>247</v>
      </c>
      <c r="K319" s="93">
        <v>14.4</v>
      </c>
      <c r="L319" s="93">
        <f>K319*VLOOKUP(H319,dagsoorttabel1,2,FALSE)</f>
        <v>14.4</v>
      </c>
      <c r="M319" s="94">
        <f>prodnorm60</f>
        <v>0</v>
      </c>
      <c r="N319" s="91" t="s">
        <v>101</v>
      </c>
      <c r="O319" s="26">
        <f>uurtarief60</f>
        <v>0</v>
      </c>
      <c r="P319" s="93" t="e">
        <f>IF(ISBLANK(M319),0,L319/ROUND(M319,4))</f>
        <v>#DIV/0!</v>
      </c>
      <c r="Q319" s="26" t="e">
        <f>ROUND(O319,2)*P319</f>
        <v>#DIV/0!</v>
      </c>
      <c r="R319" s="93" t="e">
        <f>P319*dagenperjaar1</f>
        <v>#DIV/0!</v>
      </c>
      <c r="S319" s="27" t="e">
        <f>R319*ROUND(O319,2)</f>
        <v>#DIV/0!</v>
      </c>
    </row>
    <row r="320" spans="1:19" x14ac:dyDescent="0.2">
      <c r="A320" s="90" t="s">
        <v>557</v>
      </c>
      <c r="B320" s="91" t="s">
        <v>35</v>
      </c>
      <c r="C320" s="91" t="s">
        <v>313</v>
      </c>
      <c r="D320" s="91" t="s">
        <v>320</v>
      </c>
      <c r="E320" s="92" t="s">
        <v>559</v>
      </c>
      <c r="F320" s="91" t="s">
        <v>316</v>
      </c>
      <c r="G320" s="91" t="s">
        <v>298</v>
      </c>
      <c r="H320" s="91" t="s">
        <v>9</v>
      </c>
      <c r="I320" s="91" t="s">
        <v>235</v>
      </c>
      <c r="J320" s="92" t="s">
        <v>299</v>
      </c>
      <c r="K320" s="93">
        <v>27</v>
      </c>
      <c r="L320" s="93">
        <f>K320*VLOOKUP(H320,dagsoorttabel1,2,FALSE)</f>
        <v>27</v>
      </c>
      <c r="M320" s="94">
        <f>prodnorm126</f>
        <v>0</v>
      </c>
      <c r="N320" s="91" t="s">
        <v>101</v>
      </c>
      <c r="O320" s="26">
        <f>uurtarief126</f>
        <v>0</v>
      </c>
      <c r="P320" s="93" t="e">
        <f>IF(ISBLANK(M320),0,L320/ROUND(M320,4))</f>
        <v>#DIV/0!</v>
      </c>
      <c r="Q320" s="26" t="e">
        <f>ROUND(O320,2)*P320</f>
        <v>#DIV/0!</v>
      </c>
      <c r="R320" s="93" t="e">
        <f>P320*dagenperjaar1</f>
        <v>#DIV/0!</v>
      </c>
      <c r="S320" s="27" t="e">
        <f>R320*ROUND(O320,2)</f>
        <v>#DIV/0!</v>
      </c>
    </row>
    <row r="321" spans="1:19" x14ac:dyDescent="0.2">
      <c r="A321" s="90" t="s">
        <v>557</v>
      </c>
      <c r="B321" s="91" t="s">
        <v>35</v>
      </c>
      <c r="C321" s="91" t="s">
        <v>313</v>
      </c>
      <c r="D321" s="91" t="s">
        <v>322</v>
      </c>
      <c r="E321" s="92" t="s">
        <v>560</v>
      </c>
      <c r="F321" s="91" t="s">
        <v>329</v>
      </c>
      <c r="G321" s="91" t="s">
        <v>283</v>
      </c>
      <c r="H321" s="91" t="s">
        <v>9</v>
      </c>
      <c r="I321" s="91" t="s">
        <v>235</v>
      </c>
      <c r="J321" s="92" t="s">
        <v>284</v>
      </c>
      <c r="K321" s="93">
        <v>66</v>
      </c>
      <c r="L321" s="93">
        <f>K321*VLOOKUP(H321,dagsoorttabel1,2,FALSE)</f>
        <v>66</v>
      </c>
      <c r="M321" s="94">
        <f>prodnorm108</f>
        <v>0</v>
      </c>
      <c r="N321" s="91" t="s">
        <v>101</v>
      </c>
      <c r="O321" s="26">
        <f>uurtarief108</f>
        <v>0</v>
      </c>
      <c r="P321" s="93" t="e">
        <f>IF(ISBLANK(M321),0,L321/ROUND(M321,4))</f>
        <v>#DIV/0!</v>
      </c>
      <c r="Q321" s="26" t="e">
        <f>ROUND(O321,2)*P321</f>
        <v>#DIV/0!</v>
      </c>
      <c r="R321" s="93" t="e">
        <f>P321*dagenperjaar1</f>
        <v>#DIV/0!</v>
      </c>
      <c r="S321" s="27" t="e">
        <f>R321*ROUND(O321,2)</f>
        <v>#DIV/0!</v>
      </c>
    </row>
    <row r="322" spans="1:19" x14ac:dyDescent="0.2">
      <c r="A322" s="90" t="s">
        <v>557</v>
      </c>
      <c r="B322" s="91" t="s">
        <v>35</v>
      </c>
      <c r="C322" s="91" t="s">
        <v>313</v>
      </c>
      <c r="D322" s="91" t="s">
        <v>324</v>
      </c>
      <c r="E322" s="92" t="s">
        <v>561</v>
      </c>
      <c r="F322" s="91" t="s">
        <v>329</v>
      </c>
      <c r="G322" s="91" t="s">
        <v>239</v>
      </c>
      <c r="H322" s="91" t="s">
        <v>9</v>
      </c>
      <c r="I322" s="91" t="s">
        <v>235</v>
      </c>
      <c r="J322" s="92" t="s">
        <v>240</v>
      </c>
      <c r="K322" s="93">
        <v>11.5</v>
      </c>
      <c r="L322" s="93">
        <f>K322*VLOOKUP(H322,dagsoorttabel1,2,FALSE)</f>
        <v>11.5</v>
      </c>
      <c r="M322" s="94">
        <f>prodnorm55</f>
        <v>0</v>
      </c>
      <c r="N322" s="91" t="s">
        <v>101</v>
      </c>
      <c r="O322" s="26">
        <f>uurtarief55</f>
        <v>0</v>
      </c>
      <c r="P322" s="93" t="e">
        <f>IF(ISBLANK(M322),0,L322/ROUND(M322,4))</f>
        <v>#DIV/0!</v>
      </c>
      <c r="Q322" s="26" t="e">
        <f>ROUND(O322,2)*P322</f>
        <v>#DIV/0!</v>
      </c>
      <c r="R322" s="93" t="e">
        <f>P322*dagenperjaar1</f>
        <v>#DIV/0!</v>
      </c>
      <c r="S322" s="27" t="e">
        <f>R322*ROUND(O322,2)</f>
        <v>#DIV/0!</v>
      </c>
    </row>
    <row r="323" spans="1:19" x14ac:dyDescent="0.2">
      <c r="A323" s="90" t="s">
        <v>557</v>
      </c>
      <c r="B323" s="91" t="s">
        <v>35</v>
      </c>
      <c r="C323" s="91" t="s">
        <v>313</v>
      </c>
      <c r="D323" s="91" t="s">
        <v>325</v>
      </c>
      <c r="E323" s="92" t="s">
        <v>562</v>
      </c>
      <c r="F323" s="91" t="s">
        <v>329</v>
      </c>
      <c r="G323" s="91" t="s">
        <v>279</v>
      </c>
      <c r="H323" s="91" t="s">
        <v>9</v>
      </c>
      <c r="I323" s="91" t="s">
        <v>235</v>
      </c>
      <c r="J323" s="92" t="s">
        <v>280</v>
      </c>
      <c r="K323" s="93">
        <v>3.2</v>
      </c>
      <c r="L323" s="93">
        <f>K323*VLOOKUP(H323,dagsoorttabel1,2,FALSE)</f>
        <v>3.2</v>
      </c>
      <c r="M323" s="94">
        <f>prodnorm102</f>
        <v>0</v>
      </c>
      <c r="N323" s="91" t="s">
        <v>101</v>
      </c>
      <c r="O323" s="26">
        <f>uurtarief102</f>
        <v>0</v>
      </c>
      <c r="P323" s="93" t="e">
        <f>IF(ISBLANK(M323),0,L323/ROUND(M323,4))</f>
        <v>#DIV/0!</v>
      </c>
      <c r="Q323" s="26" t="e">
        <f>ROUND(O323,2)*P323</f>
        <v>#DIV/0!</v>
      </c>
      <c r="R323" s="93" t="e">
        <f>P323*dagenperjaar1</f>
        <v>#DIV/0!</v>
      </c>
      <c r="S323" s="27" t="e">
        <f>R323*ROUND(O323,2)</f>
        <v>#DIV/0!</v>
      </c>
    </row>
    <row r="324" spans="1:19" x14ac:dyDescent="0.2">
      <c r="A324" s="90" t="s">
        <v>557</v>
      </c>
      <c r="B324" s="91" t="s">
        <v>35</v>
      </c>
      <c r="C324" s="91" t="s">
        <v>313</v>
      </c>
      <c r="D324" s="91" t="s">
        <v>327</v>
      </c>
      <c r="E324" s="92" t="s">
        <v>551</v>
      </c>
      <c r="F324" s="91" t="s">
        <v>329</v>
      </c>
      <c r="G324" s="91" t="s">
        <v>279</v>
      </c>
      <c r="H324" s="91" t="s">
        <v>9</v>
      </c>
      <c r="I324" s="91" t="s">
        <v>235</v>
      </c>
      <c r="J324" s="92" t="s">
        <v>280</v>
      </c>
      <c r="K324" s="93">
        <v>5.5</v>
      </c>
      <c r="L324" s="93">
        <f>K324*VLOOKUP(H324,dagsoorttabel1,2,FALSE)</f>
        <v>5.5</v>
      </c>
      <c r="M324" s="94">
        <f>prodnorm102</f>
        <v>0</v>
      </c>
      <c r="N324" s="91" t="s">
        <v>101</v>
      </c>
      <c r="O324" s="26">
        <f>uurtarief102</f>
        <v>0</v>
      </c>
      <c r="P324" s="93" t="e">
        <f>IF(ISBLANK(M324),0,L324/ROUND(M324,4))</f>
        <v>#DIV/0!</v>
      </c>
      <c r="Q324" s="26" t="e">
        <f>ROUND(O324,2)*P324</f>
        <v>#DIV/0!</v>
      </c>
      <c r="R324" s="93" t="e">
        <f>P324*dagenperjaar1</f>
        <v>#DIV/0!</v>
      </c>
      <c r="S324" s="27" t="e">
        <f>R324*ROUND(O324,2)</f>
        <v>#DIV/0!</v>
      </c>
    </row>
    <row r="325" spans="1:19" ht="25.2" x14ac:dyDescent="0.2">
      <c r="A325" s="90" t="s">
        <v>557</v>
      </c>
      <c r="B325" s="91" t="s">
        <v>35</v>
      </c>
      <c r="C325" s="91" t="s">
        <v>313</v>
      </c>
      <c r="D325" s="91" t="s">
        <v>330</v>
      </c>
      <c r="E325" s="92" t="s">
        <v>550</v>
      </c>
      <c r="F325" s="91" t="s">
        <v>361</v>
      </c>
      <c r="G325" s="91" t="s">
        <v>248</v>
      </c>
      <c r="H325" s="91" t="s">
        <v>9</v>
      </c>
      <c r="I325" s="91" t="s">
        <v>235</v>
      </c>
      <c r="J325" s="92" t="s">
        <v>249</v>
      </c>
      <c r="K325" s="93">
        <v>9</v>
      </c>
      <c r="L325" s="93">
        <f>K325*VLOOKUP(H325,dagsoorttabel1,2,FALSE)</f>
        <v>9</v>
      </c>
      <c r="M325" s="94">
        <f>prodnorm63</f>
        <v>0</v>
      </c>
      <c r="N325" s="91" t="s">
        <v>101</v>
      </c>
      <c r="O325" s="26">
        <f>uurtarief63</f>
        <v>0</v>
      </c>
      <c r="P325" s="93" t="e">
        <f>IF(ISBLANK(M325),0,L325/ROUND(M325,4))</f>
        <v>#DIV/0!</v>
      </c>
      <c r="Q325" s="26" t="e">
        <f>ROUND(O325,2)*P325</f>
        <v>#DIV/0!</v>
      </c>
      <c r="R325" s="93" t="e">
        <f>P325*dagenperjaar1</f>
        <v>#DIV/0!</v>
      </c>
      <c r="S325" s="27" t="e">
        <f>R325*ROUND(O325,2)</f>
        <v>#DIV/0!</v>
      </c>
    </row>
    <row r="326" spans="1:19" ht="25.2" x14ac:dyDescent="0.2">
      <c r="A326" s="90" t="s">
        <v>557</v>
      </c>
      <c r="B326" s="91" t="s">
        <v>35</v>
      </c>
      <c r="C326" s="91" t="s">
        <v>313</v>
      </c>
      <c r="D326" s="91" t="s">
        <v>332</v>
      </c>
      <c r="E326" s="92" t="s">
        <v>563</v>
      </c>
      <c r="F326" s="91" t="s">
        <v>361</v>
      </c>
      <c r="G326" s="91" t="s">
        <v>293</v>
      </c>
      <c r="H326" s="91" t="s">
        <v>13</v>
      </c>
      <c r="I326" s="91" t="s">
        <v>235</v>
      </c>
      <c r="J326" s="92" t="s">
        <v>294</v>
      </c>
      <c r="K326" s="93">
        <v>9</v>
      </c>
      <c r="L326" s="93">
        <f>K326*VLOOKUP(H326,dagsoorttabel1,2,FALSE)</f>
        <v>1.8</v>
      </c>
      <c r="M326" s="94">
        <f>prodnorm119</f>
        <v>0</v>
      </c>
      <c r="N326" s="91" t="s">
        <v>101</v>
      </c>
      <c r="O326" s="26">
        <f>uurtarief119</f>
        <v>0</v>
      </c>
      <c r="P326" s="93" t="e">
        <f>IF(ISBLANK(M326),0,L326/ROUND(M326,4))</f>
        <v>#DIV/0!</v>
      </c>
      <c r="Q326" s="26" t="e">
        <f>ROUND(O326,2)*P326</f>
        <v>#DIV/0!</v>
      </c>
      <c r="R326" s="93" t="e">
        <f>P326*dagenperjaar1</f>
        <v>#DIV/0!</v>
      </c>
      <c r="S326" s="27" t="e">
        <f>R326*ROUND(O326,2)</f>
        <v>#DIV/0!</v>
      </c>
    </row>
    <row r="327" spans="1:19" x14ac:dyDescent="0.2">
      <c r="A327" s="90" t="s">
        <v>557</v>
      </c>
      <c r="B327" s="91" t="s">
        <v>35</v>
      </c>
      <c r="C327" s="91" t="s">
        <v>313</v>
      </c>
      <c r="D327" s="91" t="s">
        <v>334</v>
      </c>
      <c r="E327" s="92" t="s">
        <v>564</v>
      </c>
      <c r="F327" s="91" t="s">
        <v>361</v>
      </c>
      <c r="G327" s="91" t="s">
        <v>239</v>
      </c>
      <c r="H327" s="91" t="s">
        <v>9</v>
      </c>
      <c r="I327" s="91" t="s">
        <v>235</v>
      </c>
      <c r="J327" s="92" t="s">
        <v>240</v>
      </c>
      <c r="K327" s="93">
        <v>24.9</v>
      </c>
      <c r="L327" s="93">
        <f>K327*VLOOKUP(H327,dagsoorttabel1,2,FALSE)</f>
        <v>24.9</v>
      </c>
      <c r="M327" s="94">
        <f>prodnorm55</f>
        <v>0</v>
      </c>
      <c r="N327" s="91" t="s">
        <v>101</v>
      </c>
      <c r="O327" s="26">
        <f>uurtarief55</f>
        <v>0</v>
      </c>
      <c r="P327" s="93" t="e">
        <f>IF(ISBLANK(M327),0,L327/ROUND(M327,4))</f>
        <v>#DIV/0!</v>
      </c>
      <c r="Q327" s="26" t="e">
        <f>ROUND(O327,2)*P327</f>
        <v>#DIV/0!</v>
      </c>
      <c r="R327" s="93" t="e">
        <f>P327*dagenperjaar1</f>
        <v>#DIV/0!</v>
      </c>
      <c r="S327" s="27" t="e">
        <f>R327*ROUND(O327,2)</f>
        <v>#DIV/0!</v>
      </c>
    </row>
    <row r="328" spans="1:19" x14ac:dyDescent="0.2">
      <c r="A328" s="90" t="s">
        <v>557</v>
      </c>
      <c r="B328" s="91" t="s">
        <v>35</v>
      </c>
      <c r="C328" s="91" t="s">
        <v>313</v>
      </c>
      <c r="D328" s="91" t="s">
        <v>336</v>
      </c>
      <c r="E328" s="92" t="s">
        <v>565</v>
      </c>
      <c r="F328" s="91" t="s">
        <v>361</v>
      </c>
      <c r="G328" s="91" t="s">
        <v>239</v>
      </c>
      <c r="H328" s="91" t="s">
        <v>9</v>
      </c>
      <c r="I328" s="91" t="s">
        <v>235</v>
      </c>
      <c r="J328" s="92" t="s">
        <v>240</v>
      </c>
      <c r="K328" s="93">
        <v>24.9</v>
      </c>
      <c r="L328" s="93">
        <f>K328*VLOOKUP(H328,dagsoorttabel1,2,FALSE)</f>
        <v>24.9</v>
      </c>
      <c r="M328" s="94">
        <f>prodnorm55</f>
        <v>0</v>
      </c>
      <c r="N328" s="91" t="s">
        <v>101</v>
      </c>
      <c r="O328" s="26">
        <f>uurtarief55</f>
        <v>0</v>
      </c>
      <c r="P328" s="93" t="e">
        <f>IF(ISBLANK(M328),0,L328/ROUND(M328,4))</f>
        <v>#DIV/0!</v>
      </c>
      <c r="Q328" s="26" t="e">
        <f>ROUND(O328,2)*P328</f>
        <v>#DIV/0!</v>
      </c>
      <c r="R328" s="93" t="e">
        <f>P328*dagenperjaar1</f>
        <v>#DIV/0!</v>
      </c>
      <c r="S328" s="27" t="e">
        <f>R328*ROUND(O328,2)</f>
        <v>#DIV/0!</v>
      </c>
    </row>
    <row r="329" spans="1:19" x14ac:dyDescent="0.2">
      <c r="A329" s="90" t="s">
        <v>557</v>
      </c>
      <c r="B329" s="91" t="s">
        <v>35</v>
      </c>
      <c r="C329" s="91" t="s">
        <v>313</v>
      </c>
      <c r="D329" s="91" t="s">
        <v>338</v>
      </c>
      <c r="E329" s="92" t="s">
        <v>566</v>
      </c>
      <c r="F329" s="91" t="s">
        <v>347</v>
      </c>
      <c r="G329" s="91" t="s">
        <v>262</v>
      </c>
      <c r="H329" s="91" t="s">
        <v>13</v>
      </c>
      <c r="I329" s="91" t="s">
        <v>235</v>
      </c>
      <c r="J329" s="92" t="s">
        <v>263</v>
      </c>
      <c r="K329" s="93">
        <v>51.6</v>
      </c>
      <c r="L329" s="93">
        <f>K329*VLOOKUP(H329,dagsoorttabel1,2,FALSE)</f>
        <v>10.32</v>
      </c>
      <c r="M329" s="94">
        <f>prodnorm78</f>
        <v>0</v>
      </c>
      <c r="N329" s="91" t="s">
        <v>101</v>
      </c>
      <c r="O329" s="26">
        <f>uurtarief78</f>
        <v>0</v>
      </c>
      <c r="P329" s="93" t="e">
        <f>IF(ISBLANK(M329),0,L329/ROUND(M329,4))</f>
        <v>#DIV/0!</v>
      </c>
      <c r="Q329" s="26" t="e">
        <f>ROUND(O329,2)*P329</f>
        <v>#DIV/0!</v>
      </c>
      <c r="R329" s="93" t="e">
        <f>P329*dagenperjaar1</f>
        <v>#DIV/0!</v>
      </c>
      <c r="S329" s="27" t="e">
        <f>R329*ROUND(O329,2)</f>
        <v>#DIV/0!</v>
      </c>
    </row>
    <row r="330" spans="1:19" x14ac:dyDescent="0.2">
      <c r="A330" s="90" t="s">
        <v>557</v>
      </c>
      <c r="B330" s="91" t="s">
        <v>35</v>
      </c>
      <c r="C330" s="91" t="s">
        <v>313</v>
      </c>
      <c r="D330" s="91" t="s">
        <v>339</v>
      </c>
      <c r="E330" s="92" t="s">
        <v>567</v>
      </c>
      <c r="F330" s="91" t="s">
        <v>347</v>
      </c>
      <c r="G330" s="91" t="s">
        <v>239</v>
      </c>
      <c r="H330" s="91" t="s">
        <v>13</v>
      </c>
      <c r="I330" s="91" t="s">
        <v>235</v>
      </c>
      <c r="J330" s="92" t="s">
        <v>240</v>
      </c>
      <c r="K330" s="93">
        <v>17.5</v>
      </c>
      <c r="L330" s="93">
        <f>K330*VLOOKUP(H330,dagsoorttabel1,2,FALSE)</f>
        <v>3.5</v>
      </c>
      <c r="M330" s="94">
        <f>prodnorm53</f>
        <v>0</v>
      </c>
      <c r="N330" s="91" t="s">
        <v>101</v>
      </c>
      <c r="O330" s="26">
        <f>uurtarief53</f>
        <v>0</v>
      </c>
      <c r="P330" s="93" t="e">
        <f>IF(ISBLANK(M330),0,L330/ROUND(M330,4))</f>
        <v>#DIV/0!</v>
      </c>
      <c r="Q330" s="26" t="e">
        <f>ROUND(O330,2)*P330</f>
        <v>#DIV/0!</v>
      </c>
      <c r="R330" s="93" t="e">
        <f>P330*dagenperjaar1</f>
        <v>#DIV/0!</v>
      </c>
      <c r="S330" s="27" t="e">
        <f>R330*ROUND(O330,2)</f>
        <v>#DIV/0!</v>
      </c>
    </row>
    <row r="331" spans="1:19" x14ac:dyDescent="0.2">
      <c r="A331" s="90" t="s">
        <v>557</v>
      </c>
      <c r="B331" s="91" t="s">
        <v>35</v>
      </c>
      <c r="C331" s="91" t="s">
        <v>313</v>
      </c>
      <c r="D331" s="91" t="s">
        <v>372</v>
      </c>
      <c r="E331" s="92" t="s">
        <v>568</v>
      </c>
      <c r="F331" s="91" t="s">
        <v>329</v>
      </c>
      <c r="G331" s="91" t="s">
        <v>277</v>
      </c>
      <c r="H331" s="91" t="s">
        <v>9</v>
      </c>
      <c r="I331" s="91" t="s">
        <v>235</v>
      </c>
      <c r="J331" s="92" t="s">
        <v>278</v>
      </c>
      <c r="K331" s="93">
        <v>124.4</v>
      </c>
      <c r="L331" s="93">
        <f>K331*VLOOKUP(H331,dagsoorttabel1,2,FALSE)</f>
        <v>124.4</v>
      </c>
      <c r="M331" s="94">
        <f>prodnorm99</f>
        <v>0</v>
      </c>
      <c r="N331" s="91" t="s">
        <v>101</v>
      </c>
      <c r="O331" s="26">
        <f>uurtarief99</f>
        <v>0</v>
      </c>
      <c r="P331" s="93" t="e">
        <f>IF(ISBLANK(M331),0,L331/ROUND(M331,4))</f>
        <v>#DIV/0!</v>
      </c>
      <c r="Q331" s="26" t="e">
        <f>ROUND(O331,2)*P331</f>
        <v>#DIV/0!</v>
      </c>
      <c r="R331" s="93" t="e">
        <f>P331*dagenperjaar1</f>
        <v>#DIV/0!</v>
      </c>
      <c r="S331" s="27" t="e">
        <f>R331*ROUND(O331,2)</f>
        <v>#DIV/0!</v>
      </c>
    </row>
    <row r="332" spans="1:19" x14ac:dyDescent="0.2">
      <c r="A332" s="90" t="s">
        <v>557</v>
      </c>
      <c r="B332" s="91" t="s">
        <v>35</v>
      </c>
      <c r="C332" s="91" t="s">
        <v>313</v>
      </c>
      <c r="D332" s="91" t="s">
        <v>391</v>
      </c>
      <c r="E332" s="92" t="s">
        <v>569</v>
      </c>
      <c r="F332" s="91" t="s">
        <v>329</v>
      </c>
      <c r="G332" s="91" t="s">
        <v>252</v>
      </c>
      <c r="H332" s="91" t="s">
        <v>20</v>
      </c>
      <c r="I332" s="91" t="s">
        <v>235</v>
      </c>
      <c r="J332" s="92" t="s">
        <v>253</v>
      </c>
      <c r="K332" s="93">
        <v>506.5</v>
      </c>
      <c r="L332" s="93">
        <f>K332*VLOOKUP(H332,dagsoorttabel1,2,FALSE)</f>
        <v>3.8961538461538465</v>
      </c>
      <c r="M332" s="94">
        <f>prodnorm69</f>
        <v>0</v>
      </c>
      <c r="N332" s="91" t="s">
        <v>101</v>
      </c>
      <c r="O332" s="26">
        <f>uurtarief69</f>
        <v>0</v>
      </c>
      <c r="P332" s="93" t="e">
        <f>IF(ISBLANK(M332),0,L332/ROUND(M332,4))</f>
        <v>#DIV/0!</v>
      </c>
      <c r="Q332" s="26" t="e">
        <f>ROUND(O332,2)*P332</f>
        <v>#DIV/0!</v>
      </c>
      <c r="R332" s="93" t="e">
        <f>P332*dagenperjaar1</f>
        <v>#DIV/0!</v>
      </c>
      <c r="S332" s="27" t="e">
        <f>R332*ROUND(O332,2)</f>
        <v>#DIV/0!</v>
      </c>
    </row>
    <row r="333" spans="1:19" x14ac:dyDescent="0.2">
      <c r="A333" s="90" t="s">
        <v>557</v>
      </c>
      <c r="B333" s="91" t="s">
        <v>35</v>
      </c>
      <c r="C333" s="91" t="s">
        <v>313</v>
      </c>
      <c r="D333" s="91" t="s">
        <v>570</v>
      </c>
      <c r="E333" s="92" t="s">
        <v>571</v>
      </c>
      <c r="F333" s="91" t="s">
        <v>329</v>
      </c>
      <c r="G333" s="91" t="s">
        <v>252</v>
      </c>
      <c r="H333" s="91" t="s">
        <v>20</v>
      </c>
      <c r="I333" s="91" t="s">
        <v>235</v>
      </c>
      <c r="J333" s="92" t="s">
        <v>253</v>
      </c>
      <c r="K333" s="93">
        <v>212.8</v>
      </c>
      <c r="L333" s="93">
        <f>K333*VLOOKUP(H333,dagsoorttabel1,2,FALSE)</f>
        <v>1.6369230769230771</v>
      </c>
      <c r="M333" s="94">
        <f>prodnorm69</f>
        <v>0</v>
      </c>
      <c r="N333" s="91" t="s">
        <v>101</v>
      </c>
      <c r="O333" s="26">
        <f>uurtarief69</f>
        <v>0</v>
      </c>
      <c r="P333" s="93" t="e">
        <f>IF(ISBLANK(M333),0,L333/ROUND(M333,4))</f>
        <v>#DIV/0!</v>
      </c>
      <c r="Q333" s="26" t="e">
        <f>ROUND(O333,2)*P333</f>
        <v>#DIV/0!</v>
      </c>
      <c r="R333" s="93" t="e">
        <f>P333*dagenperjaar1</f>
        <v>#DIV/0!</v>
      </c>
      <c r="S333" s="27" t="e">
        <f>R333*ROUND(O333,2)</f>
        <v>#DIV/0!</v>
      </c>
    </row>
    <row r="334" spans="1:19" x14ac:dyDescent="0.2">
      <c r="A334" s="90" t="s">
        <v>557</v>
      </c>
      <c r="B334" s="91" t="s">
        <v>35</v>
      </c>
      <c r="C334" s="91" t="s">
        <v>313</v>
      </c>
      <c r="D334" s="91" t="s">
        <v>392</v>
      </c>
      <c r="E334" s="92" t="s">
        <v>572</v>
      </c>
      <c r="F334" s="91" t="s">
        <v>385</v>
      </c>
      <c r="G334" s="91" t="s">
        <v>352</v>
      </c>
      <c r="H334" s="91"/>
      <c r="I334" s="91"/>
      <c r="J334" s="91"/>
      <c r="K334" s="93">
        <v>34.5</v>
      </c>
      <c r="L334" s="93"/>
      <c r="M334" s="94"/>
      <c r="N334" s="91"/>
      <c r="O334" s="26"/>
      <c r="P334" s="93"/>
      <c r="Q334" s="26"/>
      <c r="R334" s="95"/>
      <c r="S334" s="27"/>
    </row>
    <row r="335" spans="1:19" x14ac:dyDescent="0.2">
      <c r="A335" s="90" t="s">
        <v>557</v>
      </c>
      <c r="B335" s="91" t="s">
        <v>35</v>
      </c>
      <c r="C335" s="91" t="s">
        <v>313</v>
      </c>
      <c r="D335" s="91" t="s">
        <v>393</v>
      </c>
      <c r="E335" s="92" t="s">
        <v>573</v>
      </c>
      <c r="F335" s="91" t="s">
        <v>329</v>
      </c>
      <c r="G335" s="91" t="s">
        <v>352</v>
      </c>
      <c r="H335" s="91"/>
      <c r="I335" s="91"/>
      <c r="J335" s="91"/>
      <c r="K335" s="93">
        <v>30.4</v>
      </c>
      <c r="L335" s="93"/>
      <c r="M335" s="94"/>
      <c r="N335" s="91"/>
      <c r="O335" s="26"/>
      <c r="P335" s="93"/>
      <c r="Q335" s="26"/>
      <c r="R335" s="95"/>
      <c r="S335" s="27"/>
    </row>
    <row r="336" spans="1:19" x14ac:dyDescent="0.2">
      <c r="A336" s="90" t="s">
        <v>557</v>
      </c>
      <c r="B336" s="91" t="s">
        <v>35</v>
      </c>
      <c r="C336" s="91" t="s">
        <v>313</v>
      </c>
      <c r="D336" s="91" t="s">
        <v>397</v>
      </c>
      <c r="E336" s="92" t="s">
        <v>574</v>
      </c>
      <c r="F336" s="91" t="s">
        <v>361</v>
      </c>
      <c r="G336" s="91" t="s">
        <v>270</v>
      </c>
      <c r="H336" s="91" t="s">
        <v>9</v>
      </c>
      <c r="I336" s="91" t="s">
        <v>235</v>
      </c>
      <c r="J336" s="92" t="s">
        <v>271</v>
      </c>
      <c r="K336" s="93">
        <v>252.6</v>
      </c>
      <c r="L336" s="93">
        <f>K336*VLOOKUP(H336,dagsoorttabel1,2,FALSE)</f>
        <v>252.6</v>
      </c>
      <c r="M336" s="94">
        <f>prodnorm91</f>
        <v>0</v>
      </c>
      <c r="N336" s="91" t="s">
        <v>101</v>
      </c>
      <c r="O336" s="26">
        <f>uurtarief91</f>
        <v>0</v>
      </c>
      <c r="P336" s="93" t="e">
        <f>IF(ISBLANK(M336),0,L336/ROUND(M336,4))</f>
        <v>#DIV/0!</v>
      </c>
      <c r="Q336" s="26" t="e">
        <f>ROUND(O336,2)*P336</f>
        <v>#DIV/0!</v>
      </c>
      <c r="R336" s="93" t="e">
        <f>P336*dagenperjaar1</f>
        <v>#DIV/0!</v>
      </c>
      <c r="S336" s="27" t="e">
        <f>R336*ROUND(O336,2)</f>
        <v>#DIV/0!</v>
      </c>
    </row>
    <row r="337" spans="1:19" x14ac:dyDescent="0.2">
      <c r="A337" s="90" t="s">
        <v>557</v>
      </c>
      <c r="B337" s="91" t="s">
        <v>35</v>
      </c>
      <c r="C337" s="91" t="s">
        <v>313</v>
      </c>
      <c r="D337" s="91" t="s">
        <v>397</v>
      </c>
      <c r="E337" s="92" t="s">
        <v>574</v>
      </c>
      <c r="F337" s="91" t="s">
        <v>361</v>
      </c>
      <c r="G337" s="91" t="s">
        <v>272</v>
      </c>
      <c r="H337" s="91" t="s">
        <v>9</v>
      </c>
      <c r="I337" s="91" t="s">
        <v>235</v>
      </c>
      <c r="J337" s="92" t="s">
        <v>271</v>
      </c>
      <c r="K337" s="93">
        <v>252.6</v>
      </c>
      <c r="L337" s="93">
        <f>K337*VLOOKUP(H337,dagsoorttabel1,2,FALSE)</f>
        <v>252.6</v>
      </c>
      <c r="M337" s="94">
        <f>prodnorm92</f>
        <v>0</v>
      </c>
      <c r="N337" s="91" t="s">
        <v>101</v>
      </c>
      <c r="O337" s="26">
        <f>uurtarief92</f>
        <v>0</v>
      </c>
      <c r="P337" s="93" t="e">
        <f>IF(ISBLANK(M337),0,L337/ROUND(M337,4))</f>
        <v>#DIV/0!</v>
      </c>
      <c r="Q337" s="26" t="e">
        <f>ROUND(O337,2)*P337</f>
        <v>#DIV/0!</v>
      </c>
      <c r="R337" s="93" t="e">
        <f>P337*dagenperjaar1</f>
        <v>#DIV/0!</v>
      </c>
      <c r="S337" s="27" t="e">
        <f>R337*ROUND(O337,2)</f>
        <v>#DIV/0!</v>
      </c>
    </row>
    <row r="338" spans="1:19" x14ac:dyDescent="0.2">
      <c r="A338" s="90" t="s">
        <v>557</v>
      </c>
      <c r="B338" s="91" t="s">
        <v>35</v>
      </c>
      <c r="C338" s="91" t="s">
        <v>313</v>
      </c>
      <c r="D338" s="91" t="s">
        <v>399</v>
      </c>
      <c r="E338" s="92" t="s">
        <v>346</v>
      </c>
      <c r="F338" s="91" t="s">
        <v>361</v>
      </c>
      <c r="G338" s="91" t="s">
        <v>262</v>
      </c>
      <c r="H338" s="91" t="s">
        <v>9</v>
      </c>
      <c r="I338" s="91" t="s">
        <v>235</v>
      </c>
      <c r="J338" s="92" t="s">
        <v>263</v>
      </c>
      <c r="K338" s="93">
        <v>35.9</v>
      </c>
      <c r="L338" s="93">
        <f>K338*VLOOKUP(H338,dagsoorttabel1,2,FALSE)</f>
        <v>35.9</v>
      </c>
      <c r="M338" s="94">
        <f>prodnorm80</f>
        <v>0</v>
      </c>
      <c r="N338" s="91" t="s">
        <v>101</v>
      </c>
      <c r="O338" s="26">
        <f>uurtarief80</f>
        <v>0</v>
      </c>
      <c r="P338" s="93" t="e">
        <f>IF(ISBLANK(M338),0,L338/ROUND(M338,4))</f>
        <v>#DIV/0!</v>
      </c>
      <c r="Q338" s="26" t="e">
        <f>ROUND(O338,2)*P338</f>
        <v>#DIV/0!</v>
      </c>
      <c r="R338" s="93" t="e">
        <f>P338*dagenperjaar1</f>
        <v>#DIV/0!</v>
      </c>
      <c r="S338" s="27" t="e">
        <f>R338*ROUND(O338,2)</f>
        <v>#DIV/0!</v>
      </c>
    </row>
    <row r="339" spans="1:19" x14ac:dyDescent="0.2">
      <c r="A339" s="90" t="s">
        <v>557</v>
      </c>
      <c r="B339" s="91" t="s">
        <v>35</v>
      </c>
      <c r="C339" s="91" t="s">
        <v>313</v>
      </c>
      <c r="D339" s="91" t="s">
        <v>401</v>
      </c>
      <c r="E339" s="92" t="s">
        <v>575</v>
      </c>
      <c r="F339" s="91" t="s">
        <v>329</v>
      </c>
      <c r="G339" s="91" t="s">
        <v>352</v>
      </c>
      <c r="H339" s="91"/>
      <c r="I339" s="91"/>
      <c r="J339" s="91"/>
      <c r="K339" s="93">
        <v>63.2</v>
      </c>
      <c r="L339" s="93"/>
      <c r="M339" s="94"/>
      <c r="N339" s="91"/>
      <c r="O339" s="26"/>
      <c r="P339" s="93"/>
      <c r="Q339" s="26"/>
      <c r="R339" s="95"/>
      <c r="S339" s="27"/>
    </row>
    <row r="340" spans="1:19" x14ac:dyDescent="0.2">
      <c r="A340" s="90" t="s">
        <v>557</v>
      </c>
      <c r="B340" s="91" t="s">
        <v>35</v>
      </c>
      <c r="C340" s="91" t="s">
        <v>313</v>
      </c>
      <c r="D340" s="91" t="s">
        <v>486</v>
      </c>
      <c r="E340" s="92" t="s">
        <v>576</v>
      </c>
      <c r="F340" s="91" t="s">
        <v>329</v>
      </c>
      <c r="G340" s="91" t="s">
        <v>352</v>
      </c>
      <c r="H340" s="91"/>
      <c r="I340" s="91"/>
      <c r="J340" s="91"/>
      <c r="K340" s="93">
        <v>21.2</v>
      </c>
      <c r="L340" s="93"/>
      <c r="M340" s="94"/>
      <c r="N340" s="91"/>
      <c r="O340" s="26"/>
      <c r="P340" s="93"/>
      <c r="Q340" s="26"/>
      <c r="R340" s="95"/>
      <c r="S340" s="27"/>
    </row>
    <row r="341" spans="1:19" x14ac:dyDescent="0.2">
      <c r="A341" s="90" t="s">
        <v>557</v>
      </c>
      <c r="B341" s="91" t="s">
        <v>35</v>
      </c>
      <c r="C341" s="91" t="s">
        <v>313</v>
      </c>
      <c r="D341" s="91" t="s">
        <v>487</v>
      </c>
      <c r="E341" s="92" t="s">
        <v>577</v>
      </c>
      <c r="F341" s="91" t="s">
        <v>329</v>
      </c>
      <c r="G341" s="91" t="s">
        <v>279</v>
      </c>
      <c r="H341" s="91" t="s">
        <v>9</v>
      </c>
      <c r="I341" s="91" t="s">
        <v>235</v>
      </c>
      <c r="J341" s="92" t="s">
        <v>280</v>
      </c>
      <c r="K341" s="93">
        <v>16.8</v>
      </c>
      <c r="L341" s="93">
        <f>K341*VLOOKUP(H341,dagsoorttabel1,2,FALSE)</f>
        <v>16.8</v>
      </c>
      <c r="M341" s="94">
        <f>prodnorm102</f>
        <v>0</v>
      </c>
      <c r="N341" s="91" t="s">
        <v>101</v>
      </c>
      <c r="O341" s="26">
        <f>uurtarief102</f>
        <v>0</v>
      </c>
      <c r="P341" s="93" t="e">
        <f>IF(ISBLANK(M341),0,L341/ROUND(M341,4))</f>
        <v>#DIV/0!</v>
      </c>
      <c r="Q341" s="26" t="e">
        <f>ROUND(O341,2)*P341</f>
        <v>#DIV/0!</v>
      </c>
      <c r="R341" s="93" t="e">
        <f>P341*dagenperjaar1</f>
        <v>#DIV/0!</v>
      </c>
      <c r="S341" s="27" t="e">
        <f>R341*ROUND(O341,2)</f>
        <v>#DIV/0!</v>
      </c>
    </row>
    <row r="342" spans="1:19" x14ac:dyDescent="0.2">
      <c r="A342" s="90" t="s">
        <v>557</v>
      </c>
      <c r="B342" s="91" t="s">
        <v>35</v>
      </c>
      <c r="C342" s="91" t="s">
        <v>313</v>
      </c>
      <c r="D342" s="91" t="s">
        <v>489</v>
      </c>
      <c r="E342" s="92" t="s">
        <v>578</v>
      </c>
      <c r="F342" s="91" t="s">
        <v>361</v>
      </c>
      <c r="G342" s="91" t="s">
        <v>283</v>
      </c>
      <c r="H342" s="91" t="s">
        <v>9</v>
      </c>
      <c r="I342" s="91" t="s">
        <v>235</v>
      </c>
      <c r="J342" s="92" t="s">
        <v>284</v>
      </c>
      <c r="K342" s="93">
        <v>5.6</v>
      </c>
      <c r="L342" s="93">
        <f>K342*VLOOKUP(H342,dagsoorttabel1,2,FALSE)</f>
        <v>5.6</v>
      </c>
      <c r="M342" s="94">
        <f>prodnorm108</f>
        <v>0</v>
      </c>
      <c r="N342" s="91" t="s">
        <v>101</v>
      </c>
      <c r="O342" s="26">
        <f>uurtarief108</f>
        <v>0</v>
      </c>
      <c r="P342" s="93" t="e">
        <f>IF(ISBLANK(M342),0,L342/ROUND(M342,4))</f>
        <v>#DIV/0!</v>
      </c>
      <c r="Q342" s="26" t="e">
        <f>ROUND(O342,2)*P342</f>
        <v>#DIV/0!</v>
      </c>
      <c r="R342" s="93" t="e">
        <f>P342*dagenperjaar1</f>
        <v>#DIV/0!</v>
      </c>
      <c r="S342" s="27" t="e">
        <f>R342*ROUND(O342,2)</f>
        <v>#DIV/0!</v>
      </c>
    </row>
    <row r="343" spans="1:19" x14ac:dyDescent="0.2">
      <c r="A343" s="90" t="s">
        <v>557</v>
      </c>
      <c r="B343" s="91" t="s">
        <v>35</v>
      </c>
      <c r="C343" s="91" t="s">
        <v>313</v>
      </c>
      <c r="D343" s="91" t="s">
        <v>490</v>
      </c>
      <c r="E343" s="92" t="s">
        <v>579</v>
      </c>
      <c r="F343" s="91" t="s">
        <v>329</v>
      </c>
      <c r="G343" s="91" t="s">
        <v>279</v>
      </c>
      <c r="H343" s="91" t="s">
        <v>9</v>
      </c>
      <c r="I343" s="91" t="s">
        <v>235</v>
      </c>
      <c r="J343" s="92" t="s">
        <v>280</v>
      </c>
      <c r="K343" s="93">
        <v>11</v>
      </c>
      <c r="L343" s="93">
        <f>K343*VLOOKUP(H343,dagsoorttabel1,2,FALSE)</f>
        <v>11</v>
      </c>
      <c r="M343" s="94">
        <f>prodnorm102</f>
        <v>0</v>
      </c>
      <c r="N343" s="91" t="s">
        <v>101</v>
      </c>
      <c r="O343" s="26">
        <f>uurtarief102</f>
        <v>0</v>
      </c>
      <c r="P343" s="93" t="e">
        <f>IF(ISBLANK(M343),0,L343/ROUND(M343,4))</f>
        <v>#DIV/0!</v>
      </c>
      <c r="Q343" s="26" t="e">
        <f>ROUND(O343,2)*P343</f>
        <v>#DIV/0!</v>
      </c>
      <c r="R343" s="93" t="e">
        <f>P343*dagenperjaar1</f>
        <v>#DIV/0!</v>
      </c>
      <c r="S343" s="27" t="e">
        <f>R343*ROUND(O343,2)</f>
        <v>#DIV/0!</v>
      </c>
    </row>
    <row r="344" spans="1:19" x14ac:dyDescent="0.2">
      <c r="A344" s="90" t="s">
        <v>557</v>
      </c>
      <c r="B344" s="91" t="s">
        <v>35</v>
      </c>
      <c r="C344" s="91" t="s">
        <v>313</v>
      </c>
      <c r="D344" s="91" t="s">
        <v>491</v>
      </c>
      <c r="E344" s="92" t="s">
        <v>365</v>
      </c>
      <c r="F344" s="91" t="s">
        <v>329</v>
      </c>
      <c r="G344" s="91" t="s">
        <v>279</v>
      </c>
      <c r="H344" s="91" t="s">
        <v>9</v>
      </c>
      <c r="I344" s="91" t="s">
        <v>235</v>
      </c>
      <c r="J344" s="92" t="s">
        <v>280</v>
      </c>
      <c r="K344" s="93">
        <v>5.2</v>
      </c>
      <c r="L344" s="93">
        <f>K344*VLOOKUP(H344,dagsoorttabel1,2,FALSE)</f>
        <v>5.2</v>
      </c>
      <c r="M344" s="94">
        <f>prodnorm102</f>
        <v>0</v>
      </c>
      <c r="N344" s="91" t="s">
        <v>101</v>
      </c>
      <c r="O344" s="26">
        <f>uurtarief102</f>
        <v>0</v>
      </c>
      <c r="P344" s="93" t="e">
        <f>IF(ISBLANK(M344),0,L344/ROUND(M344,4))</f>
        <v>#DIV/0!</v>
      </c>
      <c r="Q344" s="26" t="e">
        <f>ROUND(O344,2)*P344</f>
        <v>#DIV/0!</v>
      </c>
      <c r="R344" s="93" t="e">
        <f>P344*dagenperjaar1</f>
        <v>#DIV/0!</v>
      </c>
      <c r="S344" s="27" t="e">
        <f>R344*ROUND(O344,2)</f>
        <v>#DIV/0!</v>
      </c>
    </row>
    <row r="345" spans="1:19" x14ac:dyDescent="0.2">
      <c r="A345" s="90" t="s">
        <v>557</v>
      </c>
      <c r="B345" s="91" t="s">
        <v>35</v>
      </c>
      <c r="C345" s="91" t="s">
        <v>313</v>
      </c>
      <c r="D345" s="91" t="s">
        <v>580</v>
      </c>
      <c r="E345" s="92" t="s">
        <v>321</v>
      </c>
      <c r="F345" s="91" t="s">
        <v>361</v>
      </c>
      <c r="G345" s="91" t="s">
        <v>283</v>
      </c>
      <c r="H345" s="91" t="s">
        <v>9</v>
      </c>
      <c r="I345" s="91" t="s">
        <v>235</v>
      </c>
      <c r="J345" s="92" t="s">
        <v>284</v>
      </c>
      <c r="K345" s="93">
        <v>131.6</v>
      </c>
      <c r="L345" s="93">
        <f>K345*VLOOKUP(H345,dagsoorttabel1,2,FALSE)</f>
        <v>131.6</v>
      </c>
      <c r="M345" s="94">
        <f>prodnorm108</f>
        <v>0</v>
      </c>
      <c r="N345" s="91" t="s">
        <v>101</v>
      </c>
      <c r="O345" s="26">
        <f>uurtarief108</f>
        <v>0</v>
      </c>
      <c r="P345" s="93" t="e">
        <f>IF(ISBLANK(M345),0,L345/ROUND(M345,4))</f>
        <v>#DIV/0!</v>
      </c>
      <c r="Q345" s="26" t="e">
        <f>ROUND(O345,2)*P345</f>
        <v>#DIV/0!</v>
      </c>
      <c r="R345" s="93" t="e">
        <f>P345*dagenperjaar1</f>
        <v>#DIV/0!</v>
      </c>
      <c r="S345" s="27" t="e">
        <f>R345*ROUND(O345,2)</f>
        <v>#DIV/0!</v>
      </c>
    </row>
    <row r="346" spans="1:19" x14ac:dyDescent="0.2">
      <c r="A346" s="90" t="s">
        <v>557</v>
      </c>
      <c r="B346" s="91" t="s">
        <v>35</v>
      </c>
      <c r="C346" s="91" t="s">
        <v>313</v>
      </c>
      <c r="D346" s="91" t="s">
        <v>581</v>
      </c>
      <c r="E346" s="92" t="s">
        <v>380</v>
      </c>
      <c r="F346" s="91" t="s">
        <v>361</v>
      </c>
      <c r="G346" s="91" t="s">
        <v>352</v>
      </c>
      <c r="H346" s="91"/>
      <c r="I346" s="91"/>
      <c r="J346" s="91"/>
      <c r="K346" s="93">
        <v>5.2</v>
      </c>
      <c r="L346" s="93"/>
      <c r="M346" s="94"/>
      <c r="N346" s="91"/>
      <c r="O346" s="26"/>
      <c r="P346" s="93"/>
      <c r="Q346" s="26"/>
      <c r="R346" s="95"/>
      <c r="S346" s="27"/>
    </row>
    <row r="347" spans="1:19" ht="25.2" x14ac:dyDescent="0.2">
      <c r="A347" s="90" t="s">
        <v>557</v>
      </c>
      <c r="B347" s="91" t="s">
        <v>35</v>
      </c>
      <c r="C347" s="91" t="s">
        <v>313</v>
      </c>
      <c r="D347" s="91" t="s">
        <v>582</v>
      </c>
      <c r="E347" s="92" t="s">
        <v>583</v>
      </c>
      <c r="F347" s="91" t="s">
        <v>329</v>
      </c>
      <c r="G347" s="91" t="s">
        <v>293</v>
      </c>
      <c r="H347" s="91" t="s">
        <v>13</v>
      </c>
      <c r="I347" s="91" t="s">
        <v>235</v>
      </c>
      <c r="J347" s="92" t="s">
        <v>294</v>
      </c>
      <c r="K347" s="93">
        <v>38.5</v>
      </c>
      <c r="L347" s="93">
        <f>K347*VLOOKUP(H347,dagsoorttabel1,2,FALSE)</f>
        <v>7.7</v>
      </c>
      <c r="M347" s="94">
        <f>prodnorm119</f>
        <v>0</v>
      </c>
      <c r="N347" s="91" t="s">
        <v>101</v>
      </c>
      <c r="O347" s="26">
        <f>uurtarief119</f>
        <v>0</v>
      </c>
      <c r="P347" s="93" t="e">
        <f>IF(ISBLANK(M347),0,L347/ROUND(M347,4))</f>
        <v>#DIV/0!</v>
      </c>
      <c r="Q347" s="26" t="e">
        <f>ROUND(O347,2)*P347</f>
        <v>#DIV/0!</v>
      </c>
      <c r="R347" s="93" t="e">
        <f>P347*dagenperjaar1</f>
        <v>#DIV/0!</v>
      </c>
      <c r="S347" s="27" t="e">
        <f>R347*ROUND(O347,2)</f>
        <v>#DIV/0!</v>
      </c>
    </row>
    <row r="348" spans="1:19" x14ac:dyDescent="0.2">
      <c r="A348" s="90" t="s">
        <v>557</v>
      </c>
      <c r="B348" s="91" t="s">
        <v>35</v>
      </c>
      <c r="C348" s="91" t="s">
        <v>313</v>
      </c>
      <c r="D348" s="91" t="s">
        <v>584</v>
      </c>
      <c r="E348" s="92" t="s">
        <v>551</v>
      </c>
      <c r="F348" s="91" t="s">
        <v>329</v>
      </c>
      <c r="G348" s="91" t="s">
        <v>279</v>
      </c>
      <c r="H348" s="91" t="s">
        <v>9</v>
      </c>
      <c r="I348" s="91" t="s">
        <v>235</v>
      </c>
      <c r="J348" s="92" t="s">
        <v>280</v>
      </c>
      <c r="K348" s="93">
        <v>14.2</v>
      </c>
      <c r="L348" s="93">
        <f>K348*VLOOKUP(H348,dagsoorttabel1,2,FALSE)</f>
        <v>14.2</v>
      </c>
      <c r="M348" s="94">
        <f>prodnorm102</f>
        <v>0</v>
      </c>
      <c r="N348" s="91" t="s">
        <v>101</v>
      </c>
      <c r="O348" s="26">
        <f>uurtarief102</f>
        <v>0</v>
      </c>
      <c r="P348" s="93" t="e">
        <f>IF(ISBLANK(M348),0,L348/ROUND(M348,4))</f>
        <v>#DIV/0!</v>
      </c>
      <c r="Q348" s="26" t="e">
        <f>ROUND(O348,2)*P348</f>
        <v>#DIV/0!</v>
      </c>
      <c r="R348" s="93" t="e">
        <f>P348*dagenperjaar1</f>
        <v>#DIV/0!</v>
      </c>
      <c r="S348" s="27" t="e">
        <f>R348*ROUND(O348,2)</f>
        <v>#DIV/0!</v>
      </c>
    </row>
    <row r="349" spans="1:19" x14ac:dyDescent="0.2">
      <c r="A349" s="90" t="s">
        <v>557</v>
      </c>
      <c r="B349" s="91" t="s">
        <v>35</v>
      </c>
      <c r="C349" s="91" t="s">
        <v>313</v>
      </c>
      <c r="D349" s="91" t="s">
        <v>585</v>
      </c>
      <c r="E349" s="92" t="s">
        <v>586</v>
      </c>
      <c r="F349" s="91" t="s">
        <v>329</v>
      </c>
      <c r="G349" s="91" t="s">
        <v>275</v>
      </c>
      <c r="H349" s="91" t="s">
        <v>9</v>
      </c>
      <c r="I349" s="91" t="s">
        <v>235</v>
      </c>
      <c r="J349" s="92" t="s">
        <v>276</v>
      </c>
      <c r="K349" s="93">
        <v>10</v>
      </c>
      <c r="L349" s="93">
        <f>K349*VLOOKUP(H349,dagsoorttabel1,2,FALSE)</f>
        <v>10</v>
      </c>
      <c r="M349" s="94">
        <f>prodnorm96</f>
        <v>0</v>
      </c>
      <c r="N349" s="91" t="s">
        <v>101</v>
      </c>
      <c r="O349" s="26">
        <f>uurtarief96</f>
        <v>0</v>
      </c>
      <c r="P349" s="93" t="e">
        <f>IF(ISBLANK(M349),0,L349/ROUND(M349,4))</f>
        <v>#DIV/0!</v>
      </c>
      <c r="Q349" s="26" t="e">
        <f>ROUND(O349,2)*P349</f>
        <v>#DIV/0!</v>
      </c>
      <c r="R349" s="93" t="e">
        <f>P349*dagenperjaar1</f>
        <v>#DIV/0!</v>
      </c>
      <c r="S349" s="27" t="e">
        <f>R349*ROUND(O349,2)</f>
        <v>#DIV/0!</v>
      </c>
    </row>
    <row r="350" spans="1:19" x14ac:dyDescent="0.2">
      <c r="A350" s="90" t="s">
        <v>557</v>
      </c>
      <c r="B350" s="91" t="s">
        <v>35</v>
      </c>
      <c r="C350" s="91" t="s">
        <v>313</v>
      </c>
      <c r="D350" s="91" t="s">
        <v>587</v>
      </c>
      <c r="E350" s="92" t="s">
        <v>588</v>
      </c>
      <c r="F350" s="91" t="s">
        <v>329</v>
      </c>
      <c r="G350" s="91" t="s">
        <v>279</v>
      </c>
      <c r="H350" s="91" t="s">
        <v>9</v>
      </c>
      <c r="I350" s="91" t="s">
        <v>235</v>
      </c>
      <c r="J350" s="92" t="s">
        <v>280</v>
      </c>
      <c r="K350" s="93">
        <v>6.5</v>
      </c>
      <c r="L350" s="93">
        <f>K350*VLOOKUP(H350,dagsoorttabel1,2,FALSE)</f>
        <v>6.5</v>
      </c>
      <c r="M350" s="94">
        <f>prodnorm102</f>
        <v>0</v>
      </c>
      <c r="N350" s="91" t="s">
        <v>101</v>
      </c>
      <c r="O350" s="26">
        <f>uurtarief102</f>
        <v>0</v>
      </c>
      <c r="P350" s="93" t="e">
        <f>IF(ISBLANK(M350),0,L350/ROUND(M350,4))</f>
        <v>#DIV/0!</v>
      </c>
      <c r="Q350" s="26" t="e">
        <f>ROUND(O350,2)*P350</f>
        <v>#DIV/0!</v>
      </c>
      <c r="R350" s="93" t="e">
        <f>P350*dagenperjaar1</f>
        <v>#DIV/0!</v>
      </c>
      <c r="S350" s="27" t="e">
        <f>R350*ROUND(O350,2)</f>
        <v>#DIV/0!</v>
      </c>
    </row>
    <row r="351" spans="1:19" x14ac:dyDescent="0.2">
      <c r="A351" s="90" t="s">
        <v>557</v>
      </c>
      <c r="B351" s="91" t="s">
        <v>35</v>
      </c>
      <c r="C351" s="91" t="s">
        <v>313</v>
      </c>
      <c r="D351" s="91" t="s">
        <v>589</v>
      </c>
      <c r="E351" s="92" t="s">
        <v>590</v>
      </c>
      <c r="F351" s="91" t="s">
        <v>329</v>
      </c>
      <c r="G351" s="91" t="s">
        <v>275</v>
      </c>
      <c r="H351" s="91" t="s">
        <v>9</v>
      </c>
      <c r="I351" s="91" t="s">
        <v>235</v>
      </c>
      <c r="J351" s="92" t="s">
        <v>276</v>
      </c>
      <c r="K351" s="93">
        <v>4</v>
      </c>
      <c r="L351" s="93">
        <f>K351*VLOOKUP(H351,dagsoorttabel1,2,FALSE)</f>
        <v>4</v>
      </c>
      <c r="M351" s="94">
        <f>prodnorm96</f>
        <v>0</v>
      </c>
      <c r="N351" s="91" t="s">
        <v>101</v>
      </c>
      <c r="O351" s="26">
        <f>uurtarief96</f>
        <v>0</v>
      </c>
      <c r="P351" s="93" t="e">
        <f>IF(ISBLANK(M351),0,L351/ROUND(M351,4))</f>
        <v>#DIV/0!</v>
      </c>
      <c r="Q351" s="26" t="e">
        <f>ROUND(O351,2)*P351</f>
        <v>#DIV/0!</v>
      </c>
      <c r="R351" s="93" t="e">
        <f>P351*dagenperjaar1</f>
        <v>#DIV/0!</v>
      </c>
      <c r="S351" s="27" t="e">
        <f>R351*ROUND(O351,2)</f>
        <v>#DIV/0!</v>
      </c>
    </row>
    <row r="352" spans="1:19" x14ac:dyDescent="0.2">
      <c r="A352" s="90" t="s">
        <v>557</v>
      </c>
      <c r="B352" s="91" t="s">
        <v>35</v>
      </c>
      <c r="C352" s="91" t="s">
        <v>313</v>
      </c>
      <c r="D352" s="91" t="s">
        <v>591</v>
      </c>
      <c r="E352" s="92" t="s">
        <v>592</v>
      </c>
      <c r="F352" s="91" t="s">
        <v>593</v>
      </c>
      <c r="G352" s="91" t="s">
        <v>258</v>
      </c>
      <c r="H352" s="91" t="s">
        <v>13</v>
      </c>
      <c r="I352" s="91" t="s">
        <v>235</v>
      </c>
      <c r="J352" s="92" t="s">
        <v>259</v>
      </c>
      <c r="K352" s="93">
        <v>245.3</v>
      </c>
      <c r="L352" s="93">
        <f>K352*VLOOKUP(H352,dagsoorttabel1,2,FALSE)</f>
        <v>49.06</v>
      </c>
      <c r="M352" s="94">
        <f>prodnorm74</f>
        <v>0</v>
      </c>
      <c r="N352" s="91" t="s">
        <v>101</v>
      </c>
      <c r="O352" s="26">
        <f>uurtarief74</f>
        <v>0</v>
      </c>
      <c r="P352" s="93" t="e">
        <f>IF(ISBLANK(M352),0,L352/ROUND(M352,4))</f>
        <v>#DIV/0!</v>
      </c>
      <c r="Q352" s="26" t="e">
        <f>ROUND(O352,2)*P352</f>
        <v>#DIV/0!</v>
      </c>
      <c r="R352" s="93" t="e">
        <f>P352*dagenperjaar1</f>
        <v>#DIV/0!</v>
      </c>
      <c r="S352" s="27" t="e">
        <f>R352*ROUND(O352,2)</f>
        <v>#DIV/0!</v>
      </c>
    </row>
    <row r="353" spans="1:19" x14ac:dyDescent="0.2">
      <c r="A353" s="90" t="s">
        <v>557</v>
      </c>
      <c r="B353" s="91" t="s">
        <v>35</v>
      </c>
      <c r="C353" s="91" t="s">
        <v>313</v>
      </c>
      <c r="D353" s="91" t="s">
        <v>594</v>
      </c>
      <c r="E353" s="92" t="s">
        <v>595</v>
      </c>
      <c r="F353" s="91" t="s">
        <v>593</v>
      </c>
      <c r="G353" s="91" t="s">
        <v>258</v>
      </c>
      <c r="H353" s="91" t="s">
        <v>21</v>
      </c>
      <c r="I353" s="91" t="s">
        <v>235</v>
      </c>
      <c r="J353" s="92" t="s">
        <v>259</v>
      </c>
      <c r="K353" s="93">
        <v>18.100000000000001</v>
      </c>
      <c r="L353" s="93">
        <f>K353*VLOOKUP(H353,dagsoorttabel1,2,FALSE)</f>
        <v>6.9615384615384621E-2</v>
      </c>
      <c r="M353" s="94">
        <f>prodnorm73</f>
        <v>0</v>
      </c>
      <c r="N353" s="91" t="s">
        <v>101</v>
      </c>
      <c r="O353" s="26">
        <f>uurtarief73</f>
        <v>0</v>
      </c>
      <c r="P353" s="93" t="e">
        <f>IF(ISBLANK(M353),0,L353/ROUND(M353,4))</f>
        <v>#DIV/0!</v>
      </c>
      <c r="Q353" s="26" t="e">
        <f>ROUND(O353,2)*P353</f>
        <v>#DIV/0!</v>
      </c>
      <c r="R353" s="93" t="e">
        <f>P353*dagenperjaar1</f>
        <v>#DIV/0!</v>
      </c>
      <c r="S353" s="27" t="e">
        <f>R353*ROUND(O353,2)</f>
        <v>#DIV/0!</v>
      </c>
    </row>
    <row r="354" spans="1:19" x14ac:dyDescent="0.2">
      <c r="A354" s="90" t="s">
        <v>557</v>
      </c>
      <c r="B354" s="91" t="s">
        <v>35</v>
      </c>
      <c r="C354" s="91" t="s">
        <v>313</v>
      </c>
      <c r="D354" s="91" t="s">
        <v>596</v>
      </c>
      <c r="E354" s="92" t="s">
        <v>597</v>
      </c>
      <c r="F354" s="91" t="s">
        <v>598</v>
      </c>
      <c r="G354" s="91" t="s">
        <v>256</v>
      </c>
      <c r="H354" s="91" t="s">
        <v>13</v>
      </c>
      <c r="I354" s="91" t="s">
        <v>235</v>
      </c>
      <c r="J354" s="92" t="s">
        <v>257</v>
      </c>
      <c r="K354" s="93">
        <v>119.8</v>
      </c>
      <c r="L354" s="93">
        <f>K354*VLOOKUP(H354,dagsoorttabel1,2,FALSE)</f>
        <v>23.96</v>
      </c>
      <c r="M354" s="94">
        <f>prodnorm72</f>
        <v>0</v>
      </c>
      <c r="N354" s="91" t="s">
        <v>101</v>
      </c>
      <c r="O354" s="26">
        <f>uurtarief72</f>
        <v>0</v>
      </c>
      <c r="P354" s="93" t="e">
        <f>IF(ISBLANK(M354),0,L354/ROUND(M354,4))</f>
        <v>#DIV/0!</v>
      </c>
      <c r="Q354" s="26" t="e">
        <f>ROUND(O354,2)*P354</f>
        <v>#DIV/0!</v>
      </c>
      <c r="R354" s="93" t="e">
        <f>P354*dagenperjaar1</f>
        <v>#DIV/0!</v>
      </c>
      <c r="S354" s="27" t="e">
        <f>R354*ROUND(O354,2)</f>
        <v>#DIV/0!</v>
      </c>
    </row>
    <row r="355" spans="1:19" x14ac:dyDescent="0.2">
      <c r="A355" s="90" t="s">
        <v>557</v>
      </c>
      <c r="B355" s="91" t="s">
        <v>35</v>
      </c>
      <c r="C355" s="91" t="s">
        <v>313</v>
      </c>
      <c r="D355" s="91" t="s">
        <v>599</v>
      </c>
      <c r="E355" s="92" t="s">
        <v>326</v>
      </c>
      <c r="F355" s="91" t="s">
        <v>361</v>
      </c>
      <c r="G355" s="91" t="s">
        <v>260</v>
      </c>
      <c r="H355" s="91" t="s">
        <v>9</v>
      </c>
      <c r="I355" s="91" t="s">
        <v>235</v>
      </c>
      <c r="J355" s="92" t="s">
        <v>261</v>
      </c>
      <c r="K355" s="93">
        <v>33.700000000000003</v>
      </c>
      <c r="L355" s="93">
        <f>K355*VLOOKUP(H355,dagsoorttabel1,2,FALSE)</f>
        <v>33.700000000000003</v>
      </c>
      <c r="M355" s="94">
        <f>prodnorm77</f>
        <v>0</v>
      </c>
      <c r="N355" s="91" t="s">
        <v>101</v>
      </c>
      <c r="O355" s="26">
        <f>uurtarief77</f>
        <v>0</v>
      </c>
      <c r="P355" s="93" t="e">
        <f>IF(ISBLANK(M355),0,L355/ROUND(M355,4))</f>
        <v>#DIV/0!</v>
      </c>
      <c r="Q355" s="26" t="e">
        <f>ROUND(O355,2)*P355</f>
        <v>#DIV/0!</v>
      </c>
      <c r="R355" s="93" t="e">
        <f>P355*dagenperjaar1</f>
        <v>#DIV/0!</v>
      </c>
      <c r="S355" s="27" t="e">
        <f>R355*ROUND(O355,2)</f>
        <v>#DIV/0!</v>
      </c>
    </row>
    <row r="356" spans="1:19" x14ac:dyDescent="0.2">
      <c r="A356" s="90" t="s">
        <v>557</v>
      </c>
      <c r="B356" s="91" t="s">
        <v>35</v>
      </c>
      <c r="C356" s="91" t="s">
        <v>313</v>
      </c>
      <c r="D356" s="91" t="s">
        <v>600</v>
      </c>
      <c r="E356" s="92" t="s">
        <v>493</v>
      </c>
      <c r="F356" s="91" t="s">
        <v>361</v>
      </c>
      <c r="G356" s="91" t="s">
        <v>298</v>
      </c>
      <c r="H356" s="91" t="s">
        <v>9</v>
      </c>
      <c r="I356" s="91" t="s">
        <v>235</v>
      </c>
      <c r="J356" s="92" t="s">
        <v>299</v>
      </c>
      <c r="K356" s="93">
        <v>23.6</v>
      </c>
      <c r="L356" s="93">
        <f>K356*VLOOKUP(H356,dagsoorttabel1,2,FALSE)</f>
        <v>23.6</v>
      </c>
      <c r="M356" s="94">
        <f>prodnorm126</f>
        <v>0</v>
      </c>
      <c r="N356" s="91" t="s">
        <v>101</v>
      </c>
      <c r="O356" s="26">
        <f>uurtarief126</f>
        <v>0</v>
      </c>
      <c r="P356" s="93" t="e">
        <f>IF(ISBLANK(M356),0,L356/ROUND(M356,4))</f>
        <v>#DIV/0!</v>
      </c>
      <c r="Q356" s="26" t="e">
        <f>ROUND(O356,2)*P356</f>
        <v>#DIV/0!</v>
      </c>
      <c r="R356" s="93" t="e">
        <f>P356*dagenperjaar1</f>
        <v>#DIV/0!</v>
      </c>
      <c r="S356" s="27" t="e">
        <f>R356*ROUND(O356,2)</f>
        <v>#DIV/0!</v>
      </c>
    </row>
    <row r="357" spans="1:19" x14ac:dyDescent="0.2">
      <c r="A357" s="90" t="s">
        <v>557</v>
      </c>
      <c r="B357" s="91" t="s">
        <v>35</v>
      </c>
      <c r="C357" s="91" t="s">
        <v>313</v>
      </c>
      <c r="D357" s="91" t="s">
        <v>601</v>
      </c>
      <c r="E357" s="92" t="s">
        <v>318</v>
      </c>
      <c r="F357" s="91" t="s">
        <v>385</v>
      </c>
      <c r="G357" s="91" t="s">
        <v>298</v>
      </c>
      <c r="H357" s="91" t="s">
        <v>9</v>
      </c>
      <c r="I357" s="91" t="s">
        <v>235</v>
      </c>
      <c r="J357" s="92" t="s">
        <v>299</v>
      </c>
      <c r="K357" s="93">
        <v>8.8000000000000007</v>
      </c>
      <c r="L357" s="93">
        <f>K357*VLOOKUP(H357,dagsoorttabel1,2,FALSE)</f>
        <v>8.8000000000000007</v>
      </c>
      <c r="M357" s="94">
        <f>prodnorm126</f>
        <v>0</v>
      </c>
      <c r="N357" s="91" t="s">
        <v>101</v>
      </c>
      <c r="O357" s="26">
        <f>uurtarief126</f>
        <v>0</v>
      </c>
      <c r="P357" s="93" t="e">
        <f>IF(ISBLANK(M357),0,L357/ROUND(M357,4))</f>
        <v>#DIV/0!</v>
      </c>
      <c r="Q357" s="26" t="e">
        <f>ROUND(O357,2)*P357</f>
        <v>#DIV/0!</v>
      </c>
      <c r="R357" s="93" t="e">
        <f>P357*dagenperjaar1</f>
        <v>#DIV/0!</v>
      </c>
      <c r="S357" s="27" t="e">
        <f>R357*ROUND(O357,2)</f>
        <v>#DIV/0!</v>
      </c>
    </row>
    <row r="358" spans="1:19" x14ac:dyDescent="0.2">
      <c r="A358" s="90" t="s">
        <v>557</v>
      </c>
      <c r="B358" s="91" t="s">
        <v>35</v>
      </c>
      <c r="C358" s="91" t="s">
        <v>313</v>
      </c>
      <c r="D358" s="91" t="s">
        <v>602</v>
      </c>
      <c r="E358" s="92" t="s">
        <v>383</v>
      </c>
      <c r="F358" s="91" t="s">
        <v>347</v>
      </c>
      <c r="G358" s="91" t="s">
        <v>291</v>
      </c>
      <c r="H358" s="91" t="s">
        <v>9</v>
      </c>
      <c r="I358" s="91" t="s">
        <v>235</v>
      </c>
      <c r="J358" s="92" t="s">
        <v>292</v>
      </c>
      <c r="K358" s="93">
        <v>2.7</v>
      </c>
      <c r="L358" s="93">
        <f>K358*VLOOKUP(H358,dagsoorttabel1,2,FALSE)</f>
        <v>2.7</v>
      </c>
      <c r="M358" s="94">
        <f>prodnorm117</f>
        <v>0</v>
      </c>
      <c r="N358" s="91" t="s">
        <v>101</v>
      </c>
      <c r="O358" s="26">
        <f>uurtarief117</f>
        <v>0</v>
      </c>
      <c r="P358" s="93" t="e">
        <f>IF(ISBLANK(M358),0,L358/ROUND(M358,4))</f>
        <v>#DIV/0!</v>
      </c>
      <c r="Q358" s="26" t="e">
        <f>ROUND(O358,2)*P358</f>
        <v>#DIV/0!</v>
      </c>
      <c r="R358" s="93" t="e">
        <f>P358*dagenperjaar1</f>
        <v>#DIV/0!</v>
      </c>
      <c r="S358" s="27" t="e">
        <f>R358*ROUND(O358,2)</f>
        <v>#DIV/0!</v>
      </c>
    </row>
    <row r="359" spans="1:19" x14ac:dyDescent="0.2">
      <c r="A359" s="90" t="s">
        <v>557</v>
      </c>
      <c r="B359" s="91" t="s">
        <v>35</v>
      </c>
      <c r="C359" s="91" t="s">
        <v>313</v>
      </c>
      <c r="D359" s="91" t="s">
        <v>603</v>
      </c>
      <c r="E359" s="92" t="s">
        <v>560</v>
      </c>
      <c r="F359" s="91" t="s">
        <v>361</v>
      </c>
      <c r="G359" s="91" t="s">
        <v>283</v>
      </c>
      <c r="H359" s="91" t="s">
        <v>9</v>
      </c>
      <c r="I359" s="91" t="s">
        <v>235</v>
      </c>
      <c r="J359" s="92" t="s">
        <v>284</v>
      </c>
      <c r="K359" s="93">
        <v>47</v>
      </c>
      <c r="L359" s="93">
        <f>K359*VLOOKUP(H359,dagsoorttabel1,2,FALSE)</f>
        <v>47</v>
      </c>
      <c r="M359" s="94">
        <f>prodnorm108</f>
        <v>0</v>
      </c>
      <c r="N359" s="91" t="s">
        <v>101</v>
      </c>
      <c r="O359" s="26">
        <f>uurtarief108</f>
        <v>0</v>
      </c>
      <c r="P359" s="93" t="e">
        <f>IF(ISBLANK(M359),0,L359/ROUND(M359,4))</f>
        <v>#DIV/0!</v>
      </c>
      <c r="Q359" s="26" t="e">
        <f>ROUND(O359,2)*P359</f>
        <v>#DIV/0!</v>
      </c>
      <c r="R359" s="93" t="e">
        <f>P359*dagenperjaar1</f>
        <v>#DIV/0!</v>
      </c>
      <c r="S359" s="27" t="e">
        <f>R359*ROUND(O359,2)</f>
        <v>#DIV/0!</v>
      </c>
    </row>
    <row r="360" spans="1:19" ht="25.2" x14ac:dyDescent="0.2">
      <c r="A360" s="90" t="s">
        <v>557</v>
      </c>
      <c r="B360" s="91" t="s">
        <v>35</v>
      </c>
      <c r="C360" s="91" t="s">
        <v>313</v>
      </c>
      <c r="D360" s="91" t="s">
        <v>604</v>
      </c>
      <c r="E360" s="92" t="s">
        <v>605</v>
      </c>
      <c r="F360" s="91" t="s">
        <v>387</v>
      </c>
      <c r="G360" s="91" t="s">
        <v>250</v>
      </c>
      <c r="H360" s="91" t="s">
        <v>9</v>
      </c>
      <c r="I360" s="91" t="s">
        <v>235</v>
      </c>
      <c r="J360" s="92" t="s">
        <v>251</v>
      </c>
      <c r="K360" s="93">
        <v>48</v>
      </c>
      <c r="L360" s="93">
        <f>K360*VLOOKUP(H360,dagsoorttabel1,2,FALSE)</f>
        <v>48</v>
      </c>
      <c r="M360" s="94">
        <f>prodnorm66</f>
        <v>0</v>
      </c>
      <c r="N360" s="91" t="s">
        <v>101</v>
      </c>
      <c r="O360" s="26">
        <f>uurtarief66</f>
        <v>0</v>
      </c>
      <c r="P360" s="93" t="e">
        <f>IF(ISBLANK(M360),0,L360/ROUND(M360,4))</f>
        <v>#DIV/0!</v>
      </c>
      <c r="Q360" s="26" t="e">
        <f>ROUND(O360,2)*P360</f>
        <v>#DIV/0!</v>
      </c>
      <c r="R360" s="93" t="e">
        <f>P360*dagenperjaar1</f>
        <v>#DIV/0!</v>
      </c>
      <c r="S360" s="27" t="e">
        <f>R360*ROUND(O360,2)</f>
        <v>#DIV/0!</v>
      </c>
    </row>
    <row r="361" spans="1:19" ht="25.2" x14ac:dyDescent="0.2">
      <c r="A361" s="90" t="s">
        <v>557</v>
      </c>
      <c r="B361" s="91" t="s">
        <v>35</v>
      </c>
      <c r="C361" s="91" t="s">
        <v>313</v>
      </c>
      <c r="D361" s="91" t="s">
        <v>606</v>
      </c>
      <c r="E361" s="92" t="s">
        <v>607</v>
      </c>
      <c r="F361" s="91" t="s">
        <v>387</v>
      </c>
      <c r="G361" s="91" t="s">
        <v>250</v>
      </c>
      <c r="H361" s="91" t="s">
        <v>9</v>
      </c>
      <c r="I361" s="91" t="s">
        <v>235</v>
      </c>
      <c r="J361" s="92" t="s">
        <v>251</v>
      </c>
      <c r="K361" s="93">
        <v>49.4</v>
      </c>
      <c r="L361" s="93">
        <f>K361*VLOOKUP(H361,dagsoorttabel1,2,FALSE)</f>
        <v>49.4</v>
      </c>
      <c r="M361" s="94">
        <f>prodnorm66</f>
        <v>0</v>
      </c>
      <c r="N361" s="91" t="s">
        <v>101</v>
      </c>
      <c r="O361" s="26">
        <f>uurtarief66</f>
        <v>0</v>
      </c>
      <c r="P361" s="93" t="e">
        <f>IF(ISBLANK(M361),0,L361/ROUND(M361,4))</f>
        <v>#DIV/0!</v>
      </c>
      <c r="Q361" s="26" t="e">
        <f>ROUND(O361,2)*P361</f>
        <v>#DIV/0!</v>
      </c>
      <c r="R361" s="93" t="e">
        <f>P361*dagenperjaar1</f>
        <v>#DIV/0!</v>
      </c>
      <c r="S361" s="27" t="e">
        <f>R361*ROUND(O361,2)</f>
        <v>#DIV/0!</v>
      </c>
    </row>
    <row r="362" spans="1:19" ht="25.2" x14ac:dyDescent="0.2">
      <c r="A362" s="90" t="s">
        <v>557</v>
      </c>
      <c r="B362" s="91" t="s">
        <v>35</v>
      </c>
      <c r="C362" s="91" t="s">
        <v>313</v>
      </c>
      <c r="D362" s="91" t="s">
        <v>608</v>
      </c>
      <c r="E362" s="92" t="s">
        <v>609</v>
      </c>
      <c r="F362" s="91" t="s">
        <v>387</v>
      </c>
      <c r="G362" s="91" t="s">
        <v>250</v>
      </c>
      <c r="H362" s="91" t="s">
        <v>9</v>
      </c>
      <c r="I362" s="91" t="s">
        <v>235</v>
      </c>
      <c r="J362" s="92" t="s">
        <v>251</v>
      </c>
      <c r="K362" s="93">
        <v>49.4</v>
      </c>
      <c r="L362" s="93">
        <f>K362*VLOOKUP(H362,dagsoorttabel1,2,FALSE)</f>
        <v>49.4</v>
      </c>
      <c r="M362" s="94">
        <f>prodnorm66</f>
        <v>0</v>
      </c>
      <c r="N362" s="91" t="s">
        <v>101</v>
      </c>
      <c r="O362" s="26">
        <f>uurtarief66</f>
        <v>0</v>
      </c>
      <c r="P362" s="93" t="e">
        <f>IF(ISBLANK(M362),0,L362/ROUND(M362,4))</f>
        <v>#DIV/0!</v>
      </c>
      <c r="Q362" s="26" t="e">
        <f>ROUND(O362,2)*P362</f>
        <v>#DIV/0!</v>
      </c>
      <c r="R362" s="93" t="e">
        <f>P362*dagenperjaar1</f>
        <v>#DIV/0!</v>
      </c>
      <c r="S362" s="27" t="e">
        <f>R362*ROUND(O362,2)</f>
        <v>#DIV/0!</v>
      </c>
    </row>
    <row r="363" spans="1:19" ht="25.2" x14ac:dyDescent="0.2">
      <c r="A363" s="90" t="s">
        <v>557</v>
      </c>
      <c r="B363" s="91" t="s">
        <v>35</v>
      </c>
      <c r="C363" s="91" t="s">
        <v>313</v>
      </c>
      <c r="D363" s="91" t="s">
        <v>610</v>
      </c>
      <c r="E363" s="92" t="s">
        <v>611</v>
      </c>
      <c r="F363" s="91" t="s">
        <v>387</v>
      </c>
      <c r="G363" s="91" t="s">
        <v>250</v>
      </c>
      <c r="H363" s="91" t="s">
        <v>9</v>
      </c>
      <c r="I363" s="91" t="s">
        <v>235</v>
      </c>
      <c r="J363" s="92" t="s">
        <v>251</v>
      </c>
      <c r="K363" s="93">
        <v>44.4</v>
      </c>
      <c r="L363" s="93">
        <f>K363*VLOOKUP(H363,dagsoorttabel1,2,FALSE)</f>
        <v>44.4</v>
      </c>
      <c r="M363" s="94">
        <f>prodnorm66</f>
        <v>0</v>
      </c>
      <c r="N363" s="91" t="s">
        <v>101</v>
      </c>
      <c r="O363" s="26">
        <f>uurtarief66</f>
        <v>0</v>
      </c>
      <c r="P363" s="93" t="e">
        <f>IF(ISBLANK(M363),0,L363/ROUND(M363,4))</f>
        <v>#DIV/0!</v>
      </c>
      <c r="Q363" s="26" t="e">
        <f>ROUND(O363,2)*P363</f>
        <v>#DIV/0!</v>
      </c>
      <c r="R363" s="93" t="e">
        <f>P363*dagenperjaar1</f>
        <v>#DIV/0!</v>
      </c>
      <c r="S363" s="27" t="e">
        <f>R363*ROUND(O363,2)</f>
        <v>#DIV/0!</v>
      </c>
    </row>
    <row r="364" spans="1:19" ht="25.2" x14ac:dyDescent="0.2">
      <c r="A364" s="90" t="s">
        <v>557</v>
      </c>
      <c r="B364" s="91" t="s">
        <v>35</v>
      </c>
      <c r="C364" s="91" t="s">
        <v>313</v>
      </c>
      <c r="D364" s="91" t="s">
        <v>612</v>
      </c>
      <c r="E364" s="92" t="s">
        <v>613</v>
      </c>
      <c r="F364" s="91" t="s">
        <v>387</v>
      </c>
      <c r="G364" s="91" t="s">
        <v>250</v>
      </c>
      <c r="H364" s="91" t="s">
        <v>9</v>
      </c>
      <c r="I364" s="91" t="s">
        <v>235</v>
      </c>
      <c r="J364" s="92" t="s">
        <v>251</v>
      </c>
      <c r="K364" s="93">
        <v>27.6</v>
      </c>
      <c r="L364" s="93">
        <f>K364*VLOOKUP(H364,dagsoorttabel1,2,FALSE)</f>
        <v>27.6</v>
      </c>
      <c r="M364" s="94">
        <f>prodnorm66</f>
        <v>0</v>
      </c>
      <c r="N364" s="91" t="s">
        <v>101</v>
      </c>
      <c r="O364" s="26">
        <f>uurtarief66</f>
        <v>0</v>
      </c>
      <c r="P364" s="93" t="e">
        <f>IF(ISBLANK(M364),0,L364/ROUND(M364,4))</f>
        <v>#DIV/0!</v>
      </c>
      <c r="Q364" s="26" t="e">
        <f>ROUND(O364,2)*P364</f>
        <v>#DIV/0!</v>
      </c>
      <c r="R364" s="93" t="e">
        <f>P364*dagenperjaar1</f>
        <v>#DIV/0!</v>
      </c>
      <c r="S364" s="27" t="e">
        <f>R364*ROUND(O364,2)</f>
        <v>#DIV/0!</v>
      </c>
    </row>
    <row r="365" spans="1:19" ht="25.2" x14ac:dyDescent="0.2">
      <c r="A365" s="90" t="s">
        <v>557</v>
      </c>
      <c r="B365" s="91" t="s">
        <v>35</v>
      </c>
      <c r="C365" s="91" t="s">
        <v>313</v>
      </c>
      <c r="D365" s="91" t="s">
        <v>614</v>
      </c>
      <c r="E365" s="92" t="s">
        <v>615</v>
      </c>
      <c r="F365" s="91" t="s">
        <v>387</v>
      </c>
      <c r="G365" s="91" t="s">
        <v>250</v>
      </c>
      <c r="H365" s="91" t="s">
        <v>9</v>
      </c>
      <c r="I365" s="91" t="s">
        <v>235</v>
      </c>
      <c r="J365" s="92" t="s">
        <v>251</v>
      </c>
      <c r="K365" s="93">
        <v>59.1</v>
      </c>
      <c r="L365" s="93">
        <f>K365*VLOOKUP(H365,dagsoorttabel1,2,FALSE)</f>
        <v>59.1</v>
      </c>
      <c r="M365" s="94">
        <f>prodnorm66</f>
        <v>0</v>
      </c>
      <c r="N365" s="91" t="s">
        <v>101</v>
      </c>
      <c r="O365" s="26">
        <f>uurtarief66</f>
        <v>0</v>
      </c>
      <c r="P365" s="93" t="e">
        <f>IF(ISBLANK(M365),0,L365/ROUND(M365,4))</f>
        <v>#DIV/0!</v>
      </c>
      <c r="Q365" s="26" t="e">
        <f>ROUND(O365,2)*P365</f>
        <v>#DIV/0!</v>
      </c>
      <c r="R365" s="93" t="e">
        <f>P365*dagenperjaar1</f>
        <v>#DIV/0!</v>
      </c>
      <c r="S365" s="27" t="e">
        <f>R365*ROUND(O365,2)</f>
        <v>#DIV/0!</v>
      </c>
    </row>
    <row r="366" spans="1:19" x14ac:dyDescent="0.2">
      <c r="A366" s="90" t="s">
        <v>557</v>
      </c>
      <c r="B366" s="91" t="s">
        <v>35</v>
      </c>
      <c r="C366" s="91" t="s">
        <v>313</v>
      </c>
      <c r="D366" s="91" t="s">
        <v>616</v>
      </c>
      <c r="E366" s="92" t="s">
        <v>560</v>
      </c>
      <c r="F366" s="91" t="s">
        <v>329</v>
      </c>
      <c r="G366" s="91" t="s">
        <v>283</v>
      </c>
      <c r="H366" s="91" t="s">
        <v>9</v>
      </c>
      <c r="I366" s="91" t="s">
        <v>235</v>
      </c>
      <c r="J366" s="92" t="s">
        <v>284</v>
      </c>
      <c r="K366" s="93">
        <v>74.5</v>
      </c>
      <c r="L366" s="93">
        <f>K366*VLOOKUP(H366,dagsoorttabel1,2,FALSE)</f>
        <v>74.5</v>
      </c>
      <c r="M366" s="94">
        <f>prodnorm108</f>
        <v>0</v>
      </c>
      <c r="N366" s="91" t="s">
        <v>101</v>
      </c>
      <c r="O366" s="26">
        <f>uurtarief108</f>
        <v>0</v>
      </c>
      <c r="P366" s="93" t="e">
        <f>IF(ISBLANK(M366),0,L366/ROUND(M366,4))</f>
        <v>#DIV/0!</v>
      </c>
      <c r="Q366" s="26" t="e">
        <f>ROUND(O366,2)*P366</f>
        <v>#DIV/0!</v>
      </c>
      <c r="R366" s="93" t="e">
        <f>P366*dagenperjaar1</f>
        <v>#DIV/0!</v>
      </c>
      <c r="S366" s="27" t="e">
        <f>R366*ROUND(O366,2)</f>
        <v>#DIV/0!</v>
      </c>
    </row>
    <row r="367" spans="1:19" x14ac:dyDescent="0.2">
      <c r="A367" s="90" t="s">
        <v>557</v>
      </c>
      <c r="B367" s="91" t="s">
        <v>35</v>
      </c>
      <c r="C367" s="91" t="s">
        <v>313</v>
      </c>
      <c r="D367" s="91" t="s">
        <v>617</v>
      </c>
      <c r="E367" s="92" t="s">
        <v>560</v>
      </c>
      <c r="F367" s="91" t="s">
        <v>329</v>
      </c>
      <c r="G367" s="91" t="s">
        <v>283</v>
      </c>
      <c r="H367" s="91" t="s">
        <v>9</v>
      </c>
      <c r="I367" s="91" t="s">
        <v>235</v>
      </c>
      <c r="J367" s="92" t="s">
        <v>284</v>
      </c>
      <c r="K367" s="93">
        <v>38</v>
      </c>
      <c r="L367" s="93">
        <f>K367*VLOOKUP(H367,dagsoorttabel1,2,FALSE)</f>
        <v>38</v>
      </c>
      <c r="M367" s="94">
        <f>prodnorm108</f>
        <v>0</v>
      </c>
      <c r="N367" s="91" t="s">
        <v>101</v>
      </c>
      <c r="O367" s="26">
        <f>uurtarief108</f>
        <v>0</v>
      </c>
      <c r="P367" s="93" t="e">
        <f>IF(ISBLANK(M367),0,L367/ROUND(M367,4))</f>
        <v>#DIV/0!</v>
      </c>
      <c r="Q367" s="26" t="e">
        <f>ROUND(O367,2)*P367</f>
        <v>#DIV/0!</v>
      </c>
      <c r="R367" s="93" t="e">
        <f>P367*dagenperjaar1</f>
        <v>#DIV/0!</v>
      </c>
      <c r="S367" s="27" t="e">
        <f>R367*ROUND(O367,2)</f>
        <v>#DIV/0!</v>
      </c>
    </row>
    <row r="368" spans="1:19" x14ac:dyDescent="0.2">
      <c r="A368" s="90" t="s">
        <v>557</v>
      </c>
      <c r="B368" s="91" t="s">
        <v>35</v>
      </c>
      <c r="C368" s="91" t="s">
        <v>313</v>
      </c>
      <c r="D368" s="91" t="s">
        <v>618</v>
      </c>
      <c r="E368" s="92" t="s">
        <v>619</v>
      </c>
      <c r="F368" s="91" t="s">
        <v>361</v>
      </c>
      <c r="G368" s="91" t="s">
        <v>239</v>
      </c>
      <c r="H368" s="91" t="s">
        <v>12</v>
      </c>
      <c r="I368" s="91" t="s">
        <v>235</v>
      </c>
      <c r="J368" s="92" t="s">
        <v>240</v>
      </c>
      <c r="K368" s="93">
        <v>35.700000000000003</v>
      </c>
      <c r="L368" s="93">
        <f>K368*VLOOKUP(H368,dagsoorttabel1,2,FALSE)</f>
        <v>14.280000000000001</v>
      </c>
      <c r="M368" s="94">
        <f>prodnorm54</f>
        <v>0</v>
      </c>
      <c r="N368" s="91" t="s">
        <v>101</v>
      </c>
      <c r="O368" s="26">
        <f>uurtarief54</f>
        <v>0</v>
      </c>
      <c r="P368" s="93" t="e">
        <f>IF(ISBLANK(M368),0,L368/ROUND(M368,4))</f>
        <v>#DIV/0!</v>
      </c>
      <c r="Q368" s="26" t="e">
        <f>ROUND(O368,2)*P368</f>
        <v>#DIV/0!</v>
      </c>
      <c r="R368" s="93" t="e">
        <f>P368*dagenperjaar1</f>
        <v>#DIV/0!</v>
      </c>
      <c r="S368" s="27" t="e">
        <f>R368*ROUND(O368,2)</f>
        <v>#DIV/0!</v>
      </c>
    </row>
    <row r="369" spans="1:19" x14ac:dyDescent="0.2">
      <c r="A369" s="90" t="s">
        <v>557</v>
      </c>
      <c r="B369" s="91" t="s">
        <v>35</v>
      </c>
      <c r="C369" s="91" t="s">
        <v>313</v>
      </c>
      <c r="D369" s="91" t="s">
        <v>620</v>
      </c>
      <c r="E369" s="92" t="s">
        <v>621</v>
      </c>
      <c r="F369" s="91" t="s">
        <v>329</v>
      </c>
      <c r="G369" s="91" t="s">
        <v>239</v>
      </c>
      <c r="H369" s="91" t="s">
        <v>12</v>
      </c>
      <c r="I369" s="91" t="s">
        <v>235</v>
      </c>
      <c r="J369" s="92" t="s">
        <v>240</v>
      </c>
      <c r="K369" s="93">
        <v>38.6</v>
      </c>
      <c r="L369" s="93">
        <f>K369*VLOOKUP(H369,dagsoorttabel1,2,FALSE)</f>
        <v>15.440000000000001</v>
      </c>
      <c r="M369" s="94">
        <f>prodnorm54</f>
        <v>0</v>
      </c>
      <c r="N369" s="91" t="s">
        <v>101</v>
      </c>
      <c r="O369" s="26">
        <f>uurtarief54</f>
        <v>0</v>
      </c>
      <c r="P369" s="93" t="e">
        <f>IF(ISBLANK(M369),0,L369/ROUND(M369,4))</f>
        <v>#DIV/0!</v>
      </c>
      <c r="Q369" s="26" t="e">
        <f>ROUND(O369,2)*P369</f>
        <v>#DIV/0!</v>
      </c>
      <c r="R369" s="93" t="e">
        <f>P369*dagenperjaar1</f>
        <v>#DIV/0!</v>
      </c>
      <c r="S369" s="27" t="e">
        <f>R369*ROUND(O369,2)</f>
        <v>#DIV/0!</v>
      </c>
    </row>
    <row r="370" spans="1:19" x14ac:dyDescent="0.2">
      <c r="A370" s="90" t="s">
        <v>557</v>
      </c>
      <c r="B370" s="91" t="s">
        <v>35</v>
      </c>
      <c r="C370" s="91" t="s">
        <v>313</v>
      </c>
      <c r="D370" s="91" t="s">
        <v>622</v>
      </c>
      <c r="E370" s="92" t="s">
        <v>351</v>
      </c>
      <c r="F370" s="91" t="s">
        <v>329</v>
      </c>
      <c r="G370" s="91" t="s">
        <v>264</v>
      </c>
      <c r="H370" s="91" t="s">
        <v>21</v>
      </c>
      <c r="I370" s="91" t="s">
        <v>235</v>
      </c>
      <c r="J370" s="92" t="s">
        <v>265</v>
      </c>
      <c r="K370" s="93">
        <v>17</v>
      </c>
      <c r="L370" s="93">
        <f>K370*VLOOKUP(H370,dagsoorttabel1,2,FALSE)</f>
        <v>6.5384615384615388E-2</v>
      </c>
      <c r="M370" s="94">
        <f>prodnorm81</f>
        <v>0</v>
      </c>
      <c r="N370" s="91" t="s">
        <v>101</v>
      </c>
      <c r="O370" s="26">
        <f>uurtarief81</f>
        <v>0</v>
      </c>
      <c r="P370" s="93" t="e">
        <f>IF(ISBLANK(M370),0,L370/ROUND(M370,4))</f>
        <v>#DIV/0!</v>
      </c>
      <c r="Q370" s="26" t="e">
        <f>ROUND(O370,2)*P370</f>
        <v>#DIV/0!</v>
      </c>
      <c r="R370" s="93" t="e">
        <f>P370*dagenperjaar1</f>
        <v>#DIV/0!</v>
      </c>
      <c r="S370" s="27" t="e">
        <f>R370*ROUND(O370,2)</f>
        <v>#DIV/0!</v>
      </c>
    </row>
    <row r="371" spans="1:19" x14ac:dyDescent="0.2">
      <c r="A371" s="90" t="s">
        <v>557</v>
      </c>
      <c r="B371" s="91" t="s">
        <v>35</v>
      </c>
      <c r="C371" s="91" t="s">
        <v>313</v>
      </c>
      <c r="D371" s="91" t="s">
        <v>623</v>
      </c>
      <c r="E371" s="92" t="s">
        <v>624</v>
      </c>
      <c r="F371" s="91" t="s">
        <v>329</v>
      </c>
      <c r="G371" s="91" t="s">
        <v>234</v>
      </c>
      <c r="H371" s="91" t="s">
        <v>13</v>
      </c>
      <c r="I371" s="91" t="s">
        <v>235</v>
      </c>
      <c r="J371" s="92" t="s">
        <v>236</v>
      </c>
      <c r="K371" s="93">
        <v>17.600000000000001</v>
      </c>
      <c r="L371" s="93">
        <f>K371*VLOOKUP(H371,dagsoorttabel1,2,FALSE)</f>
        <v>3.5200000000000005</v>
      </c>
      <c r="M371" s="94">
        <f>prodnorm51</f>
        <v>0</v>
      </c>
      <c r="N371" s="91" t="s">
        <v>101</v>
      </c>
      <c r="O371" s="26">
        <f>uurtarief51</f>
        <v>0</v>
      </c>
      <c r="P371" s="93" t="e">
        <f>IF(ISBLANK(M371),0,L371/ROUND(M371,4))</f>
        <v>#DIV/0!</v>
      </c>
      <c r="Q371" s="26" t="e">
        <f>ROUND(O371,2)*P371</f>
        <v>#DIV/0!</v>
      </c>
      <c r="R371" s="93" t="e">
        <f>P371*dagenperjaar1</f>
        <v>#DIV/0!</v>
      </c>
      <c r="S371" s="27" t="e">
        <f>R371*ROUND(O371,2)</f>
        <v>#DIV/0!</v>
      </c>
    </row>
    <row r="372" spans="1:19" x14ac:dyDescent="0.2">
      <c r="A372" s="90" t="s">
        <v>557</v>
      </c>
      <c r="B372" s="91" t="s">
        <v>35</v>
      </c>
      <c r="C372" s="91" t="s">
        <v>313</v>
      </c>
      <c r="D372" s="91" t="s">
        <v>625</v>
      </c>
      <c r="E372" s="92" t="s">
        <v>626</v>
      </c>
      <c r="F372" s="91" t="s">
        <v>329</v>
      </c>
      <c r="G372" s="91" t="s">
        <v>252</v>
      </c>
      <c r="H372" s="91" t="s">
        <v>13</v>
      </c>
      <c r="I372" s="91" t="s">
        <v>235</v>
      </c>
      <c r="J372" s="92" t="s">
        <v>253</v>
      </c>
      <c r="K372" s="93">
        <v>21.8</v>
      </c>
      <c r="L372" s="93">
        <f>K372*VLOOKUP(H372,dagsoorttabel1,2,FALSE)</f>
        <v>4.3600000000000003</v>
      </c>
      <c r="M372" s="94">
        <f>prodnorm68</f>
        <v>0</v>
      </c>
      <c r="N372" s="91" t="s">
        <v>101</v>
      </c>
      <c r="O372" s="26">
        <f>uurtarief68</f>
        <v>0</v>
      </c>
      <c r="P372" s="93" t="e">
        <f>IF(ISBLANK(M372),0,L372/ROUND(M372,4))</f>
        <v>#DIV/0!</v>
      </c>
      <c r="Q372" s="26" t="e">
        <f>ROUND(O372,2)*P372</f>
        <v>#DIV/0!</v>
      </c>
      <c r="R372" s="93" t="e">
        <f>P372*dagenperjaar1</f>
        <v>#DIV/0!</v>
      </c>
      <c r="S372" s="27" t="e">
        <f>R372*ROUND(O372,2)</f>
        <v>#DIV/0!</v>
      </c>
    </row>
    <row r="373" spans="1:19" x14ac:dyDescent="0.2">
      <c r="A373" s="90" t="s">
        <v>557</v>
      </c>
      <c r="B373" s="91" t="s">
        <v>35</v>
      </c>
      <c r="C373" s="91" t="s">
        <v>313</v>
      </c>
      <c r="D373" s="91" t="s">
        <v>627</v>
      </c>
      <c r="E373" s="92" t="s">
        <v>628</v>
      </c>
      <c r="F373" s="91" t="s">
        <v>329</v>
      </c>
      <c r="G373" s="91" t="s">
        <v>252</v>
      </c>
      <c r="H373" s="91" t="s">
        <v>13</v>
      </c>
      <c r="I373" s="91" t="s">
        <v>235</v>
      </c>
      <c r="J373" s="92" t="s">
        <v>253</v>
      </c>
      <c r="K373" s="93">
        <v>32.9</v>
      </c>
      <c r="L373" s="93">
        <f>K373*VLOOKUP(H373,dagsoorttabel1,2,FALSE)</f>
        <v>6.58</v>
      </c>
      <c r="M373" s="94">
        <f>prodnorm68</f>
        <v>0</v>
      </c>
      <c r="N373" s="91" t="s">
        <v>101</v>
      </c>
      <c r="O373" s="26">
        <f>uurtarief68</f>
        <v>0</v>
      </c>
      <c r="P373" s="93" t="e">
        <f>IF(ISBLANK(M373),0,L373/ROUND(M373,4))</f>
        <v>#DIV/0!</v>
      </c>
      <c r="Q373" s="26" t="e">
        <f>ROUND(O373,2)*P373</f>
        <v>#DIV/0!</v>
      </c>
      <c r="R373" s="93" t="e">
        <f>P373*dagenperjaar1</f>
        <v>#DIV/0!</v>
      </c>
      <c r="S373" s="27" t="e">
        <f>R373*ROUND(O373,2)</f>
        <v>#DIV/0!</v>
      </c>
    </row>
    <row r="374" spans="1:19" x14ac:dyDescent="0.2">
      <c r="A374" s="90" t="s">
        <v>557</v>
      </c>
      <c r="B374" s="91" t="s">
        <v>35</v>
      </c>
      <c r="C374" s="91" t="s">
        <v>313</v>
      </c>
      <c r="D374" s="91" t="s">
        <v>629</v>
      </c>
      <c r="E374" s="92" t="s">
        <v>630</v>
      </c>
      <c r="F374" s="91" t="s">
        <v>329</v>
      </c>
      <c r="G374" s="91" t="s">
        <v>254</v>
      </c>
      <c r="H374" s="91" t="s">
        <v>13</v>
      </c>
      <c r="I374" s="91" t="s">
        <v>235</v>
      </c>
      <c r="J374" s="92" t="s">
        <v>255</v>
      </c>
      <c r="K374" s="93">
        <v>48.8</v>
      </c>
      <c r="L374" s="93">
        <f>K374*VLOOKUP(H374,dagsoorttabel1,2,FALSE)</f>
        <v>9.76</v>
      </c>
      <c r="M374" s="94">
        <f>prodnorm71</f>
        <v>0</v>
      </c>
      <c r="N374" s="91" t="s">
        <v>101</v>
      </c>
      <c r="O374" s="26">
        <f>uurtarief71</f>
        <v>0</v>
      </c>
      <c r="P374" s="93" t="e">
        <f>IF(ISBLANK(M374),0,L374/ROUND(M374,4))</f>
        <v>#DIV/0!</v>
      </c>
      <c r="Q374" s="26" t="e">
        <f>ROUND(O374,2)*P374</f>
        <v>#DIV/0!</v>
      </c>
      <c r="R374" s="93" t="e">
        <f>P374*dagenperjaar1</f>
        <v>#DIV/0!</v>
      </c>
      <c r="S374" s="27" t="e">
        <f>R374*ROUND(O374,2)</f>
        <v>#DIV/0!</v>
      </c>
    </row>
    <row r="375" spans="1:19" x14ac:dyDescent="0.2">
      <c r="A375" s="90" t="s">
        <v>557</v>
      </c>
      <c r="B375" s="91" t="s">
        <v>35</v>
      </c>
      <c r="C375" s="91" t="s">
        <v>313</v>
      </c>
      <c r="D375" s="91" t="s">
        <v>631</v>
      </c>
      <c r="E375" s="92" t="s">
        <v>632</v>
      </c>
      <c r="F375" s="91" t="s">
        <v>329</v>
      </c>
      <c r="G375" s="91" t="s">
        <v>264</v>
      </c>
      <c r="H375" s="91" t="s">
        <v>13</v>
      </c>
      <c r="I375" s="91" t="s">
        <v>235</v>
      </c>
      <c r="J375" s="92" t="s">
        <v>265</v>
      </c>
      <c r="K375" s="93">
        <v>32.799999999999997</v>
      </c>
      <c r="L375" s="93">
        <f>K375*VLOOKUP(H375,dagsoorttabel1,2,FALSE)</f>
        <v>6.56</v>
      </c>
      <c r="M375" s="94">
        <f>prodnorm82</f>
        <v>0</v>
      </c>
      <c r="N375" s="91" t="s">
        <v>101</v>
      </c>
      <c r="O375" s="26">
        <f>uurtarief82</f>
        <v>0</v>
      </c>
      <c r="P375" s="93" t="e">
        <f>IF(ISBLANK(M375),0,L375/ROUND(M375,4))</f>
        <v>#DIV/0!</v>
      </c>
      <c r="Q375" s="26" t="e">
        <f>ROUND(O375,2)*P375</f>
        <v>#DIV/0!</v>
      </c>
      <c r="R375" s="93" t="e">
        <f>P375*dagenperjaar1</f>
        <v>#DIV/0!</v>
      </c>
      <c r="S375" s="27" t="e">
        <f>R375*ROUND(O375,2)</f>
        <v>#DIV/0!</v>
      </c>
    </row>
    <row r="376" spans="1:19" ht="25.2" x14ac:dyDescent="0.2">
      <c r="A376" s="90" t="s">
        <v>557</v>
      </c>
      <c r="B376" s="91" t="s">
        <v>35</v>
      </c>
      <c r="C376" s="91" t="s">
        <v>313</v>
      </c>
      <c r="D376" s="91" t="s">
        <v>633</v>
      </c>
      <c r="E376" s="92" t="s">
        <v>634</v>
      </c>
      <c r="F376" s="91" t="s">
        <v>329</v>
      </c>
      <c r="G376" s="91" t="s">
        <v>293</v>
      </c>
      <c r="H376" s="91" t="s">
        <v>13</v>
      </c>
      <c r="I376" s="91" t="s">
        <v>235</v>
      </c>
      <c r="J376" s="92" t="s">
        <v>294</v>
      </c>
      <c r="K376" s="93">
        <v>23.3</v>
      </c>
      <c r="L376" s="93">
        <f>K376*VLOOKUP(H376,dagsoorttabel1,2,FALSE)</f>
        <v>4.66</v>
      </c>
      <c r="M376" s="94">
        <f>prodnorm119</f>
        <v>0</v>
      </c>
      <c r="N376" s="91" t="s">
        <v>101</v>
      </c>
      <c r="O376" s="26">
        <f>uurtarief119</f>
        <v>0</v>
      </c>
      <c r="P376" s="93" t="e">
        <f>IF(ISBLANK(M376),0,L376/ROUND(M376,4))</f>
        <v>#DIV/0!</v>
      </c>
      <c r="Q376" s="26" t="e">
        <f>ROUND(O376,2)*P376</f>
        <v>#DIV/0!</v>
      </c>
      <c r="R376" s="93" t="e">
        <f>P376*dagenperjaar1</f>
        <v>#DIV/0!</v>
      </c>
      <c r="S376" s="27" t="e">
        <f>R376*ROUND(O376,2)</f>
        <v>#DIV/0!</v>
      </c>
    </row>
    <row r="377" spans="1:19" ht="25.2" x14ac:dyDescent="0.2">
      <c r="A377" s="90" t="s">
        <v>557</v>
      </c>
      <c r="B377" s="91" t="s">
        <v>35</v>
      </c>
      <c r="C377" s="91" t="s">
        <v>313</v>
      </c>
      <c r="D377" s="91" t="s">
        <v>635</v>
      </c>
      <c r="E377" s="92" t="s">
        <v>636</v>
      </c>
      <c r="F377" s="91" t="s">
        <v>329</v>
      </c>
      <c r="G377" s="91" t="s">
        <v>293</v>
      </c>
      <c r="H377" s="91" t="s">
        <v>13</v>
      </c>
      <c r="I377" s="91" t="s">
        <v>235</v>
      </c>
      <c r="J377" s="92" t="s">
        <v>294</v>
      </c>
      <c r="K377" s="93">
        <v>29.8</v>
      </c>
      <c r="L377" s="93">
        <f>K377*VLOOKUP(H377,dagsoorttabel1,2,FALSE)</f>
        <v>5.9600000000000009</v>
      </c>
      <c r="M377" s="94">
        <f>prodnorm119</f>
        <v>0</v>
      </c>
      <c r="N377" s="91" t="s">
        <v>101</v>
      </c>
      <c r="O377" s="26">
        <f>uurtarief119</f>
        <v>0</v>
      </c>
      <c r="P377" s="93" t="e">
        <f>IF(ISBLANK(M377),0,L377/ROUND(M377,4))</f>
        <v>#DIV/0!</v>
      </c>
      <c r="Q377" s="26" t="e">
        <f>ROUND(O377,2)*P377</f>
        <v>#DIV/0!</v>
      </c>
      <c r="R377" s="93" t="e">
        <f>P377*dagenperjaar1</f>
        <v>#DIV/0!</v>
      </c>
      <c r="S377" s="27" t="e">
        <f>R377*ROUND(O377,2)</f>
        <v>#DIV/0!</v>
      </c>
    </row>
    <row r="378" spans="1:19" ht="25.2" x14ac:dyDescent="0.2">
      <c r="A378" s="90" t="s">
        <v>557</v>
      </c>
      <c r="B378" s="91" t="s">
        <v>35</v>
      </c>
      <c r="C378" s="91" t="s">
        <v>313</v>
      </c>
      <c r="D378" s="91" t="s">
        <v>637</v>
      </c>
      <c r="E378" s="92" t="s">
        <v>638</v>
      </c>
      <c r="F378" s="91" t="s">
        <v>329</v>
      </c>
      <c r="G378" s="91" t="s">
        <v>293</v>
      </c>
      <c r="H378" s="91" t="s">
        <v>13</v>
      </c>
      <c r="I378" s="91" t="s">
        <v>235</v>
      </c>
      <c r="J378" s="92" t="s">
        <v>294</v>
      </c>
      <c r="K378" s="93">
        <v>28.5</v>
      </c>
      <c r="L378" s="93">
        <f>K378*VLOOKUP(H378,dagsoorttabel1,2,FALSE)</f>
        <v>5.7</v>
      </c>
      <c r="M378" s="94">
        <f>prodnorm119</f>
        <v>0</v>
      </c>
      <c r="N378" s="91" t="s">
        <v>101</v>
      </c>
      <c r="O378" s="26">
        <f>uurtarief119</f>
        <v>0</v>
      </c>
      <c r="P378" s="93" t="e">
        <f>IF(ISBLANK(M378),0,L378/ROUND(M378,4))</f>
        <v>#DIV/0!</v>
      </c>
      <c r="Q378" s="26" t="e">
        <f>ROUND(O378,2)*P378</f>
        <v>#DIV/0!</v>
      </c>
      <c r="R378" s="93" t="e">
        <f>P378*dagenperjaar1</f>
        <v>#DIV/0!</v>
      </c>
      <c r="S378" s="27" t="e">
        <f>R378*ROUND(O378,2)</f>
        <v>#DIV/0!</v>
      </c>
    </row>
    <row r="379" spans="1:19" x14ac:dyDescent="0.2">
      <c r="A379" s="90" t="s">
        <v>557</v>
      </c>
      <c r="B379" s="91" t="s">
        <v>35</v>
      </c>
      <c r="C379" s="91" t="s">
        <v>313</v>
      </c>
      <c r="D379" s="91" t="s">
        <v>639</v>
      </c>
      <c r="E379" s="92" t="s">
        <v>640</v>
      </c>
      <c r="F379" s="91" t="s">
        <v>329</v>
      </c>
      <c r="G379" s="91" t="s">
        <v>264</v>
      </c>
      <c r="H379" s="91" t="s">
        <v>13</v>
      </c>
      <c r="I379" s="91" t="s">
        <v>235</v>
      </c>
      <c r="J379" s="92" t="s">
        <v>265</v>
      </c>
      <c r="K379" s="93">
        <v>49.7</v>
      </c>
      <c r="L379" s="93">
        <f>K379*VLOOKUP(H379,dagsoorttabel1,2,FALSE)</f>
        <v>9.9400000000000013</v>
      </c>
      <c r="M379" s="94">
        <f>prodnorm82</f>
        <v>0</v>
      </c>
      <c r="N379" s="91" t="s">
        <v>101</v>
      </c>
      <c r="O379" s="26">
        <f>uurtarief82</f>
        <v>0</v>
      </c>
      <c r="P379" s="93" t="e">
        <f>IF(ISBLANK(M379),0,L379/ROUND(M379,4))</f>
        <v>#DIV/0!</v>
      </c>
      <c r="Q379" s="26" t="e">
        <f>ROUND(O379,2)*P379</f>
        <v>#DIV/0!</v>
      </c>
      <c r="R379" s="93" t="e">
        <f>P379*dagenperjaar1</f>
        <v>#DIV/0!</v>
      </c>
      <c r="S379" s="27" t="e">
        <f>R379*ROUND(O379,2)</f>
        <v>#DIV/0!</v>
      </c>
    </row>
    <row r="380" spans="1:19" x14ac:dyDescent="0.2">
      <c r="A380" s="90" t="s">
        <v>557</v>
      </c>
      <c r="B380" s="91" t="s">
        <v>35</v>
      </c>
      <c r="C380" s="91" t="s">
        <v>313</v>
      </c>
      <c r="D380" s="91" t="s">
        <v>641</v>
      </c>
      <c r="E380" s="92" t="s">
        <v>642</v>
      </c>
      <c r="F380" s="91" t="s">
        <v>329</v>
      </c>
      <c r="G380" s="91" t="s">
        <v>352</v>
      </c>
      <c r="H380" s="91"/>
      <c r="I380" s="91"/>
      <c r="J380" s="91"/>
      <c r="K380" s="93">
        <v>7.8</v>
      </c>
      <c r="L380" s="93"/>
      <c r="M380" s="94"/>
      <c r="N380" s="91"/>
      <c r="O380" s="26"/>
      <c r="P380" s="93"/>
      <c r="Q380" s="26"/>
      <c r="R380" s="95"/>
      <c r="S380" s="27"/>
    </row>
    <row r="381" spans="1:19" ht="25.2" x14ac:dyDescent="0.2">
      <c r="A381" s="90" t="s">
        <v>557</v>
      </c>
      <c r="B381" s="91" t="s">
        <v>35</v>
      </c>
      <c r="C381" s="91" t="s">
        <v>313</v>
      </c>
      <c r="D381" s="91" t="s">
        <v>643</v>
      </c>
      <c r="E381" s="92" t="s">
        <v>644</v>
      </c>
      <c r="F381" s="91" t="s">
        <v>329</v>
      </c>
      <c r="G381" s="91" t="s">
        <v>293</v>
      </c>
      <c r="H381" s="91" t="s">
        <v>13</v>
      </c>
      <c r="I381" s="91" t="s">
        <v>235</v>
      </c>
      <c r="J381" s="92" t="s">
        <v>294</v>
      </c>
      <c r="K381" s="93">
        <v>9.1</v>
      </c>
      <c r="L381" s="93">
        <f>K381*VLOOKUP(H381,dagsoorttabel1,2,FALSE)</f>
        <v>1.82</v>
      </c>
      <c r="M381" s="94">
        <f>prodnorm119</f>
        <v>0</v>
      </c>
      <c r="N381" s="91" t="s">
        <v>101</v>
      </c>
      <c r="O381" s="26">
        <f>uurtarief119</f>
        <v>0</v>
      </c>
      <c r="P381" s="93" t="e">
        <f>IF(ISBLANK(M381),0,L381/ROUND(M381,4))</f>
        <v>#DIV/0!</v>
      </c>
      <c r="Q381" s="26" t="e">
        <f>ROUND(O381,2)*P381</f>
        <v>#DIV/0!</v>
      </c>
      <c r="R381" s="93" t="e">
        <f>P381*dagenperjaar1</f>
        <v>#DIV/0!</v>
      </c>
      <c r="S381" s="27" t="e">
        <f>R381*ROUND(O381,2)</f>
        <v>#DIV/0!</v>
      </c>
    </row>
    <row r="382" spans="1:19" ht="25.2" x14ac:dyDescent="0.2">
      <c r="A382" s="90" t="s">
        <v>557</v>
      </c>
      <c r="B382" s="91" t="s">
        <v>35</v>
      </c>
      <c r="C382" s="91" t="s">
        <v>313</v>
      </c>
      <c r="D382" s="91" t="s">
        <v>645</v>
      </c>
      <c r="E382" s="92" t="s">
        <v>646</v>
      </c>
      <c r="F382" s="91" t="s">
        <v>329</v>
      </c>
      <c r="G382" s="91" t="s">
        <v>293</v>
      </c>
      <c r="H382" s="91" t="s">
        <v>13</v>
      </c>
      <c r="I382" s="91" t="s">
        <v>235</v>
      </c>
      <c r="J382" s="92" t="s">
        <v>294</v>
      </c>
      <c r="K382" s="93">
        <v>110</v>
      </c>
      <c r="L382" s="93">
        <f>K382*VLOOKUP(H382,dagsoorttabel1,2,FALSE)</f>
        <v>22</v>
      </c>
      <c r="M382" s="94">
        <f>prodnorm119</f>
        <v>0</v>
      </c>
      <c r="N382" s="91" t="s">
        <v>101</v>
      </c>
      <c r="O382" s="26">
        <f>uurtarief119</f>
        <v>0</v>
      </c>
      <c r="P382" s="93" t="e">
        <f>IF(ISBLANK(M382),0,L382/ROUND(M382,4))</f>
        <v>#DIV/0!</v>
      </c>
      <c r="Q382" s="26" t="e">
        <f>ROUND(O382,2)*P382</f>
        <v>#DIV/0!</v>
      </c>
      <c r="R382" s="93" t="e">
        <f>P382*dagenperjaar1</f>
        <v>#DIV/0!</v>
      </c>
      <c r="S382" s="27" t="e">
        <f>R382*ROUND(O382,2)</f>
        <v>#DIV/0!</v>
      </c>
    </row>
    <row r="383" spans="1:19" x14ac:dyDescent="0.2">
      <c r="A383" s="90" t="s">
        <v>557</v>
      </c>
      <c r="B383" s="91" t="s">
        <v>35</v>
      </c>
      <c r="C383" s="91" t="s">
        <v>313</v>
      </c>
      <c r="D383" s="91" t="s">
        <v>647</v>
      </c>
      <c r="E383" s="92" t="s">
        <v>648</v>
      </c>
      <c r="F383" s="91" t="s">
        <v>329</v>
      </c>
      <c r="G383" s="91" t="s">
        <v>264</v>
      </c>
      <c r="H383" s="91" t="s">
        <v>21</v>
      </c>
      <c r="I383" s="91" t="s">
        <v>235</v>
      </c>
      <c r="J383" s="92" t="s">
        <v>265</v>
      </c>
      <c r="K383" s="93">
        <v>52.2</v>
      </c>
      <c r="L383" s="93">
        <f>K383*VLOOKUP(H383,dagsoorttabel1,2,FALSE)</f>
        <v>0.20076923076923078</v>
      </c>
      <c r="M383" s="94">
        <f>prodnorm81</f>
        <v>0</v>
      </c>
      <c r="N383" s="91" t="s">
        <v>101</v>
      </c>
      <c r="O383" s="26">
        <f>uurtarief81</f>
        <v>0</v>
      </c>
      <c r="P383" s="93" t="e">
        <f>IF(ISBLANK(M383),0,L383/ROUND(M383,4))</f>
        <v>#DIV/0!</v>
      </c>
      <c r="Q383" s="26" t="e">
        <f>ROUND(O383,2)*P383</f>
        <v>#DIV/0!</v>
      </c>
      <c r="R383" s="93" t="e">
        <f>P383*dagenperjaar1</f>
        <v>#DIV/0!</v>
      </c>
      <c r="S383" s="27" t="e">
        <f>R383*ROUND(O383,2)</f>
        <v>#DIV/0!</v>
      </c>
    </row>
    <row r="384" spans="1:19" x14ac:dyDescent="0.2">
      <c r="A384" s="90" t="s">
        <v>557</v>
      </c>
      <c r="B384" s="91" t="s">
        <v>35</v>
      </c>
      <c r="C384" s="91" t="s">
        <v>313</v>
      </c>
      <c r="D384" s="91" t="s">
        <v>649</v>
      </c>
      <c r="E384" s="92" t="s">
        <v>559</v>
      </c>
      <c r="F384" s="91" t="s">
        <v>329</v>
      </c>
      <c r="G384" s="91" t="s">
        <v>298</v>
      </c>
      <c r="H384" s="91" t="s">
        <v>9</v>
      </c>
      <c r="I384" s="91" t="s">
        <v>235</v>
      </c>
      <c r="J384" s="92" t="s">
        <v>299</v>
      </c>
      <c r="K384" s="93">
        <v>4.4000000000000004</v>
      </c>
      <c r="L384" s="93">
        <f>K384*VLOOKUP(H384,dagsoorttabel1,2,FALSE)</f>
        <v>4.4000000000000004</v>
      </c>
      <c r="M384" s="94">
        <f>prodnorm126</f>
        <v>0</v>
      </c>
      <c r="N384" s="91" t="s">
        <v>101</v>
      </c>
      <c r="O384" s="26">
        <f>uurtarief126</f>
        <v>0</v>
      </c>
      <c r="P384" s="93" t="e">
        <f>IF(ISBLANK(M384),0,L384/ROUND(M384,4))</f>
        <v>#DIV/0!</v>
      </c>
      <c r="Q384" s="26" t="e">
        <f>ROUND(O384,2)*P384</f>
        <v>#DIV/0!</v>
      </c>
      <c r="R384" s="93" t="e">
        <f>P384*dagenperjaar1</f>
        <v>#DIV/0!</v>
      </c>
      <c r="S384" s="27" t="e">
        <f>R384*ROUND(O384,2)</f>
        <v>#DIV/0!</v>
      </c>
    </row>
    <row r="385" spans="1:19" x14ac:dyDescent="0.2">
      <c r="A385" s="90" t="s">
        <v>557</v>
      </c>
      <c r="B385" s="91" t="s">
        <v>35</v>
      </c>
      <c r="C385" s="91" t="s">
        <v>313</v>
      </c>
      <c r="D385" s="91" t="s">
        <v>650</v>
      </c>
      <c r="E385" s="92" t="s">
        <v>560</v>
      </c>
      <c r="F385" s="91" t="s">
        <v>329</v>
      </c>
      <c r="G385" s="91" t="s">
        <v>283</v>
      </c>
      <c r="H385" s="91" t="s">
        <v>9</v>
      </c>
      <c r="I385" s="91" t="s">
        <v>235</v>
      </c>
      <c r="J385" s="92" t="s">
        <v>284</v>
      </c>
      <c r="K385" s="93">
        <v>17.399999999999999</v>
      </c>
      <c r="L385" s="93">
        <f>K385*VLOOKUP(H385,dagsoorttabel1,2,FALSE)</f>
        <v>17.399999999999999</v>
      </c>
      <c r="M385" s="94">
        <f>prodnorm108</f>
        <v>0</v>
      </c>
      <c r="N385" s="91" t="s">
        <v>101</v>
      </c>
      <c r="O385" s="26">
        <f>uurtarief108</f>
        <v>0</v>
      </c>
      <c r="P385" s="93" t="e">
        <f>IF(ISBLANK(M385),0,L385/ROUND(M385,4))</f>
        <v>#DIV/0!</v>
      </c>
      <c r="Q385" s="26" t="e">
        <f>ROUND(O385,2)*P385</f>
        <v>#DIV/0!</v>
      </c>
      <c r="R385" s="93" t="e">
        <f>P385*dagenperjaar1</f>
        <v>#DIV/0!</v>
      </c>
      <c r="S385" s="27" t="e">
        <f>R385*ROUND(O385,2)</f>
        <v>#DIV/0!</v>
      </c>
    </row>
    <row r="386" spans="1:19" x14ac:dyDescent="0.2">
      <c r="A386" s="90" t="s">
        <v>557</v>
      </c>
      <c r="B386" s="91" t="s">
        <v>35</v>
      </c>
      <c r="C386" s="91" t="s">
        <v>313</v>
      </c>
      <c r="D386" s="91" t="s">
        <v>651</v>
      </c>
      <c r="E386" s="92" t="s">
        <v>383</v>
      </c>
      <c r="F386" s="91" t="s">
        <v>347</v>
      </c>
      <c r="G386" s="91" t="s">
        <v>291</v>
      </c>
      <c r="H386" s="91" t="s">
        <v>9</v>
      </c>
      <c r="I386" s="91" t="s">
        <v>235</v>
      </c>
      <c r="J386" s="92" t="s">
        <v>292</v>
      </c>
      <c r="K386" s="93">
        <v>4.0999999999999996</v>
      </c>
      <c r="L386" s="93">
        <f>K386*VLOOKUP(H386,dagsoorttabel1,2,FALSE)</f>
        <v>4.0999999999999996</v>
      </c>
      <c r="M386" s="94">
        <f>prodnorm117</f>
        <v>0</v>
      </c>
      <c r="N386" s="91" t="s">
        <v>101</v>
      </c>
      <c r="O386" s="26">
        <f>uurtarief117</f>
        <v>0</v>
      </c>
      <c r="P386" s="93" t="e">
        <f>IF(ISBLANK(M386),0,L386/ROUND(M386,4))</f>
        <v>#DIV/0!</v>
      </c>
      <c r="Q386" s="26" t="e">
        <f>ROUND(O386,2)*P386</f>
        <v>#DIV/0!</v>
      </c>
      <c r="R386" s="93" t="e">
        <f>P386*dagenperjaar1</f>
        <v>#DIV/0!</v>
      </c>
      <c r="S386" s="27" t="e">
        <f>R386*ROUND(O386,2)</f>
        <v>#DIV/0!</v>
      </c>
    </row>
    <row r="387" spans="1:19" x14ac:dyDescent="0.2">
      <c r="A387" s="90" t="s">
        <v>557</v>
      </c>
      <c r="B387" s="91" t="s">
        <v>35</v>
      </c>
      <c r="C387" s="91" t="s">
        <v>313</v>
      </c>
      <c r="D387" s="91" t="s">
        <v>652</v>
      </c>
      <c r="E387" s="92" t="s">
        <v>560</v>
      </c>
      <c r="F387" s="91" t="s">
        <v>329</v>
      </c>
      <c r="G387" s="91" t="s">
        <v>283</v>
      </c>
      <c r="H387" s="91" t="s">
        <v>9</v>
      </c>
      <c r="I387" s="91" t="s">
        <v>235</v>
      </c>
      <c r="J387" s="92" t="s">
        <v>284</v>
      </c>
      <c r="K387" s="93">
        <v>14</v>
      </c>
      <c r="L387" s="93">
        <f>K387*VLOOKUP(H387,dagsoorttabel1,2,FALSE)</f>
        <v>14</v>
      </c>
      <c r="M387" s="94">
        <f>prodnorm108</f>
        <v>0</v>
      </c>
      <c r="N387" s="91" t="s">
        <v>101</v>
      </c>
      <c r="O387" s="26">
        <f>uurtarief108</f>
        <v>0</v>
      </c>
      <c r="P387" s="93" t="e">
        <f>IF(ISBLANK(M387),0,L387/ROUND(M387,4))</f>
        <v>#DIV/0!</v>
      </c>
      <c r="Q387" s="26" t="e">
        <f>ROUND(O387,2)*P387</f>
        <v>#DIV/0!</v>
      </c>
      <c r="R387" s="93" t="e">
        <f>P387*dagenperjaar1</f>
        <v>#DIV/0!</v>
      </c>
      <c r="S387" s="27" t="e">
        <f>R387*ROUND(O387,2)</f>
        <v>#DIV/0!</v>
      </c>
    </row>
    <row r="388" spans="1:19" x14ac:dyDescent="0.2">
      <c r="A388" s="90" t="s">
        <v>557</v>
      </c>
      <c r="B388" s="91" t="s">
        <v>35</v>
      </c>
      <c r="C388" s="91" t="s">
        <v>313</v>
      </c>
      <c r="D388" s="91" t="s">
        <v>653</v>
      </c>
      <c r="E388" s="92" t="s">
        <v>333</v>
      </c>
      <c r="F388" s="91" t="s">
        <v>329</v>
      </c>
      <c r="G388" s="91" t="s">
        <v>279</v>
      </c>
      <c r="H388" s="91" t="s">
        <v>9</v>
      </c>
      <c r="I388" s="91" t="s">
        <v>235</v>
      </c>
      <c r="J388" s="92" t="s">
        <v>280</v>
      </c>
      <c r="K388" s="93">
        <v>5.9</v>
      </c>
      <c r="L388" s="93">
        <f>K388*VLOOKUP(H388,dagsoorttabel1,2,FALSE)</f>
        <v>5.9</v>
      </c>
      <c r="M388" s="94">
        <f>prodnorm102</f>
        <v>0</v>
      </c>
      <c r="N388" s="91" t="s">
        <v>101</v>
      </c>
      <c r="O388" s="26">
        <f>uurtarief102</f>
        <v>0</v>
      </c>
      <c r="P388" s="93" t="e">
        <f>IF(ISBLANK(M388),0,L388/ROUND(M388,4))</f>
        <v>#DIV/0!</v>
      </c>
      <c r="Q388" s="26" t="e">
        <f>ROUND(O388,2)*P388</f>
        <v>#DIV/0!</v>
      </c>
      <c r="R388" s="93" t="e">
        <f>P388*dagenperjaar1</f>
        <v>#DIV/0!</v>
      </c>
      <c r="S388" s="27" t="e">
        <f>R388*ROUND(O388,2)</f>
        <v>#DIV/0!</v>
      </c>
    </row>
    <row r="389" spans="1:19" x14ac:dyDescent="0.2">
      <c r="A389" s="90" t="s">
        <v>557</v>
      </c>
      <c r="B389" s="91" t="s">
        <v>35</v>
      </c>
      <c r="C389" s="91" t="s">
        <v>313</v>
      </c>
      <c r="D389" s="91" t="s">
        <v>654</v>
      </c>
      <c r="E389" s="92" t="s">
        <v>655</v>
      </c>
      <c r="F389" s="91" t="s">
        <v>390</v>
      </c>
      <c r="G389" s="91" t="s">
        <v>352</v>
      </c>
      <c r="H389" s="91"/>
      <c r="I389" s="91"/>
      <c r="J389" s="91"/>
      <c r="K389" s="93">
        <v>56.8</v>
      </c>
      <c r="L389" s="93"/>
      <c r="M389" s="94"/>
      <c r="N389" s="91"/>
      <c r="O389" s="26"/>
      <c r="P389" s="93"/>
      <c r="Q389" s="26"/>
      <c r="R389" s="95"/>
      <c r="S389" s="27"/>
    </row>
    <row r="390" spans="1:19" x14ac:dyDescent="0.2">
      <c r="A390" s="90" t="s">
        <v>557</v>
      </c>
      <c r="B390" s="91" t="s">
        <v>35</v>
      </c>
      <c r="C390" s="91" t="s">
        <v>313</v>
      </c>
      <c r="D390" s="91" t="s">
        <v>656</v>
      </c>
      <c r="E390" s="92" t="s">
        <v>657</v>
      </c>
      <c r="F390" s="91" t="s">
        <v>329</v>
      </c>
      <c r="G390" s="91" t="s">
        <v>352</v>
      </c>
      <c r="H390" s="91"/>
      <c r="I390" s="91"/>
      <c r="J390" s="91"/>
      <c r="K390" s="93">
        <v>70.3</v>
      </c>
      <c r="L390" s="93"/>
      <c r="M390" s="94"/>
      <c r="N390" s="91"/>
      <c r="O390" s="26"/>
      <c r="P390" s="93"/>
      <c r="Q390" s="26"/>
      <c r="R390" s="95"/>
      <c r="S390" s="27"/>
    </row>
    <row r="391" spans="1:19" x14ac:dyDescent="0.2">
      <c r="A391" s="90" t="s">
        <v>557</v>
      </c>
      <c r="B391" s="91" t="s">
        <v>35</v>
      </c>
      <c r="C391" s="91" t="s">
        <v>313</v>
      </c>
      <c r="D391" s="91" t="s">
        <v>658</v>
      </c>
      <c r="E391" s="92" t="s">
        <v>659</v>
      </c>
      <c r="F391" s="91" t="s">
        <v>329</v>
      </c>
      <c r="G391" s="91" t="s">
        <v>352</v>
      </c>
      <c r="H391" s="91"/>
      <c r="I391" s="91"/>
      <c r="J391" s="91"/>
      <c r="K391" s="93">
        <v>2</v>
      </c>
      <c r="L391" s="93"/>
      <c r="M391" s="94"/>
      <c r="N391" s="91"/>
      <c r="O391" s="26"/>
      <c r="P391" s="93"/>
      <c r="Q391" s="26"/>
      <c r="R391" s="95"/>
      <c r="S391" s="27"/>
    </row>
    <row r="392" spans="1:19" x14ac:dyDescent="0.2">
      <c r="A392" s="90" t="s">
        <v>557</v>
      </c>
      <c r="B392" s="91" t="s">
        <v>35</v>
      </c>
      <c r="C392" s="91" t="s">
        <v>313</v>
      </c>
      <c r="D392" s="91" t="s">
        <v>660</v>
      </c>
      <c r="E392" s="92" t="s">
        <v>661</v>
      </c>
      <c r="F392" s="91" t="s">
        <v>329</v>
      </c>
      <c r="G392" s="91" t="s">
        <v>352</v>
      </c>
      <c r="H392" s="91"/>
      <c r="I392" s="91"/>
      <c r="J392" s="91"/>
      <c r="K392" s="93">
        <v>25.6</v>
      </c>
      <c r="L392" s="93"/>
      <c r="M392" s="94"/>
      <c r="N392" s="91"/>
      <c r="O392" s="26"/>
      <c r="P392" s="93"/>
      <c r="Q392" s="26"/>
      <c r="R392" s="95"/>
      <c r="S392" s="27"/>
    </row>
    <row r="393" spans="1:19" x14ac:dyDescent="0.2">
      <c r="A393" s="90" t="s">
        <v>557</v>
      </c>
      <c r="B393" s="91" t="s">
        <v>35</v>
      </c>
      <c r="C393" s="91" t="s">
        <v>313</v>
      </c>
      <c r="D393" s="91" t="s">
        <v>662</v>
      </c>
      <c r="E393" s="92" t="s">
        <v>663</v>
      </c>
      <c r="F393" s="91" t="s">
        <v>329</v>
      </c>
      <c r="G393" s="91" t="s">
        <v>352</v>
      </c>
      <c r="H393" s="91"/>
      <c r="I393" s="91"/>
      <c r="J393" s="91"/>
      <c r="K393" s="93">
        <v>90.9</v>
      </c>
      <c r="L393" s="93"/>
      <c r="M393" s="94"/>
      <c r="N393" s="91"/>
      <c r="O393" s="26"/>
      <c r="P393" s="93"/>
      <c r="Q393" s="26"/>
      <c r="R393" s="95"/>
      <c r="S393" s="27"/>
    </row>
    <row r="394" spans="1:19" x14ac:dyDescent="0.2">
      <c r="A394" s="90" t="s">
        <v>557</v>
      </c>
      <c r="B394" s="91" t="s">
        <v>35</v>
      </c>
      <c r="C394" s="91" t="s">
        <v>313</v>
      </c>
      <c r="D394" s="91" t="s">
        <v>664</v>
      </c>
      <c r="E394" s="92" t="s">
        <v>665</v>
      </c>
      <c r="F394" s="91" t="s">
        <v>329</v>
      </c>
      <c r="G394" s="91" t="s">
        <v>352</v>
      </c>
      <c r="H394" s="91"/>
      <c r="I394" s="91"/>
      <c r="J394" s="91"/>
      <c r="K394" s="93">
        <v>51.4</v>
      </c>
      <c r="L394" s="93"/>
      <c r="M394" s="94"/>
      <c r="N394" s="91"/>
      <c r="O394" s="26"/>
      <c r="P394" s="93"/>
      <c r="Q394" s="26"/>
      <c r="R394" s="95"/>
      <c r="S394" s="27"/>
    </row>
    <row r="395" spans="1:19" x14ac:dyDescent="0.2">
      <c r="A395" s="90" t="s">
        <v>557</v>
      </c>
      <c r="B395" s="91" t="s">
        <v>35</v>
      </c>
      <c r="C395" s="91" t="s">
        <v>313</v>
      </c>
      <c r="D395" s="91" t="s">
        <v>666</v>
      </c>
      <c r="E395" s="92" t="s">
        <v>667</v>
      </c>
      <c r="F395" s="91" t="s">
        <v>329</v>
      </c>
      <c r="G395" s="91" t="s">
        <v>352</v>
      </c>
      <c r="H395" s="91"/>
      <c r="I395" s="91"/>
      <c r="J395" s="91"/>
      <c r="K395" s="93">
        <v>78.400000000000006</v>
      </c>
      <c r="L395" s="93"/>
      <c r="M395" s="94"/>
      <c r="N395" s="91"/>
      <c r="O395" s="26"/>
      <c r="P395" s="93"/>
      <c r="Q395" s="26"/>
      <c r="R395" s="95"/>
      <c r="S395" s="27"/>
    </row>
    <row r="396" spans="1:19" x14ac:dyDescent="0.2">
      <c r="A396" s="90" t="s">
        <v>557</v>
      </c>
      <c r="B396" s="91" t="s">
        <v>35</v>
      </c>
      <c r="C396" s="91" t="s">
        <v>313</v>
      </c>
      <c r="D396" s="91" t="s">
        <v>668</v>
      </c>
      <c r="E396" s="92" t="s">
        <v>669</v>
      </c>
      <c r="F396" s="91" t="s">
        <v>329</v>
      </c>
      <c r="G396" s="91" t="s">
        <v>252</v>
      </c>
      <c r="H396" s="91" t="s">
        <v>13</v>
      </c>
      <c r="I396" s="91" t="s">
        <v>235</v>
      </c>
      <c r="J396" s="92" t="s">
        <v>253</v>
      </c>
      <c r="K396" s="93">
        <v>20.3</v>
      </c>
      <c r="L396" s="93">
        <f>K396*VLOOKUP(H396,dagsoorttabel1,2,FALSE)</f>
        <v>4.0600000000000005</v>
      </c>
      <c r="M396" s="94">
        <f>prodnorm68</f>
        <v>0</v>
      </c>
      <c r="N396" s="91" t="s">
        <v>101</v>
      </c>
      <c r="O396" s="26">
        <f>uurtarief68</f>
        <v>0</v>
      </c>
      <c r="P396" s="93" t="e">
        <f>IF(ISBLANK(M396),0,L396/ROUND(M396,4))</f>
        <v>#DIV/0!</v>
      </c>
      <c r="Q396" s="26" t="e">
        <f>ROUND(O396,2)*P396</f>
        <v>#DIV/0!</v>
      </c>
      <c r="R396" s="93" t="e">
        <f>P396*dagenperjaar1</f>
        <v>#DIV/0!</v>
      </c>
      <c r="S396" s="27" t="e">
        <f>R396*ROUND(O396,2)</f>
        <v>#DIV/0!</v>
      </c>
    </row>
    <row r="397" spans="1:19" x14ac:dyDescent="0.2">
      <c r="A397" s="90" t="s">
        <v>557</v>
      </c>
      <c r="B397" s="91" t="s">
        <v>35</v>
      </c>
      <c r="C397" s="91" t="s">
        <v>313</v>
      </c>
      <c r="D397" s="91" t="s">
        <v>670</v>
      </c>
      <c r="E397" s="92" t="s">
        <v>493</v>
      </c>
      <c r="F397" s="91" t="s">
        <v>387</v>
      </c>
      <c r="G397" s="91" t="s">
        <v>298</v>
      </c>
      <c r="H397" s="91" t="s">
        <v>13</v>
      </c>
      <c r="I397" s="91" t="s">
        <v>235</v>
      </c>
      <c r="J397" s="92" t="s">
        <v>299</v>
      </c>
      <c r="K397" s="93">
        <v>15.8</v>
      </c>
      <c r="L397" s="93">
        <f>K397*VLOOKUP(H397,dagsoorttabel1,2,FALSE)</f>
        <v>3.16</v>
      </c>
      <c r="M397" s="94">
        <f>prodnorm124</f>
        <v>0</v>
      </c>
      <c r="N397" s="91" t="s">
        <v>101</v>
      </c>
      <c r="O397" s="26">
        <f>uurtarief124</f>
        <v>0</v>
      </c>
      <c r="P397" s="93" t="e">
        <f>IF(ISBLANK(M397),0,L397/ROUND(M397,4))</f>
        <v>#DIV/0!</v>
      </c>
      <c r="Q397" s="26" t="e">
        <f>ROUND(O397,2)*P397</f>
        <v>#DIV/0!</v>
      </c>
      <c r="R397" s="93" t="e">
        <f>P397*dagenperjaar1</f>
        <v>#DIV/0!</v>
      </c>
      <c r="S397" s="27" t="e">
        <f>R397*ROUND(O397,2)</f>
        <v>#DIV/0!</v>
      </c>
    </row>
    <row r="398" spans="1:19" x14ac:dyDescent="0.2">
      <c r="A398" s="90" t="s">
        <v>557</v>
      </c>
      <c r="B398" s="91" t="s">
        <v>35</v>
      </c>
      <c r="C398" s="91" t="s">
        <v>313</v>
      </c>
      <c r="D398" s="91" t="s">
        <v>671</v>
      </c>
      <c r="E398" s="92" t="s">
        <v>318</v>
      </c>
      <c r="F398" s="91" t="s">
        <v>385</v>
      </c>
      <c r="G398" s="91" t="s">
        <v>298</v>
      </c>
      <c r="H398" s="91" t="s">
        <v>13</v>
      </c>
      <c r="I398" s="91" t="s">
        <v>235</v>
      </c>
      <c r="J398" s="92" t="s">
        <v>299</v>
      </c>
      <c r="K398" s="93">
        <v>4.4000000000000004</v>
      </c>
      <c r="L398" s="93">
        <f>K398*VLOOKUP(H398,dagsoorttabel1,2,FALSE)</f>
        <v>0.88000000000000012</v>
      </c>
      <c r="M398" s="94">
        <f>prodnorm124</f>
        <v>0</v>
      </c>
      <c r="N398" s="91" t="s">
        <v>101</v>
      </c>
      <c r="O398" s="26">
        <f>uurtarief124</f>
        <v>0</v>
      </c>
      <c r="P398" s="93" t="e">
        <f>IF(ISBLANK(M398),0,L398/ROUND(M398,4))</f>
        <v>#DIV/0!</v>
      </c>
      <c r="Q398" s="26" t="e">
        <f>ROUND(O398,2)*P398</f>
        <v>#DIV/0!</v>
      </c>
      <c r="R398" s="93" t="e">
        <f>P398*dagenperjaar1</f>
        <v>#DIV/0!</v>
      </c>
      <c r="S398" s="27" t="e">
        <f>R398*ROUND(O398,2)</f>
        <v>#DIV/0!</v>
      </c>
    </row>
    <row r="399" spans="1:19" x14ac:dyDescent="0.2">
      <c r="A399" s="90" t="s">
        <v>557</v>
      </c>
      <c r="B399" s="91" t="s">
        <v>35</v>
      </c>
      <c r="C399" s="91" t="s">
        <v>313</v>
      </c>
      <c r="D399" s="91" t="s">
        <v>672</v>
      </c>
      <c r="E399" s="92" t="s">
        <v>673</v>
      </c>
      <c r="F399" s="91" t="s">
        <v>329</v>
      </c>
      <c r="G399" s="91" t="s">
        <v>252</v>
      </c>
      <c r="H399" s="91" t="s">
        <v>13</v>
      </c>
      <c r="I399" s="91" t="s">
        <v>235</v>
      </c>
      <c r="J399" s="92" t="s">
        <v>253</v>
      </c>
      <c r="K399" s="93">
        <v>44.1</v>
      </c>
      <c r="L399" s="93">
        <f>K399*VLOOKUP(H399,dagsoorttabel1,2,FALSE)</f>
        <v>8.82</v>
      </c>
      <c r="M399" s="94">
        <f>prodnorm68</f>
        <v>0</v>
      </c>
      <c r="N399" s="91" t="s">
        <v>101</v>
      </c>
      <c r="O399" s="26">
        <f>uurtarief68</f>
        <v>0</v>
      </c>
      <c r="P399" s="93" t="e">
        <f>IF(ISBLANK(M399),0,L399/ROUND(M399,4))</f>
        <v>#DIV/0!</v>
      </c>
      <c r="Q399" s="26" t="e">
        <f>ROUND(O399,2)*P399</f>
        <v>#DIV/0!</v>
      </c>
      <c r="R399" s="93" t="e">
        <f>P399*dagenperjaar1</f>
        <v>#DIV/0!</v>
      </c>
      <c r="S399" s="27" t="e">
        <f>R399*ROUND(O399,2)</f>
        <v>#DIV/0!</v>
      </c>
    </row>
    <row r="400" spans="1:19" x14ac:dyDescent="0.2">
      <c r="A400" s="90" t="s">
        <v>557</v>
      </c>
      <c r="B400" s="91" t="s">
        <v>35</v>
      </c>
      <c r="C400" s="91" t="s">
        <v>313</v>
      </c>
      <c r="D400" s="91" t="s">
        <v>674</v>
      </c>
      <c r="E400" s="92" t="s">
        <v>673</v>
      </c>
      <c r="F400" s="91" t="s">
        <v>329</v>
      </c>
      <c r="G400" s="91" t="s">
        <v>252</v>
      </c>
      <c r="H400" s="91" t="s">
        <v>13</v>
      </c>
      <c r="I400" s="91" t="s">
        <v>235</v>
      </c>
      <c r="J400" s="92" t="s">
        <v>253</v>
      </c>
      <c r="K400" s="93">
        <v>40.6</v>
      </c>
      <c r="L400" s="93">
        <f>K400*VLOOKUP(H400,dagsoorttabel1,2,FALSE)</f>
        <v>8.120000000000001</v>
      </c>
      <c r="M400" s="94">
        <f>prodnorm68</f>
        <v>0</v>
      </c>
      <c r="N400" s="91" t="s">
        <v>101</v>
      </c>
      <c r="O400" s="26">
        <f>uurtarief68</f>
        <v>0</v>
      </c>
      <c r="P400" s="93" t="e">
        <f>IF(ISBLANK(M400),0,L400/ROUND(M400,4))</f>
        <v>#DIV/0!</v>
      </c>
      <c r="Q400" s="26" t="e">
        <f>ROUND(O400,2)*P400</f>
        <v>#DIV/0!</v>
      </c>
      <c r="R400" s="93" t="e">
        <f>P400*dagenperjaar1</f>
        <v>#DIV/0!</v>
      </c>
      <c r="S400" s="27" t="e">
        <f>R400*ROUND(O400,2)</f>
        <v>#DIV/0!</v>
      </c>
    </row>
    <row r="401" spans="1:19" x14ac:dyDescent="0.2">
      <c r="A401" s="90" t="s">
        <v>557</v>
      </c>
      <c r="B401" s="91" t="s">
        <v>35</v>
      </c>
      <c r="C401" s="91" t="s">
        <v>313</v>
      </c>
      <c r="D401" s="91" t="s">
        <v>675</v>
      </c>
      <c r="E401" s="92" t="s">
        <v>676</v>
      </c>
      <c r="F401" s="91" t="s">
        <v>329</v>
      </c>
      <c r="G401" s="91" t="s">
        <v>252</v>
      </c>
      <c r="H401" s="91" t="s">
        <v>13</v>
      </c>
      <c r="I401" s="91" t="s">
        <v>235</v>
      </c>
      <c r="J401" s="92" t="s">
        <v>253</v>
      </c>
      <c r="K401" s="93">
        <v>19.2</v>
      </c>
      <c r="L401" s="93">
        <f>K401*VLOOKUP(H401,dagsoorttabel1,2,FALSE)</f>
        <v>3.84</v>
      </c>
      <c r="M401" s="94">
        <f>prodnorm68</f>
        <v>0</v>
      </c>
      <c r="N401" s="91" t="s">
        <v>101</v>
      </c>
      <c r="O401" s="26">
        <f>uurtarief68</f>
        <v>0</v>
      </c>
      <c r="P401" s="93" t="e">
        <f>IF(ISBLANK(M401),0,L401/ROUND(M401,4))</f>
        <v>#DIV/0!</v>
      </c>
      <c r="Q401" s="26" t="e">
        <f>ROUND(O401,2)*P401</f>
        <v>#DIV/0!</v>
      </c>
      <c r="R401" s="93" t="e">
        <f>P401*dagenperjaar1</f>
        <v>#DIV/0!</v>
      </c>
      <c r="S401" s="27" t="e">
        <f>R401*ROUND(O401,2)</f>
        <v>#DIV/0!</v>
      </c>
    </row>
    <row r="402" spans="1:19" x14ac:dyDescent="0.2">
      <c r="A402" s="90" t="s">
        <v>557</v>
      </c>
      <c r="B402" s="91" t="s">
        <v>35</v>
      </c>
      <c r="C402" s="91" t="s">
        <v>343</v>
      </c>
      <c r="D402" s="91" t="s">
        <v>677</v>
      </c>
      <c r="E402" s="92" t="s">
        <v>678</v>
      </c>
      <c r="F402" s="91" t="s">
        <v>329</v>
      </c>
      <c r="G402" s="91" t="s">
        <v>352</v>
      </c>
      <c r="H402" s="91"/>
      <c r="I402" s="91"/>
      <c r="J402" s="91"/>
      <c r="K402" s="93">
        <v>22</v>
      </c>
      <c r="L402" s="93"/>
      <c r="M402" s="94"/>
      <c r="N402" s="91"/>
      <c r="O402" s="26"/>
      <c r="P402" s="93"/>
      <c r="Q402" s="26"/>
      <c r="R402" s="95"/>
      <c r="S402" s="27"/>
    </row>
    <row r="403" spans="1:19" x14ac:dyDescent="0.2">
      <c r="A403" s="90" t="s">
        <v>557</v>
      </c>
      <c r="B403" s="91" t="s">
        <v>35</v>
      </c>
      <c r="C403" s="91" t="s">
        <v>343</v>
      </c>
      <c r="D403" s="91" t="s">
        <v>679</v>
      </c>
      <c r="E403" s="92" t="s">
        <v>680</v>
      </c>
      <c r="F403" s="91" t="s">
        <v>329</v>
      </c>
      <c r="G403" s="91" t="s">
        <v>352</v>
      </c>
      <c r="H403" s="91"/>
      <c r="I403" s="91"/>
      <c r="J403" s="91"/>
      <c r="K403" s="93">
        <v>24.6</v>
      </c>
      <c r="L403" s="93"/>
      <c r="M403" s="94"/>
      <c r="N403" s="91"/>
      <c r="O403" s="26"/>
      <c r="P403" s="93"/>
      <c r="Q403" s="26"/>
      <c r="R403" s="95"/>
      <c r="S403" s="27"/>
    </row>
    <row r="404" spans="1:19" x14ac:dyDescent="0.2">
      <c r="A404" s="90" t="s">
        <v>557</v>
      </c>
      <c r="B404" s="91" t="s">
        <v>35</v>
      </c>
      <c r="C404" s="91" t="s">
        <v>343</v>
      </c>
      <c r="D404" s="91" t="s">
        <v>681</v>
      </c>
      <c r="E404" s="92" t="s">
        <v>573</v>
      </c>
      <c r="F404" s="91" t="s">
        <v>329</v>
      </c>
      <c r="G404" s="91" t="s">
        <v>352</v>
      </c>
      <c r="H404" s="91"/>
      <c r="I404" s="91"/>
      <c r="J404" s="91"/>
      <c r="K404" s="93">
        <v>12.3</v>
      </c>
      <c r="L404" s="93"/>
      <c r="M404" s="94"/>
      <c r="N404" s="91"/>
      <c r="O404" s="26"/>
      <c r="P404" s="93"/>
      <c r="Q404" s="26"/>
      <c r="R404" s="95"/>
      <c r="S404" s="27"/>
    </row>
    <row r="405" spans="1:19" x14ac:dyDescent="0.2">
      <c r="A405" s="90" t="s">
        <v>557</v>
      </c>
      <c r="B405" s="91" t="s">
        <v>35</v>
      </c>
      <c r="C405" s="91" t="s">
        <v>343</v>
      </c>
      <c r="D405" s="91" t="s">
        <v>344</v>
      </c>
      <c r="E405" s="92" t="s">
        <v>560</v>
      </c>
      <c r="F405" s="91" t="s">
        <v>361</v>
      </c>
      <c r="G405" s="91" t="s">
        <v>283</v>
      </c>
      <c r="H405" s="91" t="s">
        <v>9</v>
      </c>
      <c r="I405" s="91" t="s">
        <v>235</v>
      </c>
      <c r="J405" s="92" t="s">
        <v>284</v>
      </c>
      <c r="K405" s="93">
        <v>35</v>
      </c>
      <c r="L405" s="93">
        <f>K405*VLOOKUP(H405,dagsoorttabel1,2,FALSE)</f>
        <v>35</v>
      </c>
      <c r="M405" s="94">
        <f>prodnorm108</f>
        <v>0</v>
      </c>
      <c r="N405" s="91" t="s">
        <v>101</v>
      </c>
      <c r="O405" s="26">
        <f>uurtarief108</f>
        <v>0</v>
      </c>
      <c r="P405" s="93" t="e">
        <f>IF(ISBLANK(M405),0,L405/ROUND(M405,4))</f>
        <v>#DIV/0!</v>
      </c>
      <c r="Q405" s="26" t="e">
        <f>ROUND(O405,2)*P405</f>
        <v>#DIV/0!</v>
      </c>
      <c r="R405" s="93" t="e">
        <f>P405*dagenperjaar1</f>
        <v>#DIV/0!</v>
      </c>
      <c r="S405" s="27" t="e">
        <f>R405*ROUND(O405,2)</f>
        <v>#DIV/0!</v>
      </c>
    </row>
    <row r="406" spans="1:19" x14ac:dyDescent="0.2">
      <c r="A406" s="90" t="s">
        <v>557</v>
      </c>
      <c r="B406" s="91" t="s">
        <v>35</v>
      </c>
      <c r="C406" s="91" t="s">
        <v>343</v>
      </c>
      <c r="D406" s="91" t="s">
        <v>345</v>
      </c>
      <c r="E406" s="92" t="s">
        <v>682</v>
      </c>
      <c r="F406" s="91" t="s">
        <v>329</v>
      </c>
      <c r="G406" s="91" t="s">
        <v>279</v>
      </c>
      <c r="H406" s="91" t="s">
        <v>9</v>
      </c>
      <c r="I406" s="91" t="s">
        <v>235</v>
      </c>
      <c r="J406" s="92" t="s">
        <v>280</v>
      </c>
      <c r="K406" s="93">
        <v>16</v>
      </c>
      <c r="L406" s="93">
        <f>K406*VLOOKUP(H406,dagsoorttabel1,2,FALSE)</f>
        <v>16</v>
      </c>
      <c r="M406" s="94">
        <f>prodnorm102</f>
        <v>0</v>
      </c>
      <c r="N406" s="91" t="s">
        <v>101</v>
      </c>
      <c r="O406" s="26">
        <f>uurtarief102</f>
        <v>0</v>
      </c>
      <c r="P406" s="93" t="e">
        <f>IF(ISBLANK(M406),0,L406/ROUND(M406,4))</f>
        <v>#DIV/0!</v>
      </c>
      <c r="Q406" s="26" t="e">
        <f>ROUND(O406,2)*P406</f>
        <v>#DIV/0!</v>
      </c>
      <c r="R406" s="93" t="e">
        <f>P406*dagenperjaar1</f>
        <v>#DIV/0!</v>
      </c>
      <c r="S406" s="27" t="e">
        <f>R406*ROUND(O406,2)</f>
        <v>#DIV/0!</v>
      </c>
    </row>
    <row r="407" spans="1:19" x14ac:dyDescent="0.2">
      <c r="A407" s="90" t="s">
        <v>557</v>
      </c>
      <c r="B407" s="91" t="s">
        <v>35</v>
      </c>
      <c r="C407" s="91" t="s">
        <v>343</v>
      </c>
      <c r="D407" s="91" t="s">
        <v>348</v>
      </c>
      <c r="E407" s="92" t="s">
        <v>559</v>
      </c>
      <c r="F407" s="91" t="s">
        <v>361</v>
      </c>
      <c r="G407" s="91" t="s">
        <v>298</v>
      </c>
      <c r="H407" s="91" t="s">
        <v>9</v>
      </c>
      <c r="I407" s="91" t="s">
        <v>235</v>
      </c>
      <c r="J407" s="92" t="s">
        <v>299</v>
      </c>
      <c r="K407" s="93">
        <v>25.3</v>
      </c>
      <c r="L407" s="93">
        <f>K407*VLOOKUP(H407,dagsoorttabel1,2,FALSE)</f>
        <v>25.3</v>
      </c>
      <c r="M407" s="94">
        <f>prodnorm126</f>
        <v>0</v>
      </c>
      <c r="N407" s="91" t="s">
        <v>101</v>
      </c>
      <c r="O407" s="26">
        <f>uurtarief126</f>
        <v>0</v>
      </c>
      <c r="P407" s="93" t="e">
        <f>IF(ISBLANK(M407),0,L407/ROUND(M407,4))</f>
        <v>#DIV/0!</v>
      </c>
      <c r="Q407" s="26" t="e">
        <f>ROUND(O407,2)*P407</f>
        <v>#DIV/0!</v>
      </c>
      <c r="R407" s="93" t="e">
        <f>P407*dagenperjaar1</f>
        <v>#DIV/0!</v>
      </c>
      <c r="S407" s="27" t="e">
        <f>R407*ROUND(O407,2)</f>
        <v>#DIV/0!</v>
      </c>
    </row>
    <row r="408" spans="1:19" x14ac:dyDescent="0.2">
      <c r="A408" s="90" t="s">
        <v>557</v>
      </c>
      <c r="B408" s="91" t="s">
        <v>35</v>
      </c>
      <c r="C408" s="91" t="s">
        <v>343</v>
      </c>
      <c r="D408" s="91" t="s">
        <v>350</v>
      </c>
      <c r="E408" s="92" t="s">
        <v>683</v>
      </c>
      <c r="F408" s="91" t="s">
        <v>361</v>
      </c>
      <c r="G408" s="91" t="s">
        <v>352</v>
      </c>
      <c r="H408" s="91"/>
      <c r="I408" s="91"/>
      <c r="J408" s="91"/>
      <c r="K408" s="93">
        <v>2.5</v>
      </c>
      <c r="L408" s="93"/>
      <c r="M408" s="94"/>
      <c r="N408" s="91"/>
      <c r="O408" s="26"/>
      <c r="P408" s="93"/>
      <c r="Q408" s="26"/>
      <c r="R408" s="95"/>
      <c r="S408" s="27"/>
    </row>
    <row r="409" spans="1:19" x14ac:dyDescent="0.2">
      <c r="A409" s="90" t="s">
        <v>557</v>
      </c>
      <c r="B409" s="91" t="s">
        <v>35</v>
      </c>
      <c r="C409" s="91" t="s">
        <v>343</v>
      </c>
      <c r="D409" s="91" t="s">
        <v>355</v>
      </c>
      <c r="E409" s="92" t="s">
        <v>684</v>
      </c>
      <c r="F409" s="91" t="s">
        <v>361</v>
      </c>
      <c r="G409" s="91" t="s">
        <v>296</v>
      </c>
      <c r="H409" s="91" t="s">
        <v>13</v>
      </c>
      <c r="I409" s="91" t="s">
        <v>235</v>
      </c>
      <c r="J409" s="92" t="s">
        <v>297</v>
      </c>
      <c r="K409" s="93">
        <v>10.6</v>
      </c>
      <c r="L409" s="93">
        <f>K409*VLOOKUP(H409,dagsoorttabel1,2,FALSE)</f>
        <v>2.12</v>
      </c>
      <c r="M409" s="94">
        <f>prodnorm122</f>
        <v>0</v>
      </c>
      <c r="N409" s="91" t="s">
        <v>101</v>
      </c>
      <c r="O409" s="26">
        <f>uurtarief122</f>
        <v>0</v>
      </c>
      <c r="P409" s="93" t="e">
        <f>IF(ISBLANK(M409),0,L409/ROUND(M409,4))</f>
        <v>#DIV/0!</v>
      </c>
      <c r="Q409" s="26" t="e">
        <f>ROUND(O409,2)*P409</f>
        <v>#DIV/0!</v>
      </c>
      <c r="R409" s="93" t="e">
        <f>P409*dagenperjaar1</f>
        <v>#DIV/0!</v>
      </c>
      <c r="S409" s="27" t="e">
        <f>R409*ROUND(O409,2)</f>
        <v>#DIV/0!</v>
      </c>
    </row>
    <row r="410" spans="1:19" x14ac:dyDescent="0.2">
      <c r="A410" s="90" t="s">
        <v>557</v>
      </c>
      <c r="B410" s="91" t="s">
        <v>35</v>
      </c>
      <c r="C410" s="91" t="s">
        <v>343</v>
      </c>
      <c r="D410" s="91" t="s">
        <v>379</v>
      </c>
      <c r="E410" s="92" t="s">
        <v>685</v>
      </c>
      <c r="F410" s="91" t="s">
        <v>361</v>
      </c>
      <c r="G410" s="91" t="s">
        <v>296</v>
      </c>
      <c r="H410" s="91" t="s">
        <v>13</v>
      </c>
      <c r="I410" s="91" t="s">
        <v>235</v>
      </c>
      <c r="J410" s="92" t="s">
        <v>297</v>
      </c>
      <c r="K410" s="93">
        <v>10.5</v>
      </c>
      <c r="L410" s="93">
        <f>K410*VLOOKUP(H410,dagsoorttabel1,2,FALSE)</f>
        <v>2.1</v>
      </c>
      <c r="M410" s="94">
        <f>prodnorm122</f>
        <v>0</v>
      </c>
      <c r="N410" s="91" t="s">
        <v>101</v>
      </c>
      <c r="O410" s="26">
        <f>uurtarief122</f>
        <v>0</v>
      </c>
      <c r="P410" s="93" t="e">
        <f>IF(ISBLANK(M410),0,L410/ROUND(M410,4))</f>
        <v>#DIV/0!</v>
      </c>
      <c r="Q410" s="26" t="e">
        <f>ROUND(O410,2)*P410</f>
        <v>#DIV/0!</v>
      </c>
      <c r="R410" s="93" t="e">
        <f>P410*dagenperjaar1</f>
        <v>#DIV/0!</v>
      </c>
      <c r="S410" s="27" t="e">
        <f>R410*ROUND(O410,2)</f>
        <v>#DIV/0!</v>
      </c>
    </row>
    <row r="411" spans="1:19" x14ac:dyDescent="0.2">
      <c r="A411" s="90" t="s">
        <v>557</v>
      </c>
      <c r="B411" s="91" t="s">
        <v>35</v>
      </c>
      <c r="C411" s="91" t="s">
        <v>343</v>
      </c>
      <c r="D411" s="91" t="s">
        <v>405</v>
      </c>
      <c r="E411" s="92" t="s">
        <v>686</v>
      </c>
      <c r="F411" s="91" t="s">
        <v>361</v>
      </c>
      <c r="G411" s="91" t="s">
        <v>296</v>
      </c>
      <c r="H411" s="91" t="s">
        <v>13</v>
      </c>
      <c r="I411" s="91" t="s">
        <v>235</v>
      </c>
      <c r="J411" s="92" t="s">
        <v>297</v>
      </c>
      <c r="K411" s="93">
        <v>10.4</v>
      </c>
      <c r="L411" s="93">
        <f>K411*VLOOKUP(H411,dagsoorttabel1,2,FALSE)</f>
        <v>2.08</v>
      </c>
      <c r="M411" s="94">
        <f>prodnorm122</f>
        <v>0</v>
      </c>
      <c r="N411" s="91" t="s">
        <v>101</v>
      </c>
      <c r="O411" s="26">
        <f>uurtarief122</f>
        <v>0</v>
      </c>
      <c r="P411" s="93" t="e">
        <f>IF(ISBLANK(M411),0,L411/ROUND(M411,4))</f>
        <v>#DIV/0!</v>
      </c>
      <c r="Q411" s="26" t="e">
        <f>ROUND(O411,2)*P411</f>
        <v>#DIV/0!</v>
      </c>
      <c r="R411" s="93" t="e">
        <f>P411*dagenperjaar1</f>
        <v>#DIV/0!</v>
      </c>
      <c r="S411" s="27" t="e">
        <f>R411*ROUND(O411,2)</f>
        <v>#DIV/0!</v>
      </c>
    </row>
    <row r="412" spans="1:19" x14ac:dyDescent="0.2">
      <c r="A412" s="90" t="s">
        <v>557</v>
      </c>
      <c r="B412" s="91" t="s">
        <v>35</v>
      </c>
      <c r="C412" s="91" t="s">
        <v>343</v>
      </c>
      <c r="D412" s="91" t="s">
        <v>406</v>
      </c>
      <c r="E412" s="92" t="s">
        <v>687</v>
      </c>
      <c r="F412" s="91" t="s">
        <v>361</v>
      </c>
      <c r="G412" s="91" t="s">
        <v>296</v>
      </c>
      <c r="H412" s="91" t="s">
        <v>13</v>
      </c>
      <c r="I412" s="91" t="s">
        <v>235</v>
      </c>
      <c r="J412" s="92" t="s">
        <v>297</v>
      </c>
      <c r="K412" s="93">
        <v>10.5</v>
      </c>
      <c r="L412" s="93">
        <f>K412*VLOOKUP(H412,dagsoorttabel1,2,FALSE)</f>
        <v>2.1</v>
      </c>
      <c r="M412" s="94">
        <f>prodnorm122</f>
        <v>0</v>
      </c>
      <c r="N412" s="91" t="s">
        <v>101</v>
      </c>
      <c r="O412" s="26">
        <f>uurtarief122</f>
        <v>0</v>
      </c>
      <c r="P412" s="93" t="e">
        <f>IF(ISBLANK(M412),0,L412/ROUND(M412,4))</f>
        <v>#DIV/0!</v>
      </c>
      <c r="Q412" s="26" t="e">
        <f>ROUND(O412,2)*P412</f>
        <v>#DIV/0!</v>
      </c>
      <c r="R412" s="93" t="e">
        <f>P412*dagenperjaar1</f>
        <v>#DIV/0!</v>
      </c>
      <c r="S412" s="27" t="e">
        <f>R412*ROUND(O412,2)</f>
        <v>#DIV/0!</v>
      </c>
    </row>
    <row r="413" spans="1:19" x14ac:dyDescent="0.2">
      <c r="A413" s="90" t="s">
        <v>557</v>
      </c>
      <c r="B413" s="91" t="s">
        <v>35</v>
      </c>
      <c r="C413" s="91" t="s">
        <v>343</v>
      </c>
      <c r="D413" s="91" t="s">
        <v>407</v>
      </c>
      <c r="E413" s="92" t="s">
        <v>688</v>
      </c>
      <c r="F413" s="91" t="s">
        <v>361</v>
      </c>
      <c r="G413" s="91" t="s">
        <v>296</v>
      </c>
      <c r="H413" s="91" t="s">
        <v>13</v>
      </c>
      <c r="I413" s="91" t="s">
        <v>235</v>
      </c>
      <c r="J413" s="92" t="s">
        <v>297</v>
      </c>
      <c r="K413" s="93">
        <v>11.7</v>
      </c>
      <c r="L413" s="93">
        <f>K413*VLOOKUP(H413,dagsoorttabel1,2,FALSE)</f>
        <v>2.34</v>
      </c>
      <c r="M413" s="94">
        <f>prodnorm122</f>
        <v>0</v>
      </c>
      <c r="N413" s="91" t="s">
        <v>101</v>
      </c>
      <c r="O413" s="26">
        <f>uurtarief122</f>
        <v>0</v>
      </c>
      <c r="P413" s="93" t="e">
        <f>IF(ISBLANK(M413),0,L413/ROUND(M413,4))</f>
        <v>#DIV/0!</v>
      </c>
      <c r="Q413" s="26" t="e">
        <f>ROUND(O413,2)*P413</f>
        <v>#DIV/0!</v>
      </c>
      <c r="R413" s="93" t="e">
        <f>P413*dagenperjaar1</f>
        <v>#DIV/0!</v>
      </c>
      <c r="S413" s="27" t="e">
        <f>R413*ROUND(O413,2)</f>
        <v>#DIV/0!</v>
      </c>
    </row>
    <row r="414" spans="1:19" x14ac:dyDescent="0.2">
      <c r="A414" s="90" t="s">
        <v>557</v>
      </c>
      <c r="B414" s="91" t="s">
        <v>35</v>
      </c>
      <c r="C414" s="91" t="s">
        <v>343</v>
      </c>
      <c r="D414" s="91" t="s">
        <v>408</v>
      </c>
      <c r="E414" s="92" t="s">
        <v>689</v>
      </c>
      <c r="F414" s="91" t="s">
        <v>361</v>
      </c>
      <c r="G414" s="91" t="s">
        <v>296</v>
      </c>
      <c r="H414" s="91" t="s">
        <v>13</v>
      </c>
      <c r="I414" s="91" t="s">
        <v>235</v>
      </c>
      <c r="J414" s="92" t="s">
        <v>297</v>
      </c>
      <c r="K414" s="93">
        <v>10.7</v>
      </c>
      <c r="L414" s="93">
        <f>K414*VLOOKUP(H414,dagsoorttabel1,2,FALSE)</f>
        <v>2.14</v>
      </c>
      <c r="M414" s="94">
        <f>prodnorm122</f>
        <v>0</v>
      </c>
      <c r="N414" s="91" t="s">
        <v>101</v>
      </c>
      <c r="O414" s="26">
        <f>uurtarief122</f>
        <v>0</v>
      </c>
      <c r="P414" s="93" t="e">
        <f>IF(ISBLANK(M414),0,L414/ROUND(M414,4))</f>
        <v>#DIV/0!</v>
      </c>
      <c r="Q414" s="26" t="e">
        <f>ROUND(O414,2)*P414</f>
        <v>#DIV/0!</v>
      </c>
      <c r="R414" s="93" t="e">
        <f>P414*dagenperjaar1</f>
        <v>#DIV/0!</v>
      </c>
      <c r="S414" s="27" t="e">
        <f>R414*ROUND(O414,2)</f>
        <v>#DIV/0!</v>
      </c>
    </row>
    <row r="415" spans="1:19" x14ac:dyDescent="0.2">
      <c r="A415" s="90" t="s">
        <v>557</v>
      </c>
      <c r="B415" s="91" t="s">
        <v>35</v>
      </c>
      <c r="C415" s="91" t="s">
        <v>343</v>
      </c>
      <c r="D415" s="91" t="s">
        <v>409</v>
      </c>
      <c r="E415" s="92" t="s">
        <v>690</v>
      </c>
      <c r="F415" s="91" t="s">
        <v>361</v>
      </c>
      <c r="G415" s="91" t="s">
        <v>296</v>
      </c>
      <c r="H415" s="91" t="s">
        <v>13</v>
      </c>
      <c r="I415" s="91" t="s">
        <v>235</v>
      </c>
      <c r="J415" s="92" t="s">
        <v>297</v>
      </c>
      <c r="K415" s="93">
        <v>10.6</v>
      </c>
      <c r="L415" s="93">
        <f>K415*VLOOKUP(H415,dagsoorttabel1,2,FALSE)</f>
        <v>2.12</v>
      </c>
      <c r="M415" s="94">
        <f>prodnorm122</f>
        <v>0</v>
      </c>
      <c r="N415" s="91" t="s">
        <v>101</v>
      </c>
      <c r="O415" s="26">
        <f>uurtarief122</f>
        <v>0</v>
      </c>
      <c r="P415" s="93" t="e">
        <f>IF(ISBLANK(M415),0,L415/ROUND(M415,4))</f>
        <v>#DIV/0!</v>
      </c>
      <c r="Q415" s="26" t="e">
        <f>ROUND(O415,2)*P415</f>
        <v>#DIV/0!</v>
      </c>
      <c r="R415" s="93" t="e">
        <f>P415*dagenperjaar1</f>
        <v>#DIV/0!</v>
      </c>
      <c r="S415" s="27" t="e">
        <f>R415*ROUND(O415,2)</f>
        <v>#DIV/0!</v>
      </c>
    </row>
    <row r="416" spans="1:19" x14ac:dyDescent="0.2">
      <c r="A416" s="90" t="s">
        <v>557</v>
      </c>
      <c r="B416" s="91" t="s">
        <v>35</v>
      </c>
      <c r="C416" s="91" t="s">
        <v>343</v>
      </c>
      <c r="D416" s="91" t="s">
        <v>691</v>
      </c>
      <c r="E416" s="92" t="s">
        <v>692</v>
      </c>
      <c r="F416" s="91" t="s">
        <v>361</v>
      </c>
      <c r="G416" s="91" t="s">
        <v>296</v>
      </c>
      <c r="H416" s="91" t="s">
        <v>13</v>
      </c>
      <c r="I416" s="91" t="s">
        <v>235</v>
      </c>
      <c r="J416" s="92" t="s">
        <v>297</v>
      </c>
      <c r="K416" s="93">
        <v>11.3</v>
      </c>
      <c r="L416" s="93">
        <f>K416*VLOOKUP(H416,dagsoorttabel1,2,FALSE)</f>
        <v>2.2600000000000002</v>
      </c>
      <c r="M416" s="94">
        <f>prodnorm122</f>
        <v>0</v>
      </c>
      <c r="N416" s="91" t="s">
        <v>101</v>
      </c>
      <c r="O416" s="26">
        <f>uurtarief122</f>
        <v>0</v>
      </c>
      <c r="P416" s="93" t="e">
        <f>IF(ISBLANK(M416),0,L416/ROUND(M416,4))</f>
        <v>#DIV/0!</v>
      </c>
      <c r="Q416" s="26" t="e">
        <f>ROUND(O416,2)*P416</f>
        <v>#DIV/0!</v>
      </c>
      <c r="R416" s="93" t="e">
        <f>P416*dagenperjaar1</f>
        <v>#DIV/0!</v>
      </c>
      <c r="S416" s="27" t="e">
        <f>R416*ROUND(O416,2)</f>
        <v>#DIV/0!</v>
      </c>
    </row>
    <row r="417" spans="1:19" x14ac:dyDescent="0.2">
      <c r="A417" s="90" t="s">
        <v>557</v>
      </c>
      <c r="B417" s="91" t="s">
        <v>35</v>
      </c>
      <c r="C417" s="91" t="s">
        <v>343</v>
      </c>
      <c r="D417" s="91" t="s">
        <v>693</v>
      </c>
      <c r="E417" s="92" t="s">
        <v>694</v>
      </c>
      <c r="F417" s="91" t="s">
        <v>361</v>
      </c>
      <c r="G417" s="91" t="s">
        <v>283</v>
      </c>
      <c r="H417" s="91" t="s">
        <v>13</v>
      </c>
      <c r="I417" s="91" t="s">
        <v>235</v>
      </c>
      <c r="J417" s="92" t="s">
        <v>284</v>
      </c>
      <c r="K417" s="93">
        <v>34.4</v>
      </c>
      <c r="L417" s="93">
        <f>K417*VLOOKUP(H417,dagsoorttabel1,2,FALSE)</f>
        <v>6.88</v>
      </c>
      <c r="M417" s="94">
        <f>prodnorm106</f>
        <v>0</v>
      </c>
      <c r="N417" s="91" t="s">
        <v>101</v>
      </c>
      <c r="O417" s="26">
        <f>uurtarief106</f>
        <v>0</v>
      </c>
      <c r="P417" s="93" t="e">
        <f>IF(ISBLANK(M417),0,L417/ROUND(M417,4))</f>
        <v>#DIV/0!</v>
      </c>
      <c r="Q417" s="26" t="e">
        <f>ROUND(O417,2)*P417</f>
        <v>#DIV/0!</v>
      </c>
      <c r="R417" s="93" t="e">
        <f>P417*dagenperjaar1</f>
        <v>#DIV/0!</v>
      </c>
      <c r="S417" s="27" t="e">
        <f>R417*ROUND(O417,2)</f>
        <v>#DIV/0!</v>
      </c>
    </row>
    <row r="418" spans="1:19" x14ac:dyDescent="0.2">
      <c r="A418" s="90" t="s">
        <v>557</v>
      </c>
      <c r="B418" s="91" t="s">
        <v>35</v>
      </c>
      <c r="C418" s="91" t="s">
        <v>343</v>
      </c>
      <c r="D418" s="91" t="s">
        <v>695</v>
      </c>
      <c r="E418" s="92" t="s">
        <v>696</v>
      </c>
      <c r="F418" s="91" t="s">
        <v>387</v>
      </c>
      <c r="G418" s="91" t="s">
        <v>270</v>
      </c>
      <c r="H418" s="91" t="s">
        <v>13</v>
      </c>
      <c r="I418" s="91" t="s">
        <v>235</v>
      </c>
      <c r="J418" s="92" t="s">
        <v>271</v>
      </c>
      <c r="K418" s="93">
        <v>62</v>
      </c>
      <c r="L418" s="93">
        <f>K418*VLOOKUP(H418,dagsoorttabel1,2,FALSE)</f>
        <v>12.4</v>
      </c>
      <c r="M418" s="94">
        <f>prodnorm89</f>
        <v>0</v>
      </c>
      <c r="N418" s="91" t="s">
        <v>101</v>
      </c>
      <c r="O418" s="26">
        <f>uurtarief89</f>
        <v>0</v>
      </c>
      <c r="P418" s="93" t="e">
        <f>IF(ISBLANK(M418),0,L418/ROUND(M418,4))</f>
        <v>#DIV/0!</v>
      </c>
      <c r="Q418" s="26" t="e">
        <f>ROUND(O418,2)*P418</f>
        <v>#DIV/0!</v>
      </c>
      <c r="R418" s="93" t="e">
        <f>P418*dagenperjaar1</f>
        <v>#DIV/0!</v>
      </c>
      <c r="S418" s="27" t="e">
        <f>R418*ROUND(O418,2)</f>
        <v>#DIV/0!</v>
      </c>
    </row>
    <row r="419" spans="1:19" x14ac:dyDescent="0.2">
      <c r="A419" s="90" t="s">
        <v>557</v>
      </c>
      <c r="B419" s="91" t="s">
        <v>35</v>
      </c>
      <c r="C419" s="91" t="s">
        <v>343</v>
      </c>
      <c r="D419" s="91" t="s">
        <v>697</v>
      </c>
      <c r="E419" s="92" t="s">
        <v>696</v>
      </c>
      <c r="F419" s="91" t="s">
        <v>387</v>
      </c>
      <c r="G419" s="91" t="s">
        <v>270</v>
      </c>
      <c r="H419" s="91" t="s">
        <v>13</v>
      </c>
      <c r="I419" s="91" t="s">
        <v>235</v>
      </c>
      <c r="J419" s="92" t="s">
        <v>271</v>
      </c>
      <c r="K419" s="93">
        <v>30.6</v>
      </c>
      <c r="L419" s="93">
        <f>K419*VLOOKUP(H419,dagsoorttabel1,2,FALSE)</f>
        <v>6.120000000000001</v>
      </c>
      <c r="M419" s="94">
        <f>prodnorm89</f>
        <v>0</v>
      </c>
      <c r="N419" s="91" t="s">
        <v>101</v>
      </c>
      <c r="O419" s="26">
        <f>uurtarief89</f>
        <v>0</v>
      </c>
      <c r="P419" s="93" t="e">
        <f>IF(ISBLANK(M419),0,L419/ROUND(M419,4))</f>
        <v>#DIV/0!</v>
      </c>
      <c r="Q419" s="26" t="e">
        <f>ROUND(O419,2)*P419</f>
        <v>#DIV/0!</v>
      </c>
      <c r="R419" s="93" t="e">
        <f>P419*dagenperjaar1</f>
        <v>#DIV/0!</v>
      </c>
      <c r="S419" s="27" t="e">
        <f>R419*ROUND(O419,2)</f>
        <v>#DIV/0!</v>
      </c>
    </row>
    <row r="420" spans="1:19" x14ac:dyDescent="0.2">
      <c r="A420" s="90" t="s">
        <v>557</v>
      </c>
      <c r="B420" s="91" t="s">
        <v>35</v>
      </c>
      <c r="C420" s="91" t="s">
        <v>343</v>
      </c>
      <c r="D420" s="91" t="s">
        <v>698</v>
      </c>
      <c r="E420" s="92" t="s">
        <v>699</v>
      </c>
      <c r="F420" s="91" t="s">
        <v>329</v>
      </c>
      <c r="G420" s="91" t="s">
        <v>279</v>
      </c>
      <c r="H420" s="91" t="s">
        <v>9</v>
      </c>
      <c r="I420" s="91" t="s">
        <v>235</v>
      </c>
      <c r="J420" s="92" t="s">
        <v>280</v>
      </c>
      <c r="K420" s="93">
        <v>5.3</v>
      </c>
      <c r="L420" s="93">
        <f>K420*VLOOKUP(H420,dagsoorttabel1,2,FALSE)</f>
        <v>5.3</v>
      </c>
      <c r="M420" s="94">
        <f>prodnorm102</f>
        <v>0</v>
      </c>
      <c r="N420" s="91" t="s">
        <v>101</v>
      </c>
      <c r="O420" s="26">
        <f>uurtarief102</f>
        <v>0</v>
      </c>
      <c r="P420" s="93" t="e">
        <f>IF(ISBLANK(M420),0,L420/ROUND(M420,4))</f>
        <v>#DIV/0!</v>
      </c>
      <c r="Q420" s="26" t="e">
        <f>ROUND(O420,2)*P420</f>
        <v>#DIV/0!</v>
      </c>
      <c r="R420" s="93" t="e">
        <f>P420*dagenperjaar1</f>
        <v>#DIV/0!</v>
      </c>
      <c r="S420" s="27" t="e">
        <f>R420*ROUND(O420,2)</f>
        <v>#DIV/0!</v>
      </c>
    </row>
    <row r="421" spans="1:19" x14ac:dyDescent="0.2">
      <c r="A421" s="90" t="s">
        <v>557</v>
      </c>
      <c r="B421" s="91" t="s">
        <v>35</v>
      </c>
      <c r="C421" s="91" t="s">
        <v>343</v>
      </c>
      <c r="D421" s="91" t="s">
        <v>700</v>
      </c>
      <c r="E421" s="92" t="s">
        <v>560</v>
      </c>
      <c r="F421" s="91" t="s">
        <v>361</v>
      </c>
      <c r="G421" s="91" t="s">
        <v>283</v>
      </c>
      <c r="H421" s="91" t="s">
        <v>9</v>
      </c>
      <c r="I421" s="91" t="s">
        <v>235</v>
      </c>
      <c r="J421" s="92" t="s">
        <v>284</v>
      </c>
      <c r="K421" s="93">
        <v>21.9</v>
      </c>
      <c r="L421" s="93">
        <f>K421*VLOOKUP(H421,dagsoorttabel1,2,FALSE)</f>
        <v>21.9</v>
      </c>
      <c r="M421" s="94">
        <f>prodnorm108</f>
        <v>0</v>
      </c>
      <c r="N421" s="91" t="s">
        <v>101</v>
      </c>
      <c r="O421" s="26">
        <f>uurtarief108</f>
        <v>0</v>
      </c>
      <c r="P421" s="93" t="e">
        <f>IF(ISBLANK(M421),0,L421/ROUND(M421,4))</f>
        <v>#DIV/0!</v>
      </c>
      <c r="Q421" s="26" t="e">
        <f>ROUND(O421,2)*P421</f>
        <v>#DIV/0!</v>
      </c>
      <c r="R421" s="93" t="e">
        <f>P421*dagenperjaar1</f>
        <v>#DIV/0!</v>
      </c>
      <c r="S421" s="27" t="e">
        <f>R421*ROUND(O421,2)</f>
        <v>#DIV/0!</v>
      </c>
    </row>
    <row r="422" spans="1:19" x14ac:dyDescent="0.2">
      <c r="A422" s="90" t="s">
        <v>557</v>
      </c>
      <c r="B422" s="91" t="s">
        <v>35</v>
      </c>
      <c r="C422" s="91" t="s">
        <v>343</v>
      </c>
      <c r="D422" s="91" t="s">
        <v>701</v>
      </c>
      <c r="E422" s="92" t="s">
        <v>560</v>
      </c>
      <c r="F422" s="91" t="s">
        <v>361</v>
      </c>
      <c r="G422" s="91" t="s">
        <v>283</v>
      </c>
      <c r="H422" s="91" t="s">
        <v>9</v>
      </c>
      <c r="I422" s="91" t="s">
        <v>235</v>
      </c>
      <c r="J422" s="92" t="s">
        <v>284</v>
      </c>
      <c r="K422" s="93">
        <v>32.9</v>
      </c>
      <c r="L422" s="93">
        <f>K422*VLOOKUP(H422,dagsoorttabel1,2,FALSE)</f>
        <v>32.9</v>
      </c>
      <c r="M422" s="94">
        <f>prodnorm108</f>
        <v>0</v>
      </c>
      <c r="N422" s="91" t="s">
        <v>101</v>
      </c>
      <c r="O422" s="26">
        <f>uurtarief108</f>
        <v>0</v>
      </c>
      <c r="P422" s="93" t="e">
        <f>IF(ISBLANK(M422),0,L422/ROUND(M422,4))</f>
        <v>#DIV/0!</v>
      </c>
      <c r="Q422" s="26" t="e">
        <f>ROUND(O422,2)*P422</f>
        <v>#DIV/0!</v>
      </c>
      <c r="R422" s="93" t="e">
        <f>P422*dagenperjaar1</f>
        <v>#DIV/0!</v>
      </c>
      <c r="S422" s="27" t="e">
        <f>R422*ROUND(O422,2)</f>
        <v>#DIV/0!</v>
      </c>
    </row>
    <row r="423" spans="1:19" x14ac:dyDescent="0.2">
      <c r="A423" s="90" t="s">
        <v>557</v>
      </c>
      <c r="B423" s="91" t="s">
        <v>35</v>
      </c>
      <c r="C423" s="91" t="s">
        <v>343</v>
      </c>
      <c r="D423" s="91" t="s">
        <v>702</v>
      </c>
      <c r="E423" s="92" t="s">
        <v>703</v>
      </c>
      <c r="F423" s="91" t="s">
        <v>361</v>
      </c>
      <c r="G423" s="91" t="s">
        <v>239</v>
      </c>
      <c r="H423" s="91" t="s">
        <v>13</v>
      </c>
      <c r="I423" s="91" t="s">
        <v>235</v>
      </c>
      <c r="J423" s="92" t="s">
        <v>240</v>
      </c>
      <c r="K423" s="93">
        <v>27.6</v>
      </c>
      <c r="L423" s="93">
        <f>K423*VLOOKUP(H423,dagsoorttabel1,2,FALSE)</f>
        <v>5.5200000000000005</v>
      </c>
      <c r="M423" s="94">
        <f>prodnorm53</f>
        <v>0</v>
      </c>
      <c r="N423" s="91" t="s">
        <v>101</v>
      </c>
      <c r="O423" s="26">
        <f>uurtarief53</f>
        <v>0</v>
      </c>
      <c r="P423" s="93" t="e">
        <f>IF(ISBLANK(M423),0,L423/ROUND(M423,4))</f>
        <v>#DIV/0!</v>
      </c>
      <c r="Q423" s="26" t="e">
        <f>ROUND(O423,2)*P423</f>
        <v>#DIV/0!</v>
      </c>
      <c r="R423" s="93" t="e">
        <f>P423*dagenperjaar1</f>
        <v>#DIV/0!</v>
      </c>
      <c r="S423" s="27" t="e">
        <f>R423*ROUND(O423,2)</f>
        <v>#DIV/0!</v>
      </c>
    </row>
    <row r="424" spans="1:19" x14ac:dyDescent="0.2">
      <c r="A424" s="90" t="s">
        <v>557</v>
      </c>
      <c r="B424" s="91" t="s">
        <v>35</v>
      </c>
      <c r="C424" s="91" t="s">
        <v>343</v>
      </c>
      <c r="D424" s="91" t="s">
        <v>704</v>
      </c>
      <c r="E424" s="92" t="s">
        <v>705</v>
      </c>
      <c r="F424" s="91" t="s">
        <v>361</v>
      </c>
      <c r="G424" s="91" t="s">
        <v>239</v>
      </c>
      <c r="H424" s="91" t="s">
        <v>13</v>
      </c>
      <c r="I424" s="91" t="s">
        <v>235</v>
      </c>
      <c r="J424" s="92" t="s">
        <v>240</v>
      </c>
      <c r="K424" s="93">
        <v>10.8</v>
      </c>
      <c r="L424" s="93">
        <f>K424*VLOOKUP(H424,dagsoorttabel1,2,FALSE)</f>
        <v>2.16</v>
      </c>
      <c r="M424" s="94">
        <f>prodnorm53</f>
        <v>0</v>
      </c>
      <c r="N424" s="91" t="s">
        <v>101</v>
      </c>
      <c r="O424" s="26">
        <f>uurtarief53</f>
        <v>0</v>
      </c>
      <c r="P424" s="93" t="e">
        <f>IF(ISBLANK(M424),0,L424/ROUND(M424,4))</f>
        <v>#DIV/0!</v>
      </c>
      <c r="Q424" s="26" t="e">
        <f>ROUND(O424,2)*P424</f>
        <v>#DIV/0!</v>
      </c>
      <c r="R424" s="93" t="e">
        <f>P424*dagenperjaar1</f>
        <v>#DIV/0!</v>
      </c>
      <c r="S424" s="27" t="e">
        <f>R424*ROUND(O424,2)</f>
        <v>#DIV/0!</v>
      </c>
    </row>
    <row r="425" spans="1:19" x14ac:dyDescent="0.2">
      <c r="A425" s="90" t="s">
        <v>557</v>
      </c>
      <c r="B425" s="91" t="s">
        <v>35</v>
      </c>
      <c r="C425" s="91" t="s">
        <v>343</v>
      </c>
      <c r="D425" s="91" t="s">
        <v>706</v>
      </c>
      <c r="E425" s="92" t="s">
        <v>707</v>
      </c>
      <c r="F425" s="91" t="s">
        <v>361</v>
      </c>
      <c r="G425" s="91" t="s">
        <v>239</v>
      </c>
      <c r="H425" s="91" t="s">
        <v>13</v>
      </c>
      <c r="I425" s="91" t="s">
        <v>235</v>
      </c>
      <c r="J425" s="92" t="s">
        <v>240</v>
      </c>
      <c r="K425" s="93">
        <v>10.7</v>
      </c>
      <c r="L425" s="93">
        <f>K425*VLOOKUP(H425,dagsoorttabel1,2,FALSE)</f>
        <v>2.14</v>
      </c>
      <c r="M425" s="94">
        <f>prodnorm53</f>
        <v>0</v>
      </c>
      <c r="N425" s="91" t="s">
        <v>101</v>
      </c>
      <c r="O425" s="26">
        <f>uurtarief53</f>
        <v>0</v>
      </c>
      <c r="P425" s="93" t="e">
        <f>IF(ISBLANK(M425),0,L425/ROUND(M425,4))</f>
        <v>#DIV/0!</v>
      </c>
      <c r="Q425" s="26" t="e">
        <f>ROUND(O425,2)*P425</f>
        <v>#DIV/0!</v>
      </c>
      <c r="R425" s="93" t="e">
        <f>P425*dagenperjaar1</f>
        <v>#DIV/0!</v>
      </c>
      <c r="S425" s="27" t="e">
        <f>R425*ROUND(O425,2)</f>
        <v>#DIV/0!</v>
      </c>
    </row>
    <row r="426" spans="1:19" x14ac:dyDescent="0.2">
      <c r="A426" s="90" t="s">
        <v>557</v>
      </c>
      <c r="B426" s="91" t="s">
        <v>35</v>
      </c>
      <c r="C426" s="91" t="s">
        <v>343</v>
      </c>
      <c r="D426" s="91" t="s">
        <v>708</v>
      </c>
      <c r="E426" s="92" t="s">
        <v>709</v>
      </c>
      <c r="F426" s="91" t="s">
        <v>361</v>
      </c>
      <c r="G426" s="91" t="s">
        <v>239</v>
      </c>
      <c r="H426" s="91" t="s">
        <v>13</v>
      </c>
      <c r="I426" s="91" t="s">
        <v>235</v>
      </c>
      <c r="J426" s="92" t="s">
        <v>240</v>
      </c>
      <c r="K426" s="93">
        <v>21.4</v>
      </c>
      <c r="L426" s="93">
        <f>K426*VLOOKUP(H426,dagsoorttabel1,2,FALSE)</f>
        <v>4.28</v>
      </c>
      <c r="M426" s="94">
        <f>prodnorm53</f>
        <v>0</v>
      </c>
      <c r="N426" s="91" t="s">
        <v>101</v>
      </c>
      <c r="O426" s="26">
        <f>uurtarief53</f>
        <v>0</v>
      </c>
      <c r="P426" s="93" t="e">
        <f>IF(ISBLANK(M426),0,L426/ROUND(M426,4))</f>
        <v>#DIV/0!</v>
      </c>
      <c r="Q426" s="26" t="e">
        <f>ROUND(O426,2)*P426</f>
        <v>#DIV/0!</v>
      </c>
      <c r="R426" s="93" t="e">
        <f>P426*dagenperjaar1</f>
        <v>#DIV/0!</v>
      </c>
      <c r="S426" s="27" t="e">
        <f>R426*ROUND(O426,2)</f>
        <v>#DIV/0!</v>
      </c>
    </row>
    <row r="427" spans="1:19" x14ac:dyDescent="0.2">
      <c r="A427" s="90" t="s">
        <v>557</v>
      </c>
      <c r="B427" s="91" t="s">
        <v>35</v>
      </c>
      <c r="C427" s="91" t="s">
        <v>343</v>
      </c>
      <c r="D427" s="91" t="s">
        <v>710</v>
      </c>
      <c r="E427" s="92" t="s">
        <v>711</v>
      </c>
      <c r="F427" s="91" t="s">
        <v>387</v>
      </c>
      <c r="G427" s="91" t="s">
        <v>241</v>
      </c>
      <c r="H427" s="91" t="s">
        <v>9</v>
      </c>
      <c r="I427" s="91" t="s">
        <v>235</v>
      </c>
      <c r="J427" s="92" t="s">
        <v>243</v>
      </c>
      <c r="K427" s="93">
        <v>42</v>
      </c>
      <c r="L427" s="93">
        <f>K427*VLOOKUP(H427,dagsoorttabel1,2,FALSE)</f>
        <v>42</v>
      </c>
      <c r="M427" s="94">
        <f>prodnorm57</f>
        <v>0</v>
      </c>
      <c r="N427" s="91" t="s">
        <v>101</v>
      </c>
      <c r="O427" s="26">
        <f>uurtarief57</f>
        <v>0</v>
      </c>
      <c r="P427" s="93" t="e">
        <f>IF(ISBLANK(M427),0,L427/ROUND(M427,4))</f>
        <v>#DIV/0!</v>
      </c>
      <c r="Q427" s="26" t="e">
        <f>ROUND(O427,2)*P427</f>
        <v>#DIV/0!</v>
      </c>
      <c r="R427" s="93" t="e">
        <f>P427*dagenperjaar1</f>
        <v>#DIV/0!</v>
      </c>
      <c r="S427" s="27" t="e">
        <f>R427*ROUND(O427,2)</f>
        <v>#DIV/0!</v>
      </c>
    </row>
    <row r="428" spans="1:19" x14ac:dyDescent="0.2">
      <c r="A428" s="90" t="s">
        <v>557</v>
      </c>
      <c r="B428" s="91" t="s">
        <v>35</v>
      </c>
      <c r="C428" s="91" t="s">
        <v>343</v>
      </c>
      <c r="D428" s="91" t="s">
        <v>712</v>
      </c>
      <c r="E428" s="92" t="s">
        <v>713</v>
      </c>
      <c r="F428" s="91" t="s">
        <v>387</v>
      </c>
      <c r="G428" s="91" t="s">
        <v>241</v>
      </c>
      <c r="H428" s="91" t="s">
        <v>9</v>
      </c>
      <c r="I428" s="91" t="s">
        <v>235</v>
      </c>
      <c r="J428" s="92" t="s">
        <v>243</v>
      </c>
      <c r="K428" s="93">
        <v>24.4</v>
      </c>
      <c r="L428" s="93">
        <f>K428*VLOOKUP(H428,dagsoorttabel1,2,FALSE)</f>
        <v>24.4</v>
      </c>
      <c r="M428" s="94">
        <f>prodnorm57</f>
        <v>0</v>
      </c>
      <c r="N428" s="91" t="s">
        <v>101</v>
      </c>
      <c r="O428" s="26">
        <f>uurtarief57</f>
        <v>0</v>
      </c>
      <c r="P428" s="93" t="e">
        <f>IF(ISBLANK(M428),0,L428/ROUND(M428,4))</f>
        <v>#DIV/0!</v>
      </c>
      <c r="Q428" s="26" t="e">
        <f>ROUND(O428,2)*P428</f>
        <v>#DIV/0!</v>
      </c>
      <c r="R428" s="93" t="e">
        <f>P428*dagenperjaar1</f>
        <v>#DIV/0!</v>
      </c>
      <c r="S428" s="27" t="e">
        <f>R428*ROUND(O428,2)</f>
        <v>#DIV/0!</v>
      </c>
    </row>
    <row r="429" spans="1:19" x14ac:dyDescent="0.2">
      <c r="A429" s="90" t="s">
        <v>557</v>
      </c>
      <c r="B429" s="91" t="s">
        <v>35</v>
      </c>
      <c r="C429" s="91" t="s">
        <v>343</v>
      </c>
      <c r="D429" s="91" t="s">
        <v>714</v>
      </c>
      <c r="E429" s="92" t="s">
        <v>713</v>
      </c>
      <c r="F429" s="91" t="s">
        <v>387</v>
      </c>
      <c r="G429" s="91" t="s">
        <v>241</v>
      </c>
      <c r="H429" s="91" t="s">
        <v>9</v>
      </c>
      <c r="I429" s="91" t="s">
        <v>235</v>
      </c>
      <c r="J429" s="92" t="s">
        <v>243</v>
      </c>
      <c r="K429" s="93">
        <v>24.4</v>
      </c>
      <c r="L429" s="93">
        <f>K429*VLOOKUP(H429,dagsoorttabel1,2,FALSE)</f>
        <v>24.4</v>
      </c>
      <c r="M429" s="94">
        <f>prodnorm57</f>
        <v>0</v>
      </c>
      <c r="N429" s="91" t="s">
        <v>101</v>
      </c>
      <c r="O429" s="26">
        <f>uurtarief57</f>
        <v>0</v>
      </c>
      <c r="P429" s="93" t="e">
        <f>IF(ISBLANK(M429),0,L429/ROUND(M429,4))</f>
        <v>#DIV/0!</v>
      </c>
      <c r="Q429" s="26" t="e">
        <f>ROUND(O429,2)*P429</f>
        <v>#DIV/0!</v>
      </c>
      <c r="R429" s="93" t="e">
        <f>P429*dagenperjaar1</f>
        <v>#DIV/0!</v>
      </c>
      <c r="S429" s="27" t="e">
        <f>R429*ROUND(O429,2)</f>
        <v>#DIV/0!</v>
      </c>
    </row>
    <row r="430" spans="1:19" x14ac:dyDescent="0.2">
      <c r="A430" s="90" t="s">
        <v>557</v>
      </c>
      <c r="B430" s="91" t="s">
        <v>35</v>
      </c>
      <c r="C430" s="91" t="s">
        <v>343</v>
      </c>
      <c r="D430" s="91" t="s">
        <v>715</v>
      </c>
      <c r="E430" s="92" t="s">
        <v>713</v>
      </c>
      <c r="F430" s="91" t="s">
        <v>387</v>
      </c>
      <c r="G430" s="91" t="s">
        <v>241</v>
      </c>
      <c r="H430" s="91" t="s">
        <v>9</v>
      </c>
      <c r="I430" s="91" t="s">
        <v>235</v>
      </c>
      <c r="J430" s="92" t="s">
        <v>243</v>
      </c>
      <c r="K430" s="93">
        <v>19</v>
      </c>
      <c r="L430" s="93">
        <f>K430*VLOOKUP(H430,dagsoorttabel1,2,FALSE)</f>
        <v>19</v>
      </c>
      <c r="M430" s="94">
        <f>prodnorm57</f>
        <v>0</v>
      </c>
      <c r="N430" s="91" t="s">
        <v>101</v>
      </c>
      <c r="O430" s="26">
        <f>uurtarief57</f>
        <v>0</v>
      </c>
      <c r="P430" s="93" t="e">
        <f>IF(ISBLANK(M430),0,L430/ROUND(M430,4))</f>
        <v>#DIV/0!</v>
      </c>
      <c r="Q430" s="26" t="e">
        <f>ROUND(O430,2)*P430</f>
        <v>#DIV/0!</v>
      </c>
      <c r="R430" s="93" t="e">
        <f>P430*dagenperjaar1</f>
        <v>#DIV/0!</v>
      </c>
      <c r="S430" s="27" t="e">
        <f>R430*ROUND(O430,2)</f>
        <v>#DIV/0!</v>
      </c>
    </row>
    <row r="431" spans="1:19" x14ac:dyDescent="0.2">
      <c r="A431" s="90" t="s">
        <v>557</v>
      </c>
      <c r="B431" s="91" t="s">
        <v>35</v>
      </c>
      <c r="C431" s="91" t="s">
        <v>343</v>
      </c>
      <c r="D431" s="91" t="s">
        <v>716</v>
      </c>
      <c r="E431" s="92" t="s">
        <v>717</v>
      </c>
      <c r="F431" s="91" t="s">
        <v>361</v>
      </c>
      <c r="G431" s="91" t="s">
        <v>262</v>
      </c>
      <c r="H431" s="91" t="s">
        <v>9</v>
      </c>
      <c r="I431" s="91" t="s">
        <v>235</v>
      </c>
      <c r="J431" s="92" t="s">
        <v>263</v>
      </c>
      <c r="K431" s="93">
        <v>27.7</v>
      </c>
      <c r="L431" s="93">
        <f>K431*VLOOKUP(H431,dagsoorttabel1,2,FALSE)</f>
        <v>27.7</v>
      </c>
      <c r="M431" s="94">
        <f>prodnorm80</f>
        <v>0</v>
      </c>
      <c r="N431" s="91" t="s">
        <v>101</v>
      </c>
      <c r="O431" s="26">
        <f>uurtarief80</f>
        <v>0</v>
      </c>
      <c r="P431" s="93" t="e">
        <f>IF(ISBLANK(M431),0,L431/ROUND(M431,4))</f>
        <v>#DIV/0!</v>
      </c>
      <c r="Q431" s="26" t="e">
        <f>ROUND(O431,2)*P431</f>
        <v>#DIV/0!</v>
      </c>
      <c r="R431" s="93" t="e">
        <f>P431*dagenperjaar1</f>
        <v>#DIV/0!</v>
      </c>
      <c r="S431" s="27" t="e">
        <f>R431*ROUND(O431,2)</f>
        <v>#DIV/0!</v>
      </c>
    </row>
    <row r="432" spans="1:19" x14ac:dyDescent="0.2">
      <c r="A432" s="90" t="s">
        <v>557</v>
      </c>
      <c r="B432" s="91" t="s">
        <v>35</v>
      </c>
      <c r="C432" s="91" t="s">
        <v>343</v>
      </c>
      <c r="D432" s="91" t="s">
        <v>718</v>
      </c>
      <c r="E432" s="92" t="s">
        <v>375</v>
      </c>
      <c r="F432" s="91" t="s">
        <v>361</v>
      </c>
      <c r="G432" s="91" t="s">
        <v>268</v>
      </c>
      <c r="H432" s="91" t="s">
        <v>9</v>
      </c>
      <c r="I432" s="91" t="s">
        <v>235</v>
      </c>
      <c r="J432" s="92" t="s">
        <v>269</v>
      </c>
      <c r="K432" s="93">
        <v>2.5</v>
      </c>
      <c r="L432" s="93">
        <f>K432*VLOOKUP(H432,dagsoorttabel1,2,FALSE)</f>
        <v>2.5</v>
      </c>
      <c r="M432" s="94">
        <f>prodnorm88</f>
        <v>0</v>
      </c>
      <c r="N432" s="91" t="s">
        <v>101</v>
      </c>
      <c r="O432" s="26">
        <f>uurtarief88</f>
        <v>0</v>
      </c>
      <c r="P432" s="93" t="e">
        <f>IF(ISBLANK(M432),0,L432/ROUND(M432,4))</f>
        <v>#DIV/0!</v>
      </c>
      <c r="Q432" s="26" t="e">
        <f>ROUND(O432,2)*P432</f>
        <v>#DIV/0!</v>
      </c>
      <c r="R432" s="93" t="e">
        <f>P432*dagenperjaar1</f>
        <v>#DIV/0!</v>
      </c>
      <c r="S432" s="27" t="e">
        <f>R432*ROUND(O432,2)</f>
        <v>#DIV/0!</v>
      </c>
    </row>
    <row r="433" spans="1:19" x14ac:dyDescent="0.2">
      <c r="A433" s="90" t="s">
        <v>557</v>
      </c>
      <c r="B433" s="91" t="s">
        <v>35</v>
      </c>
      <c r="C433" s="91" t="s">
        <v>343</v>
      </c>
      <c r="D433" s="91" t="s">
        <v>719</v>
      </c>
      <c r="E433" s="92" t="s">
        <v>720</v>
      </c>
      <c r="F433" s="91" t="s">
        <v>387</v>
      </c>
      <c r="G433" s="91" t="s">
        <v>241</v>
      </c>
      <c r="H433" s="91" t="s">
        <v>9</v>
      </c>
      <c r="I433" s="91" t="s">
        <v>235</v>
      </c>
      <c r="J433" s="92" t="s">
        <v>243</v>
      </c>
      <c r="K433" s="93">
        <v>5.2</v>
      </c>
      <c r="L433" s="93">
        <f>K433*VLOOKUP(H433,dagsoorttabel1,2,FALSE)</f>
        <v>5.2</v>
      </c>
      <c r="M433" s="94">
        <f>prodnorm57</f>
        <v>0</v>
      </c>
      <c r="N433" s="91" t="s">
        <v>101</v>
      </c>
      <c r="O433" s="26">
        <f>uurtarief57</f>
        <v>0</v>
      </c>
      <c r="P433" s="93" t="e">
        <f>IF(ISBLANK(M433),0,L433/ROUND(M433,4))</f>
        <v>#DIV/0!</v>
      </c>
      <c r="Q433" s="26" t="e">
        <f>ROUND(O433,2)*P433</f>
        <v>#DIV/0!</v>
      </c>
      <c r="R433" s="93" t="e">
        <f>P433*dagenperjaar1</f>
        <v>#DIV/0!</v>
      </c>
      <c r="S433" s="27" t="e">
        <f>R433*ROUND(O433,2)</f>
        <v>#DIV/0!</v>
      </c>
    </row>
    <row r="434" spans="1:19" x14ac:dyDescent="0.2">
      <c r="A434" s="90" t="s">
        <v>557</v>
      </c>
      <c r="B434" s="91" t="s">
        <v>35</v>
      </c>
      <c r="C434" s="91" t="s">
        <v>343</v>
      </c>
      <c r="D434" s="91" t="s">
        <v>721</v>
      </c>
      <c r="E434" s="92" t="s">
        <v>722</v>
      </c>
      <c r="F434" s="91" t="s">
        <v>387</v>
      </c>
      <c r="G434" s="91" t="s">
        <v>237</v>
      </c>
      <c r="H434" s="91" t="s">
        <v>9</v>
      </c>
      <c r="I434" s="91" t="s">
        <v>235</v>
      </c>
      <c r="J434" s="92" t="s">
        <v>238</v>
      </c>
      <c r="K434" s="93">
        <v>3.3</v>
      </c>
      <c r="L434" s="93">
        <f>K434*VLOOKUP(H434,dagsoorttabel1,2,FALSE)</f>
        <v>3.3</v>
      </c>
      <c r="M434" s="94">
        <f>prodnorm52</f>
        <v>0</v>
      </c>
      <c r="N434" s="91" t="s">
        <v>101</v>
      </c>
      <c r="O434" s="26">
        <f>uurtarief52</f>
        <v>0</v>
      </c>
      <c r="P434" s="93" t="e">
        <f>IF(ISBLANK(M434),0,L434/ROUND(M434,4))</f>
        <v>#DIV/0!</v>
      </c>
      <c r="Q434" s="26" t="e">
        <f>ROUND(O434,2)*P434</f>
        <v>#DIV/0!</v>
      </c>
      <c r="R434" s="93" t="e">
        <f>P434*dagenperjaar1</f>
        <v>#DIV/0!</v>
      </c>
      <c r="S434" s="27" t="e">
        <f>R434*ROUND(O434,2)</f>
        <v>#DIV/0!</v>
      </c>
    </row>
    <row r="435" spans="1:19" x14ac:dyDescent="0.2">
      <c r="A435" s="90" t="s">
        <v>557</v>
      </c>
      <c r="B435" s="91" t="s">
        <v>35</v>
      </c>
      <c r="C435" s="91" t="s">
        <v>343</v>
      </c>
      <c r="D435" s="91" t="s">
        <v>723</v>
      </c>
      <c r="E435" s="92" t="s">
        <v>722</v>
      </c>
      <c r="F435" s="91" t="s">
        <v>387</v>
      </c>
      <c r="G435" s="91" t="s">
        <v>237</v>
      </c>
      <c r="H435" s="91" t="s">
        <v>9</v>
      </c>
      <c r="I435" s="91" t="s">
        <v>235</v>
      </c>
      <c r="J435" s="92" t="s">
        <v>238</v>
      </c>
      <c r="K435" s="93">
        <v>3.3</v>
      </c>
      <c r="L435" s="93">
        <f>K435*VLOOKUP(H435,dagsoorttabel1,2,FALSE)</f>
        <v>3.3</v>
      </c>
      <c r="M435" s="94">
        <f>prodnorm52</f>
        <v>0</v>
      </c>
      <c r="N435" s="91" t="s">
        <v>101</v>
      </c>
      <c r="O435" s="26">
        <f>uurtarief52</f>
        <v>0</v>
      </c>
      <c r="P435" s="93" t="e">
        <f>IF(ISBLANK(M435),0,L435/ROUND(M435,4))</f>
        <v>#DIV/0!</v>
      </c>
      <c r="Q435" s="26" t="e">
        <f>ROUND(O435,2)*P435</f>
        <v>#DIV/0!</v>
      </c>
      <c r="R435" s="93" t="e">
        <f>P435*dagenperjaar1</f>
        <v>#DIV/0!</v>
      </c>
      <c r="S435" s="27" t="e">
        <f>R435*ROUND(O435,2)</f>
        <v>#DIV/0!</v>
      </c>
    </row>
    <row r="436" spans="1:19" x14ac:dyDescent="0.2">
      <c r="A436" s="90" t="s">
        <v>557</v>
      </c>
      <c r="B436" s="91" t="s">
        <v>35</v>
      </c>
      <c r="C436" s="91" t="s">
        <v>343</v>
      </c>
      <c r="D436" s="91" t="s">
        <v>724</v>
      </c>
      <c r="E436" s="92" t="s">
        <v>720</v>
      </c>
      <c r="F436" s="91" t="s">
        <v>387</v>
      </c>
      <c r="G436" s="91" t="s">
        <v>241</v>
      </c>
      <c r="H436" s="91" t="s">
        <v>9</v>
      </c>
      <c r="I436" s="91" t="s">
        <v>235</v>
      </c>
      <c r="J436" s="92" t="s">
        <v>243</v>
      </c>
      <c r="K436" s="93">
        <v>5.2</v>
      </c>
      <c r="L436" s="93">
        <f>K436*VLOOKUP(H436,dagsoorttabel1,2,FALSE)</f>
        <v>5.2</v>
      </c>
      <c r="M436" s="94">
        <f>prodnorm57</f>
        <v>0</v>
      </c>
      <c r="N436" s="91" t="s">
        <v>101</v>
      </c>
      <c r="O436" s="26">
        <f>uurtarief57</f>
        <v>0</v>
      </c>
      <c r="P436" s="93" t="e">
        <f>IF(ISBLANK(M436),0,L436/ROUND(M436,4))</f>
        <v>#DIV/0!</v>
      </c>
      <c r="Q436" s="26" t="e">
        <f>ROUND(O436,2)*P436</f>
        <v>#DIV/0!</v>
      </c>
      <c r="R436" s="93" t="e">
        <f>P436*dagenperjaar1</f>
        <v>#DIV/0!</v>
      </c>
      <c r="S436" s="27" t="e">
        <f>R436*ROUND(O436,2)</f>
        <v>#DIV/0!</v>
      </c>
    </row>
    <row r="437" spans="1:19" ht="25.2" x14ac:dyDescent="0.2">
      <c r="A437" s="90" t="s">
        <v>557</v>
      </c>
      <c r="B437" s="91" t="s">
        <v>35</v>
      </c>
      <c r="C437" s="91" t="s">
        <v>343</v>
      </c>
      <c r="D437" s="91" t="s">
        <v>725</v>
      </c>
      <c r="E437" s="92" t="s">
        <v>410</v>
      </c>
      <c r="F437" s="91" t="s">
        <v>387</v>
      </c>
      <c r="G437" s="91" t="s">
        <v>250</v>
      </c>
      <c r="H437" s="91" t="s">
        <v>9</v>
      </c>
      <c r="I437" s="91" t="s">
        <v>235</v>
      </c>
      <c r="J437" s="92" t="s">
        <v>251</v>
      </c>
      <c r="K437" s="93">
        <v>15.2</v>
      </c>
      <c r="L437" s="93">
        <f>K437*VLOOKUP(H437,dagsoorttabel1,2,FALSE)</f>
        <v>15.2</v>
      </c>
      <c r="M437" s="94">
        <f>prodnorm66</f>
        <v>0</v>
      </c>
      <c r="N437" s="91" t="s">
        <v>101</v>
      </c>
      <c r="O437" s="26">
        <f>uurtarief66</f>
        <v>0</v>
      </c>
      <c r="P437" s="93" t="e">
        <f>IF(ISBLANK(M437),0,L437/ROUND(M437,4))</f>
        <v>#DIV/0!</v>
      </c>
      <c r="Q437" s="26" t="e">
        <f>ROUND(O437,2)*P437</f>
        <v>#DIV/0!</v>
      </c>
      <c r="R437" s="93" t="e">
        <f>P437*dagenperjaar1</f>
        <v>#DIV/0!</v>
      </c>
      <c r="S437" s="27" t="e">
        <f>R437*ROUND(O437,2)</f>
        <v>#DIV/0!</v>
      </c>
    </row>
    <row r="438" spans="1:19" ht="25.2" x14ac:dyDescent="0.2">
      <c r="A438" s="90" t="s">
        <v>557</v>
      </c>
      <c r="B438" s="91" t="s">
        <v>35</v>
      </c>
      <c r="C438" s="91" t="s">
        <v>343</v>
      </c>
      <c r="D438" s="91" t="s">
        <v>726</v>
      </c>
      <c r="E438" s="92" t="s">
        <v>410</v>
      </c>
      <c r="F438" s="91" t="s">
        <v>387</v>
      </c>
      <c r="G438" s="91" t="s">
        <v>250</v>
      </c>
      <c r="H438" s="91" t="s">
        <v>9</v>
      </c>
      <c r="I438" s="91" t="s">
        <v>235</v>
      </c>
      <c r="J438" s="92" t="s">
        <v>251</v>
      </c>
      <c r="K438" s="93">
        <v>7.9</v>
      </c>
      <c r="L438" s="93">
        <f>K438*VLOOKUP(H438,dagsoorttabel1,2,FALSE)</f>
        <v>7.9</v>
      </c>
      <c r="M438" s="94">
        <f>prodnorm66</f>
        <v>0</v>
      </c>
      <c r="N438" s="91" t="s">
        <v>101</v>
      </c>
      <c r="O438" s="26">
        <f>uurtarief66</f>
        <v>0</v>
      </c>
      <c r="P438" s="93" t="e">
        <f>IF(ISBLANK(M438),0,L438/ROUND(M438,4))</f>
        <v>#DIV/0!</v>
      </c>
      <c r="Q438" s="26" t="e">
        <f>ROUND(O438,2)*P438</f>
        <v>#DIV/0!</v>
      </c>
      <c r="R438" s="93" t="e">
        <f>P438*dagenperjaar1</f>
        <v>#DIV/0!</v>
      </c>
      <c r="S438" s="27" t="e">
        <f>R438*ROUND(O438,2)</f>
        <v>#DIV/0!</v>
      </c>
    </row>
    <row r="439" spans="1:19" ht="25.2" x14ac:dyDescent="0.2">
      <c r="A439" s="90" t="s">
        <v>557</v>
      </c>
      <c r="B439" s="91" t="s">
        <v>35</v>
      </c>
      <c r="C439" s="91" t="s">
        <v>343</v>
      </c>
      <c r="D439" s="91" t="s">
        <v>727</v>
      </c>
      <c r="E439" s="92" t="s">
        <v>410</v>
      </c>
      <c r="F439" s="91" t="s">
        <v>387</v>
      </c>
      <c r="G439" s="91" t="s">
        <v>250</v>
      </c>
      <c r="H439" s="91" t="s">
        <v>9</v>
      </c>
      <c r="I439" s="91" t="s">
        <v>235</v>
      </c>
      <c r="J439" s="92" t="s">
        <v>251</v>
      </c>
      <c r="K439" s="93">
        <v>7.9</v>
      </c>
      <c r="L439" s="93">
        <f>K439*VLOOKUP(H439,dagsoorttabel1,2,FALSE)</f>
        <v>7.9</v>
      </c>
      <c r="M439" s="94">
        <f>prodnorm66</f>
        <v>0</v>
      </c>
      <c r="N439" s="91" t="s">
        <v>101</v>
      </c>
      <c r="O439" s="26">
        <f>uurtarief66</f>
        <v>0</v>
      </c>
      <c r="P439" s="93" t="e">
        <f>IF(ISBLANK(M439),0,L439/ROUND(M439,4))</f>
        <v>#DIV/0!</v>
      </c>
      <c r="Q439" s="26" t="e">
        <f>ROUND(O439,2)*P439</f>
        <v>#DIV/0!</v>
      </c>
      <c r="R439" s="93" t="e">
        <f>P439*dagenperjaar1</f>
        <v>#DIV/0!</v>
      </c>
      <c r="S439" s="27" t="e">
        <f>R439*ROUND(O439,2)</f>
        <v>#DIV/0!</v>
      </c>
    </row>
    <row r="440" spans="1:19" x14ac:dyDescent="0.2">
      <c r="A440" s="90" t="s">
        <v>557</v>
      </c>
      <c r="B440" s="91" t="s">
        <v>35</v>
      </c>
      <c r="C440" s="91" t="s">
        <v>343</v>
      </c>
      <c r="D440" s="91" t="s">
        <v>728</v>
      </c>
      <c r="E440" s="92" t="s">
        <v>699</v>
      </c>
      <c r="F440" s="91" t="s">
        <v>329</v>
      </c>
      <c r="G440" s="91" t="s">
        <v>279</v>
      </c>
      <c r="H440" s="91" t="s">
        <v>9</v>
      </c>
      <c r="I440" s="91" t="s">
        <v>235</v>
      </c>
      <c r="J440" s="92" t="s">
        <v>280</v>
      </c>
      <c r="K440" s="93">
        <v>7.2</v>
      </c>
      <c r="L440" s="93">
        <f>K440*VLOOKUP(H440,dagsoorttabel1,2,FALSE)</f>
        <v>7.2</v>
      </c>
      <c r="M440" s="94">
        <f>prodnorm102</f>
        <v>0</v>
      </c>
      <c r="N440" s="91" t="s">
        <v>101</v>
      </c>
      <c r="O440" s="26">
        <f>uurtarief102</f>
        <v>0</v>
      </c>
      <c r="P440" s="93" t="e">
        <f>IF(ISBLANK(M440),0,L440/ROUND(M440,4))</f>
        <v>#DIV/0!</v>
      </c>
      <c r="Q440" s="26" t="e">
        <f>ROUND(O440,2)*P440</f>
        <v>#DIV/0!</v>
      </c>
      <c r="R440" s="93" t="e">
        <f>P440*dagenperjaar1</f>
        <v>#DIV/0!</v>
      </c>
      <c r="S440" s="27" t="e">
        <f>R440*ROUND(O440,2)</f>
        <v>#DIV/0!</v>
      </c>
    </row>
    <row r="441" spans="1:19" x14ac:dyDescent="0.2">
      <c r="A441" s="90" t="s">
        <v>557</v>
      </c>
      <c r="B441" s="91" t="s">
        <v>35</v>
      </c>
      <c r="C441" s="91" t="s">
        <v>343</v>
      </c>
      <c r="D441" s="91" t="s">
        <v>729</v>
      </c>
      <c r="E441" s="92" t="s">
        <v>493</v>
      </c>
      <c r="F441" s="91" t="s">
        <v>361</v>
      </c>
      <c r="G441" s="91" t="s">
        <v>298</v>
      </c>
      <c r="H441" s="91" t="s">
        <v>9</v>
      </c>
      <c r="I441" s="91" t="s">
        <v>235</v>
      </c>
      <c r="J441" s="92" t="s">
        <v>299</v>
      </c>
      <c r="K441" s="93">
        <v>12.1</v>
      </c>
      <c r="L441" s="93">
        <f>K441*VLOOKUP(H441,dagsoorttabel1,2,FALSE)</f>
        <v>12.1</v>
      </c>
      <c r="M441" s="94">
        <f>prodnorm126</f>
        <v>0</v>
      </c>
      <c r="N441" s="91" t="s">
        <v>101</v>
      </c>
      <c r="O441" s="26">
        <f>uurtarief126</f>
        <v>0</v>
      </c>
      <c r="P441" s="93" t="e">
        <f>IF(ISBLANK(M441),0,L441/ROUND(M441,4))</f>
        <v>#DIV/0!</v>
      </c>
      <c r="Q441" s="26" t="e">
        <f>ROUND(O441,2)*P441</f>
        <v>#DIV/0!</v>
      </c>
      <c r="R441" s="93" t="e">
        <f>P441*dagenperjaar1</f>
        <v>#DIV/0!</v>
      </c>
      <c r="S441" s="27" t="e">
        <f>R441*ROUND(O441,2)</f>
        <v>#DIV/0!</v>
      </c>
    </row>
    <row r="442" spans="1:19" x14ac:dyDescent="0.2">
      <c r="A442" s="90" t="s">
        <v>557</v>
      </c>
      <c r="B442" s="91" t="s">
        <v>35</v>
      </c>
      <c r="C442" s="91" t="s">
        <v>343</v>
      </c>
      <c r="D442" s="91" t="s">
        <v>730</v>
      </c>
      <c r="E442" s="92" t="s">
        <v>318</v>
      </c>
      <c r="F442" s="91" t="s">
        <v>385</v>
      </c>
      <c r="G442" s="91" t="s">
        <v>298</v>
      </c>
      <c r="H442" s="91" t="s">
        <v>9</v>
      </c>
      <c r="I442" s="91" t="s">
        <v>235</v>
      </c>
      <c r="J442" s="92" t="s">
        <v>299</v>
      </c>
      <c r="K442" s="93">
        <v>8.8000000000000007</v>
      </c>
      <c r="L442" s="93">
        <f>K442*VLOOKUP(H442,dagsoorttabel1,2,FALSE)</f>
        <v>8.8000000000000007</v>
      </c>
      <c r="M442" s="94">
        <f>prodnorm126</f>
        <v>0</v>
      </c>
      <c r="N442" s="91" t="s">
        <v>101</v>
      </c>
      <c r="O442" s="26">
        <f>uurtarief126</f>
        <v>0</v>
      </c>
      <c r="P442" s="93" t="e">
        <f>IF(ISBLANK(M442),0,L442/ROUND(M442,4))</f>
        <v>#DIV/0!</v>
      </c>
      <c r="Q442" s="26" t="e">
        <f>ROUND(O442,2)*P442</f>
        <v>#DIV/0!</v>
      </c>
      <c r="R442" s="93" t="e">
        <f>P442*dagenperjaar1</f>
        <v>#DIV/0!</v>
      </c>
      <c r="S442" s="27" t="e">
        <f>R442*ROUND(O442,2)</f>
        <v>#DIV/0!</v>
      </c>
    </row>
    <row r="443" spans="1:19" ht="25.2" x14ac:dyDescent="0.2">
      <c r="A443" s="90" t="s">
        <v>557</v>
      </c>
      <c r="B443" s="91" t="s">
        <v>35</v>
      </c>
      <c r="C443" s="91" t="s">
        <v>343</v>
      </c>
      <c r="D443" s="91" t="s">
        <v>731</v>
      </c>
      <c r="E443" s="92" t="s">
        <v>360</v>
      </c>
      <c r="F443" s="91" t="s">
        <v>361</v>
      </c>
      <c r="G443" s="91" t="s">
        <v>293</v>
      </c>
      <c r="H443" s="91" t="s">
        <v>13</v>
      </c>
      <c r="I443" s="91" t="s">
        <v>235</v>
      </c>
      <c r="J443" s="92" t="s">
        <v>294</v>
      </c>
      <c r="K443" s="93">
        <v>4.9000000000000004</v>
      </c>
      <c r="L443" s="93">
        <f>K443*VLOOKUP(H443,dagsoorttabel1,2,FALSE)</f>
        <v>0.98000000000000009</v>
      </c>
      <c r="M443" s="94">
        <f>prodnorm119</f>
        <v>0</v>
      </c>
      <c r="N443" s="91" t="s">
        <v>101</v>
      </c>
      <c r="O443" s="26">
        <f>uurtarief119</f>
        <v>0</v>
      </c>
      <c r="P443" s="93" t="e">
        <f>IF(ISBLANK(M443),0,L443/ROUND(M443,4))</f>
        <v>#DIV/0!</v>
      </c>
      <c r="Q443" s="26" t="e">
        <f>ROUND(O443,2)*P443</f>
        <v>#DIV/0!</v>
      </c>
      <c r="R443" s="93" t="e">
        <f>P443*dagenperjaar1</f>
        <v>#DIV/0!</v>
      </c>
      <c r="S443" s="27" t="e">
        <f>R443*ROUND(O443,2)</f>
        <v>#DIV/0!</v>
      </c>
    </row>
    <row r="444" spans="1:19" x14ac:dyDescent="0.2">
      <c r="A444" s="90" t="s">
        <v>557</v>
      </c>
      <c r="B444" s="91" t="s">
        <v>35</v>
      </c>
      <c r="C444" s="91" t="s">
        <v>343</v>
      </c>
      <c r="D444" s="91" t="s">
        <v>732</v>
      </c>
      <c r="E444" s="92" t="s">
        <v>560</v>
      </c>
      <c r="F444" s="91" t="s">
        <v>361</v>
      </c>
      <c r="G444" s="91" t="s">
        <v>283</v>
      </c>
      <c r="H444" s="91" t="s">
        <v>9</v>
      </c>
      <c r="I444" s="91" t="s">
        <v>235</v>
      </c>
      <c r="J444" s="92" t="s">
        <v>284</v>
      </c>
      <c r="K444" s="93">
        <v>55.3</v>
      </c>
      <c r="L444" s="93">
        <f>K444*VLOOKUP(H444,dagsoorttabel1,2,FALSE)</f>
        <v>55.3</v>
      </c>
      <c r="M444" s="94">
        <f>prodnorm108</f>
        <v>0</v>
      </c>
      <c r="N444" s="91" t="s">
        <v>101</v>
      </c>
      <c r="O444" s="26">
        <f>uurtarief108</f>
        <v>0</v>
      </c>
      <c r="P444" s="93" t="e">
        <f>IF(ISBLANK(M444),0,L444/ROUND(M444,4))</f>
        <v>#DIV/0!</v>
      </c>
      <c r="Q444" s="26" t="e">
        <f>ROUND(O444,2)*P444</f>
        <v>#DIV/0!</v>
      </c>
      <c r="R444" s="93" t="e">
        <f>P444*dagenperjaar1</f>
        <v>#DIV/0!</v>
      </c>
      <c r="S444" s="27" t="e">
        <f>R444*ROUND(O444,2)</f>
        <v>#DIV/0!</v>
      </c>
    </row>
    <row r="445" spans="1:19" x14ac:dyDescent="0.2">
      <c r="A445" s="90" t="s">
        <v>557</v>
      </c>
      <c r="B445" s="91" t="s">
        <v>35</v>
      </c>
      <c r="C445" s="91" t="s">
        <v>343</v>
      </c>
      <c r="D445" s="91" t="s">
        <v>733</v>
      </c>
      <c r="E445" s="92" t="s">
        <v>734</v>
      </c>
      <c r="F445" s="91" t="s">
        <v>329</v>
      </c>
      <c r="G445" s="91" t="s">
        <v>352</v>
      </c>
      <c r="H445" s="91"/>
      <c r="I445" s="91"/>
      <c r="J445" s="91"/>
      <c r="K445" s="93">
        <v>10.3</v>
      </c>
      <c r="L445" s="93"/>
      <c r="M445" s="94"/>
      <c r="N445" s="91"/>
      <c r="O445" s="26"/>
      <c r="P445" s="93"/>
      <c r="Q445" s="26"/>
      <c r="R445" s="95"/>
      <c r="S445" s="27"/>
    </row>
    <row r="446" spans="1:19" x14ac:dyDescent="0.2">
      <c r="A446" s="90" t="s">
        <v>557</v>
      </c>
      <c r="B446" s="91" t="s">
        <v>35</v>
      </c>
      <c r="C446" s="91" t="s">
        <v>343</v>
      </c>
      <c r="D446" s="91" t="s">
        <v>735</v>
      </c>
      <c r="E446" s="92" t="s">
        <v>736</v>
      </c>
      <c r="F446" s="91" t="s">
        <v>329</v>
      </c>
      <c r="G446" s="91" t="s">
        <v>264</v>
      </c>
      <c r="H446" s="91" t="s">
        <v>21</v>
      </c>
      <c r="I446" s="91" t="s">
        <v>235</v>
      </c>
      <c r="J446" s="92" t="s">
        <v>265</v>
      </c>
      <c r="K446" s="93">
        <v>32.200000000000003</v>
      </c>
      <c r="L446" s="93">
        <f>K446*VLOOKUP(H446,dagsoorttabel1,2,FALSE)</f>
        <v>0.12384615384615387</v>
      </c>
      <c r="M446" s="94">
        <f>prodnorm81</f>
        <v>0</v>
      </c>
      <c r="N446" s="91" t="s">
        <v>101</v>
      </c>
      <c r="O446" s="26">
        <f>uurtarief81</f>
        <v>0</v>
      </c>
      <c r="P446" s="93" t="e">
        <f>IF(ISBLANK(M446),0,L446/ROUND(M446,4))</f>
        <v>#DIV/0!</v>
      </c>
      <c r="Q446" s="26" t="e">
        <f>ROUND(O446,2)*P446</f>
        <v>#DIV/0!</v>
      </c>
      <c r="R446" s="93" t="e">
        <f>P446*dagenperjaar1</f>
        <v>#DIV/0!</v>
      </c>
      <c r="S446" s="27" t="e">
        <f>R446*ROUND(O446,2)</f>
        <v>#DIV/0!</v>
      </c>
    </row>
    <row r="447" spans="1:19" x14ac:dyDescent="0.2">
      <c r="A447" s="90" t="s">
        <v>557</v>
      </c>
      <c r="B447" s="91" t="s">
        <v>35</v>
      </c>
      <c r="C447" s="91" t="s">
        <v>343</v>
      </c>
      <c r="D447" s="91" t="s">
        <v>737</v>
      </c>
      <c r="E447" s="92" t="s">
        <v>738</v>
      </c>
      <c r="F447" s="91" t="s">
        <v>329</v>
      </c>
      <c r="G447" s="91" t="s">
        <v>264</v>
      </c>
      <c r="H447" s="91" t="s">
        <v>21</v>
      </c>
      <c r="I447" s="91" t="s">
        <v>235</v>
      </c>
      <c r="J447" s="92" t="s">
        <v>265</v>
      </c>
      <c r="K447" s="93">
        <v>21.8</v>
      </c>
      <c r="L447" s="93">
        <f>K447*VLOOKUP(H447,dagsoorttabel1,2,FALSE)</f>
        <v>8.3846153846153848E-2</v>
      </c>
      <c r="M447" s="94">
        <f>prodnorm81</f>
        <v>0</v>
      </c>
      <c r="N447" s="91" t="s">
        <v>101</v>
      </c>
      <c r="O447" s="26">
        <f>uurtarief81</f>
        <v>0</v>
      </c>
      <c r="P447" s="93" t="e">
        <f>IF(ISBLANK(M447),0,L447/ROUND(M447,4))</f>
        <v>#DIV/0!</v>
      </c>
      <c r="Q447" s="26" t="e">
        <f>ROUND(O447,2)*P447</f>
        <v>#DIV/0!</v>
      </c>
      <c r="R447" s="93" t="e">
        <f>P447*dagenperjaar1</f>
        <v>#DIV/0!</v>
      </c>
      <c r="S447" s="27" t="e">
        <f>R447*ROUND(O447,2)</f>
        <v>#DIV/0!</v>
      </c>
    </row>
    <row r="448" spans="1:19" x14ac:dyDescent="0.2">
      <c r="A448" s="90" t="s">
        <v>557</v>
      </c>
      <c r="B448" s="91" t="s">
        <v>35</v>
      </c>
      <c r="C448" s="91" t="s">
        <v>343</v>
      </c>
      <c r="D448" s="91" t="s">
        <v>739</v>
      </c>
      <c r="E448" s="92" t="s">
        <v>351</v>
      </c>
      <c r="F448" s="91" t="s">
        <v>329</v>
      </c>
      <c r="G448" s="91" t="s">
        <v>264</v>
      </c>
      <c r="H448" s="91" t="s">
        <v>21</v>
      </c>
      <c r="I448" s="91" t="s">
        <v>235</v>
      </c>
      <c r="J448" s="92" t="s">
        <v>265</v>
      </c>
      <c r="K448" s="93">
        <v>16.600000000000001</v>
      </c>
      <c r="L448" s="93">
        <f>K448*VLOOKUP(H448,dagsoorttabel1,2,FALSE)</f>
        <v>6.3846153846153858E-2</v>
      </c>
      <c r="M448" s="94">
        <f>prodnorm81</f>
        <v>0</v>
      </c>
      <c r="N448" s="91" t="s">
        <v>101</v>
      </c>
      <c r="O448" s="26">
        <f>uurtarief81</f>
        <v>0</v>
      </c>
      <c r="P448" s="93" t="e">
        <f>IF(ISBLANK(M448),0,L448/ROUND(M448,4))</f>
        <v>#DIV/0!</v>
      </c>
      <c r="Q448" s="26" t="e">
        <f>ROUND(O448,2)*P448</f>
        <v>#DIV/0!</v>
      </c>
      <c r="R448" s="93" t="e">
        <f>P448*dagenperjaar1</f>
        <v>#DIV/0!</v>
      </c>
      <c r="S448" s="27" t="e">
        <f>R448*ROUND(O448,2)</f>
        <v>#DIV/0!</v>
      </c>
    </row>
    <row r="449" spans="1:19" x14ac:dyDescent="0.2">
      <c r="A449" s="90" t="s">
        <v>557</v>
      </c>
      <c r="B449" s="91" t="s">
        <v>35</v>
      </c>
      <c r="C449" s="91" t="s">
        <v>343</v>
      </c>
      <c r="D449" s="91" t="s">
        <v>740</v>
      </c>
      <c r="E449" s="92" t="s">
        <v>648</v>
      </c>
      <c r="F449" s="91" t="s">
        <v>329</v>
      </c>
      <c r="G449" s="91" t="s">
        <v>264</v>
      </c>
      <c r="H449" s="91" t="s">
        <v>21</v>
      </c>
      <c r="I449" s="91" t="s">
        <v>235</v>
      </c>
      <c r="J449" s="92" t="s">
        <v>265</v>
      </c>
      <c r="K449" s="93">
        <v>54.9</v>
      </c>
      <c r="L449" s="93">
        <f>K449*VLOOKUP(H449,dagsoorttabel1,2,FALSE)</f>
        <v>0.21115384615384616</v>
      </c>
      <c r="M449" s="94">
        <f>prodnorm81</f>
        <v>0</v>
      </c>
      <c r="N449" s="91" t="s">
        <v>101</v>
      </c>
      <c r="O449" s="26">
        <f>uurtarief81</f>
        <v>0</v>
      </c>
      <c r="P449" s="93" t="e">
        <f>IF(ISBLANK(M449),0,L449/ROUND(M449,4))</f>
        <v>#DIV/0!</v>
      </c>
      <c r="Q449" s="26" t="e">
        <f>ROUND(O449,2)*P449</f>
        <v>#DIV/0!</v>
      </c>
      <c r="R449" s="93" t="e">
        <f>P449*dagenperjaar1</f>
        <v>#DIV/0!</v>
      </c>
      <c r="S449" s="27" t="e">
        <f>R449*ROUND(O449,2)</f>
        <v>#DIV/0!</v>
      </c>
    </row>
    <row r="450" spans="1:19" x14ac:dyDescent="0.2">
      <c r="A450" s="90" t="s">
        <v>557</v>
      </c>
      <c r="B450" s="91" t="s">
        <v>35</v>
      </c>
      <c r="C450" s="91" t="s">
        <v>343</v>
      </c>
      <c r="D450" s="91" t="s">
        <v>741</v>
      </c>
      <c r="E450" s="92" t="s">
        <v>559</v>
      </c>
      <c r="F450" s="91" t="s">
        <v>385</v>
      </c>
      <c r="G450" s="91" t="s">
        <v>298</v>
      </c>
      <c r="H450" s="91" t="s">
        <v>13</v>
      </c>
      <c r="I450" s="91" t="s">
        <v>235</v>
      </c>
      <c r="J450" s="92" t="s">
        <v>299</v>
      </c>
      <c r="K450" s="93">
        <v>19</v>
      </c>
      <c r="L450" s="93">
        <f>K450*VLOOKUP(H450,dagsoorttabel1,2,FALSE)</f>
        <v>3.8000000000000003</v>
      </c>
      <c r="M450" s="94">
        <f>prodnorm124</f>
        <v>0</v>
      </c>
      <c r="N450" s="91" t="s">
        <v>101</v>
      </c>
      <c r="O450" s="26">
        <f>uurtarief124</f>
        <v>0</v>
      </c>
      <c r="P450" s="93" t="e">
        <f>IF(ISBLANK(M450),0,L450/ROUND(M450,4))</f>
        <v>#DIV/0!</v>
      </c>
      <c r="Q450" s="26" t="e">
        <f>ROUND(O450,2)*P450</f>
        <v>#DIV/0!</v>
      </c>
      <c r="R450" s="93" t="e">
        <f>P450*dagenperjaar1</f>
        <v>#DIV/0!</v>
      </c>
      <c r="S450" s="27" t="e">
        <f>R450*ROUND(O450,2)</f>
        <v>#DIV/0!</v>
      </c>
    </row>
    <row r="451" spans="1:19" x14ac:dyDescent="0.2">
      <c r="A451" s="90" t="s">
        <v>557</v>
      </c>
      <c r="B451" s="91" t="s">
        <v>35</v>
      </c>
      <c r="C451" s="91" t="s">
        <v>343</v>
      </c>
      <c r="D451" s="91" t="s">
        <v>742</v>
      </c>
      <c r="E451" s="92" t="s">
        <v>743</v>
      </c>
      <c r="F451" s="91" t="s">
        <v>387</v>
      </c>
      <c r="G451" s="91" t="s">
        <v>246</v>
      </c>
      <c r="H451" s="91" t="s">
        <v>13</v>
      </c>
      <c r="I451" s="91" t="s">
        <v>235</v>
      </c>
      <c r="J451" s="92" t="s">
        <v>247</v>
      </c>
      <c r="K451" s="93">
        <v>11.7</v>
      </c>
      <c r="L451" s="93">
        <f>K451*VLOOKUP(H451,dagsoorttabel1,2,FALSE)</f>
        <v>2.34</v>
      </c>
      <c r="M451" s="94">
        <f>prodnorm59</f>
        <v>0</v>
      </c>
      <c r="N451" s="91" t="s">
        <v>101</v>
      </c>
      <c r="O451" s="26">
        <f>uurtarief59</f>
        <v>0</v>
      </c>
      <c r="P451" s="93" t="e">
        <f>IF(ISBLANK(M451),0,L451/ROUND(M451,4))</f>
        <v>#DIV/0!</v>
      </c>
      <c r="Q451" s="26" t="e">
        <f>ROUND(O451,2)*P451</f>
        <v>#DIV/0!</v>
      </c>
      <c r="R451" s="93" t="e">
        <f>P451*dagenperjaar1</f>
        <v>#DIV/0!</v>
      </c>
      <c r="S451" s="27" t="e">
        <f>R451*ROUND(O451,2)</f>
        <v>#DIV/0!</v>
      </c>
    </row>
    <row r="452" spans="1:19" x14ac:dyDescent="0.2">
      <c r="A452" s="90" t="s">
        <v>557</v>
      </c>
      <c r="B452" s="91" t="s">
        <v>35</v>
      </c>
      <c r="C452" s="91" t="s">
        <v>744</v>
      </c>
      <c r="D452" s="91" t="s">
        <v>745</v>
      </c>
      <c r="E452" s="92" t="s">
        <v>560</v>
      </c>
      <c r="F452" s="91" t="s">
        <v>361</v>
      </c>
      <c r="G452" s="91" t="s">
        <v>283</v>
      </c>
      <c r="H452" s="91" t="s">
        <v>9</v>
      </c>
      <c r="I452" s="91" t="s">
        <v>235</v>
      </c>
      <c r="J452" s="92" t="s">
        <v>284</v>
      </c>
      <c r="K452" s="93">
        <v>27.9</v>
      </c>
      <c r="L452" s="93">
        <f>K452*VLOOKUP(H452,dagsoorttabel1,2,FALSE)</f>
        <v>27.9</v>
      </c>
      <c r="M452" s="94">
        <f>prodnorm108</f>
        <v>0</v>
      </c>
      <c r="N452" s="91" t="s">
        <v>101</v>
      </c>
      <c r="O452" s="26">
        <f>uurtarief108</f>
        <v>0</v>
      </c>
      <c r="P452" s="93" t="e">
        <f>IF(ISBLANK(M452),0,L452/ROUND(M452,4))</f>
        <v>#DIV/0!</v>
      </c>
      <c r="Q452" s="26" t="e">
        <f>ROUND(O452,2)*P452</f>
        <v>#DIV/0!</v>
      </c>
      <c r="R452" s="93" t="e">
        <f>P452*dagenperjaar1</f>
        <v>#DIV/0!</v>
      </c>
      <c r="S452" s="27" t="e">
        <f>R452*ROUND(O452,2)</f>
        <v>#DIV/0!</v>
      </c>
    </row>
    <row r="453" spans="1:19" x14ac:dyDescent="0.2">
      <c r="A453" s="90" t="s">
        <v>557</v>
      </c>
      <c r="B453" s="91" t="s">
        <v>35</v>
      </c>
      <c r="C453" s="91" t="s">
        <v>744</v>
      </c>
      <c r="D453" s="91" t="s">
        <v>746</v>
      </c>
      <c r="E453" s="92" t="s">
        <v>682</v>
      </c>
      <c r="F453" s="91" t="s">
        <v>329</v>
      </c>
      <c r="G453" s="91" t="s">
        <v>279</v>
      </c>
      <c r="H453" s="91" t="s">
        <v>9</v>
      </c>
      <c r="I453" s="91" t="s">
        <v>235</v>
      </c>
      <c r="J453" s="92" t="s">
        <v>280</v>
      </c>
      <c r="K453" s="93">
        <v>15.9</v>
      </c>
      <c r="L453" s="93">
        <f>K453*VLOOKUP(H453,dagsoorttabel1,2,FALSE)</f>
        <v>15.9</v>
      </c>
      <c r="M453" s="94">
        <f>prodnorm102</f>
        <v>0</v>
      </c>
      <c r="N453" s="91" t="s">
        <v>101</v>
      </c>
      <c r="O453" s="26">
        <f>uurtarief102</f>
        <v>0</v>
      </c>
      <c r="P453" s="93" t="e">
        <f>IF(ISBLANK(M453),0,L453/ROUND(M453,4))</f>
        <v>#DIV/0!</v>
      </c>
      <c r="Q453" s="26" t="e">
        <f>ROUND(O453,2)*P453</f>
        <v>#DIV/0!</v>
      </c>
      <c r="R453" s="93" t="e">
        <f>P453*dagenperjaar1</f>
        <v>#DIV/0!</v>
      </c>
      <c r="S453" s="27" t="e">
        <f>R453*ROUND(O453,2)</f>
        <v>#DIV/0!</v>
      </c>
    </row>
    <row r="454" spans="1:19" x14ac:dyDescent="0.2">
      <c r="A454" s="90" t="s">
        <v>557</v>
      </c>
      <c r="B454" s="91" t="s">
        <v>35</v>
      </c>
      <c r="C454" s="91" t="s">
        <v>744</v>
      </c>
      <c r="D454" s="91" t="s">
        <v>747</v>
      </c>
      <c r="E454" s="92" t="s">
        <v>559</v>
      </c>
      <c r="F454" s="91" t="s">
        <v>361</v>
      </c>
      <c r="G454" s="91" t="s">
        <v>298</v>
      </c>
      <c r="H454" s="91" t="s">
        <v>9</v>
      </c>
      <c r="I454" s="91" t="s">
        <v>235</v>
      </c>
      <c r="J454" s="92" t="s">
        <v>299</v>
      </c>
      <c r="K454" s="93">
        <v>25.6</v>
      </c>
      <c r="L454" s="93">
        <f>K454*VLOOKUP(H454,dagsoorttabel1,2,FALSE)</f>
        <v>25.6</v>
      </c>
      <c r="M454" s="94">
        <f>prodnorm126</f>
        <v>0</v>
      </c>
      <c r="N454" s="91" t="s">
        <v>101</v>
      </c>
      <c r="O454" s="26">
        <f>uurtarief126</f>
        <v>0</v>
      </c>
      <c r="P454" s="93" t="e">
        <f>IF(ISBLANK(M454),0,L454/ROUND(M454,4))</f>
        <v>#DIV/0!</v>
      </c>
      <c r="Q454" s="26" t="e">
        <f>ROUND(O454,2)*P454</f>
        <v>#DIV/0!</v>
      </c>
      <c r="R454" s="93" t="e">
        <f>P454*dagenperjaar1</f>
        <v>#DIV/0!</v>
      </c>
      <c r="S454" s="27" t="e">
        <f>R454*ROUND(O454,2)</f>
        <v>#DIV/0!</v>
      </c>
    </row>
    <row r="455" spans="1:19" x14ac:dyDescent="0.2">
      <c r="A455" s="90" t="s">
        <v>557</v>
      </c>
      <c r="B455" s="91" t="s">
        <v>35</v>
      </c>
      <c r="C455" s="91" t="s">
        <v>744</v>
      </c>
      <c r="D455" s="91" t="s">
        <v>748</v>
      </c>
      <c r="E455" s="92" t="s">
        <v>683</v>
      </c>
      <c r="F455" s="91" t="s">
        <v>361</v>
      </c>
      <c r="G455" s="91" t="s">
        <v>352</v>
      </c>
      <c r="H455" s="91"/>
      <c r="I455" s="91"/>
      <c r="J455" s="91"/>
      <c r="K455" s="93">
        <v>2.6</v>
      </c>
      <c r="L455" s="93"/>
      <c r="M455" s="94"/>
      <c r="N455" s="91"/>
      <c r="O455" s="26"/>
      <c r="P455" s="93"/>
      <c r="Q455" s="26"/>
      <c r="R455" s="95"/>
      <c r="S455" s="27"/>
    </row>
    <row r="456" spans="1:19" x14ac:dyDescent="0.2">
      <c r="A456" s="90" t="s">
        <v>557</v>
      </c>
      <c r="B456" s="91" t="s">
        <v>35</v>
      </c>
      <c r="C456" s="91" t="s">
        <v>744</v>
      </c>
      <c r="D456" s="91" t="s">
        <v>749</v>
      </c>
      <c r="E456" s="92" t="s">
        <v>750</v>
      </c>
      <c r="F456" s="91" t="s">
        <v>361</v>
      </c>
      <c r="G456" s="91" t="s">
        <v>296</v>
      </c>
      <c r="H456" s="91" t="s">
        <v>13</v>
      </c>
      <c r="I456" s="91" t="s">
        <v>235</v>
      </c>
      <c r="J456" s="92" t="s">
        <v>297</v>
      </c>
      <c r="K456" s="93">
        <v>10.6</v>
      </c>
      <c r="L456" s="93">
        <f>K456*VLOOKUP(H456,dagsoorttabel1,2,FALSE)</f>
        <v>2.12</v>
      </c>
      <c r="M456" s="94">
        <f>prodnorm122</f>
        <v>0</v>
      </c>
      <c r="N456" s="91" t="s">
        <v>101</v>
      </c>
      <c r="O456" s="26">
        <f>uurtarief122</f>
        <v>0</v>
      </c>
      <c r="P456" s="93" t="e">
        <f>IF(ISBLANK(M456),0,L456/ROUND(M456,4))</f>
        <v>#DIV/0!</v>
      </c>
      <c r="Q456" s="26" t="e">
        <f>ROUND(O456,2)*P456</f>
        <v>#DIV/0!</v>
      </c>
      <c r="R456" s="93" t="e">
        <f>P456*dagenperjaar1</f>
        <v>#DIV/0!</v>
      </c>
      <c r="S456" s="27" t="e">
        <f>R456*ROUND(O456,2)</f>
        <v>#DIV/0!</v>
      </c>
    </row>
    <row r="457" spans="1:19" x14ac:dyDescent="0.2">
      <c r="A457" s="90" t="s">
        <v>557</v>
      </c>
      <c r="B457" s="91" t="s">
        <v>35</v>
      </c>
      <c r="C457" s="91" t="s">
        <v>744</v>
      </c>
      <c r="D457" s="91" t="s">
        <v>751</v>
      </c>
      <c r="E457" s="92" t="s">
        <v>752</v>
      </c>
      <c r="F457" s="91" t="s">
        <v>361</v>
      </c>
      <c r="G457" s="91" t="s">
        <v>296</v>
      </c>
      <c r="H457" s="91" t="s">
        <v>13</v>
      </c>
      <c r="I457" s="91" t="s">
        <v>235</v>
      </c>
      <c r="J457" s="92" t="s">
        <v>297</v>
      </c>
      <c r="K457" s="93">
        <v>10.5</v>
      </c>
      <c r="L457" s="93">
        <f>K457*VLOOKUP(H457,dagsoorttabel1,2,FALSE)</f>
        <v>2.1</v>
      </c>
      <c r="M457" s="94">
        <f>prodnorm122</f>
        <v>0</v>
      </c>
      <c r="N457" s="91" t="s">
        <v>101</v>
      </c>
      <c r="O457" s="26">
        <f>uurtarief122</f>
        <v>0</v>
      </c>
      <c r="P457" s="93" t="e">
        <f>IF(ISBLANK(M457),0,L457/ROUND(M457,4))</f>
        <v>#DIV/0!</v>
      </c>
      <c r="Q457" s="26" t="e">
        <f>ROUND(O457,2)*P457</f>
        <v>#DIV/0!</v>
      </c>
      <c r="R457" s="93" t="e">
        <f>P457*dagenperjaar1</f>
        <v>#DIV/0!</v>
      </c>
      <c r="S457" s="27" t="e">
        <f>R457*ROUND(O457,2)</f>
        <v>#DIV/0!</v>
      </c>
    </row>
    <row r="458" spans="1:19" x14ac:dyDescent="0.2">
      <c r="A458" s="90" t="s">
        <v>557</v>
      </c>
      <c r="B458" s="91" t="s">
        <v>35</v>
      </c>
      <c r="C458" s="91" t="s">
        <v>744</v>
      </c>
      <c r="D458" s="91" t="s">
        <v>753</v>
      </c>
      <c r="E458" s="92" t="s">
        <v>754</v>
      </c>
      <c r="F458" s="91" t="s">
        <v>361</v>
      </c>
      <c r="G458" s="91" t="s">
        <v>296</v>
      </c>
      <c r="H458" s="91" t="s">
        <v>13</v>
      </c>
      <c r="I458" s="91" t="s">
        <v>235</v>
      </c>
      <c r="J458" s="92" t="s">
        <v>297</v>
      </c>
      <c r="K458" s="93">
        <v>10.4</v>
      </c>
      <c r="L458" s="93">
        <f>K458*VLOOKUP(H458,dagsoorttabel1,2,FALSE)</f>
        <v>2.08</v>
      </c>
      <c r="M458" s="94">
        <f>prodnorm122</f>
        <v>0</v>
      </c>
      <c r="N458" s="91" t="s">
        <v>101</v>
      </c>
      <c r="O458" s="26">
        <f>uurtarief122</f>
        <v>0</v>
      </c>
      <c r="P458" s="93" t="e">
        <f>IF(ISBLANK(M458),0,L458/ROUND(M458,4))</f>
        <v>#DIV/0!</v>
      </c>
      <c r="Q458" s="26" t="e">
        <f>ROUND(O458,2)*P458</f>
        <v>#DIV/0!</v>
      </c>
      <c r="R458" s="93" t="e">
        <f>P458*dagenperjaar1</f>
        <v>#DIV/0!</v>
      </c>
      <c r="S458" s="27" t="e">
        <f>R458*ROUND(O458,2)</f>
        <v>#DIV/0!</v>
      </c>
    </row>
    <row r="459" spans="1:19" x14ac:dyDescent="0.2">
      <c r="A459" s="90" t="s">
        <v>557</v>
      </c>
      <c r="B459" s="91" t="s">
        <v>35</v>
      </c>
      <c r="C459" s="91" t="s">
        <v>744</v>
      </c>
      <c r="D459" s="91" t="s">
        <v>755</v>
      </c>
      <c r="E459" s="92" t="s">
        <v>756</v>
      </c>
      <c r="F459" s="91" t="s">
        <v>361</v>
      </c>
      <c r="G459" s="91" t="s">
        <v>296</v>
      </c>
      <c r="H459" s="91" t="s">
        <v>13</v>
      </c>
      <c r="I459" s="91" t="s">
        <v>235</v>
      </c>
      <c r="J459" s="92" t="s">
        <v>297</v>
      </c>
      <c r="K459" s="93">
        <v>10.5</v>
      </c>
      <c r="L459" s="93">
        <f>K459*VLOOKUP(H459,dagsoorttabel1,2,FALSE)</f>
        <v>2.1</v>
      </c>
      <c r="M459" s="94">
        <f>prodnorm122</f>
        <v>0</v>
      </c>
      <c r="N459" s="91" t="s">
        <v>101</v>
      </c>
      <c r="O459" s="26">
        <f>uurtarief122</f>
        <v>0</v>
      </c>
      <c r="P459" s="93" t="e">
        <f>IF(ISBLANK(M459),0,L459/ROUND(M459,4))</f>
        <v>#DIV/0!</v>
      </c>
      <c r="Q459" s="26" t="e">
        <f>ROUND(O459,2)*P459</f>
        <v>#DIV/0!</v>
      </c>
      <c r="R459" s="93" t="e">
        <f>P459*dagenperjaar1</f>
        <v>#DIV/0!</v>
      </c>
      <c r="S459" s="27" t="e">
        <f>R459*ROUND(O459,2)</f>
        <v>#DIV/0!</v>
      </c>
    </row>
    <row r="460" spans="1:19" x14ac:dyDescent="0.2">
      <c r="A460" s="90" t="s">
        <v>557</v>
      </c>
      <c r="B460" s="91" t="s">
        <v>35</v>
      </c>
      <c r="C460" s="91" t="s">
        <v>744</v>
      </c>
      <c r="D460" s="91" t="s">
        <v>757</v>
      </c>
      <c r="E460" s="92" t="s">
        <v>758</v>
      </c>
      <c r="F460" s="91" t="s">
        <v>361</v>
      </c>
      <c r="G460" s="91" t="s">
        <v>296</v>
      </c>
      <c r="H460" s="91" t="s">
        <v>13</v>
      </c>
      <c r="I460" s="91" t="s">
        <v>235</v>
      </c>
      <c r="J460" s="92" t="s">
        <v>297</v>
      </c>
      <c r="K460" s="93">
        <v>10.4</v>
      </c>
      <c r="L460" s="93">
        <f>K460*VLOOKUP(H460,dagsoorttabel1,2,FALSE)</f>
        <v>2.08</v>
      </c>
      <c r="M460" s="94">
        <f>prodnorm122</f>
        <v>0</v>
      </c>
      <c r="N460" s="91" t="s">
        <v>101</v>
      </c>
      <c r="O460" s="26">
        <f>uurtarief122</f>
        <v>0</v>
      </c>
      <c r="P460" s="93" t="e">
        <f>IF(ISBLANK(M460),0,L460/ROUND(M460,4))</f>
        <v>#DIV/0!</v>
      </c>
      <c r="Q460" s="26" t="e">
        <f>ROUND(O460,2)*P460</f>
        <v>#DIV/0!</v>
      </c>
      <c r="R460" s="93" t="e">
        <f>P460*dagenperjaar1</f>
        <v>#DIV/0!</v>
      </c>
      <c r="S460" s="27" t="e">
        <f>R460*ROUND(O460,2)</f>
        <v>#DIV/0!</v>
      </c>
    </row>
    <row r="461" spans="1:19" x14ac:dyDescent="0.2">
      <c r="A461" s="90" t="s">
        <v>557</v>
      </c>
      <c r="B461" s="91" t="s">
        <v>35</v>
      </c>
      <c r="C461" s="91" t="s">
        <v>744</v>
      </c>
      <c r="D461" s="91" t="s">
        <v>759</v>
      </c>
      <c r="E461" s="92" t="s">
        <v>760</v>
      </c>
      <c r="F461" s="91" t="s">
        <v>361</v>
      </c>
      <c r="G461" s="91" t="s">
        <v>296</v>
      </c>
      <c r="H461" s="91" t="s">
        <v>13</v>
      </c>
      <c r="I461" s="91" t="s">
        <v>235</v>
      </c>
      <c r="J461" s="92" t="s">
        <v>297</v>
      </c>
      <c r="K461" s="93">
        <v>10.6</v>
      </c>
      <c r="L461" s="93">
        <f>K461*VLOOKUP(H461,dagsoorttabel1,2,FALSE)</f>
        <v>2.12</v>
      </c>
      <c r="M461" s="94">
        <f>prodnorm122</f>
        <v>0</v>
      </c>
      <c r="N461" s="91" t="s">
        <v>101</v>
      </c>
      <c r="O461" s="26">
        <f>uurtarief122</f>
        <v>0</v>
      </c>
      <c r="P461" s="93" t="e">
        <f>IF(ISBLANK(M461),0,L461/ROUND(M461,4))</f>
        <v>#DIV/0!</v>
      </c>
      <c r="Q461" s="26" t="e">
        <f>ROUND(O461,2)*P461</f>
        <v>#DIV/0!</v>
      </c>
      <c r="R461" s="93" t="e">
        <f>P461*dagenperjaar1</f>
        <v>#DIV/0!</v>
      </c>
      <c r="S461" s="27" t="e">
        <f>R461*ROUND(O461,2)</f>
        <v>#DIV/0!</v>
      </c>
    </row>
    <row r="462" spans="1:19" x14ac:dyDescent="0.2">
      <c r="A462" s="90" t="s">
        <v>557</v>
      </c>
      <c r="B462" s="91" t="s">
        <v>35</v>
      </c>
      <c r="C462" s="91" t="s">
        <v>744</v>
      </c>
      <c r="D462" s="91" t="s">
        <v>761</v>
      </c>
      <c r="E462" s="92" t="s">
        <v>762</v>
      </c>
      <c r="F462" s="91" t="s">
        <v>361</v>
      </c>
      <c r="G462" s="91" t="s">
        <v>296</v>
      </c>
      <c r="H462" s="91" t="s">
        <v>13</v>
      </c>
      <c r="I462" s="91" t="s">
        <v>235</v>
      </c>
      <c r="J462" s="92" t="s">
        <v>297</v>
      </c>
      <c r="K462" s="93">
        <v>10.5</v>
      </c>
      <c r="L462" s="93">
        <f>K462*VLOOKUP(H462,dagsoorttabel1,2,FALSE)</f>
        <v>2.1</v>
      </c>
      <c r="M462" s="94">
        <f>prodnorm122</f>
        <v>0</v>
      </c>
      <c r="N462" s="91" t="s">
        <v>101</v>
      </c>
      <c r="O462" s="26">
        <f>uurtarief122</f>
        <v>0</v>
      </c>
      <c r="P462" s="93" t="e">
        <f>IF(ISBLANK(M462),0,L462/ROUND(M462,4))</f>
        <v>#DIV/0!</v>
      </c>
      <c r="Q462" s="26" t="e">
        <f>ROUND(O462,2)*P462</f>
        <v>#DIV/0!</v>
      </c>
      <c r="R462" s="93" t="e">
        <f>P462*dagenperjaar1</f>
        <v>#DIV/0!</v>
      </c>
      <c r="S462" s="27" t="e">
        <f>R462*ROUND(O462,2)</f>
        <v>#DIV/0!</v>
      </c>
    </row>
    <row r="463" spans="1:19" x14ac:dyDescent="0.2">
      <c r="A463" s="90" t="s">
        <v>557</v>
      </c>
      <c r="B463" s="91" t="s">
        <v>35</v>
      </c>
      <c r="C463" s="91" t="s">
        <v>744</v>
      </c>
      <c r="D463" s="91" t="s">
        <v>763</v>
      </c>
      <c r="E463" s="92" t="s">
        <v>764</v>
      </c>
      <c r="F463" s="91" t="s">
        <v>361</v>
      </c>
      <c r="G463" s="91" t="s">
        <v>296</v>
      </c>
      <c r="H463" s="91" t="s">
        <v>13</v>
      </c>
      <c r="I463" s="91" t="s">
        <v>235</v>
      </c>
      <c r="J463" s="92" t="s">
        <v>297</v>
      </c>
      <c r="K463" s="93">
        <v>10.8</v>
      </c>
      <c r="L463" s="93">
        <f>K463*VLOOKUP(H463,dagsoorttabel1,2,FALSE)</f>
        <v>2.16</v>
      </c>
      <c r="M463" s="94">
        <f>prodnorm122</f>
        <v>0</v>
      </c>
      <c r="N463" s="91" t="s">
        <v>101</v>
      </c>
      <c r="O463" s="26">
        <f>uurtarief122</f>
        <v>0</v>
      </c>
      <c r="P463" s="93" t="e">
        <f>IF(ISBLANK(M463),0,L463/ROUND(M463,4))</f>
        <v>#DIV/0!</v>
      </c>
      <c r="Q463" s="26" t="e">
        <f>ROUND(O463,2)*P463</f>
        <v>#DIV/0!</v>
      </c>
      <c r="R463" s="93" t="e">
        <f>P463*dagenperjaar1</f>
        <v>#DIV/0!</v>
      </c>
      <c r="S463" s="27" t="e">
        <f>R463*ROUND(O463,2)</f>
        <v>#DIV/0!</v>
      </c>
    </row>
    <row r="464" spans="1:19" x14ac:dyDescent="0.2">
      <c r="A464" s="90" t="s">
        <v>557</v>
      </c>
      <c r="B464" s="91" t="s">
        <v>35</v>
      </c>
      <c r="C464" s="91" t="s">
        <v>744</v>
      </c>
      <c r="D464" s="91" t="s">
        <v>765</v>
      </c>
      <c r="E464" s="92" t="s">
        <v>766</v>
      </c>
      <c r="F464" s="91" t="s">
        <v>329</v>
      </c>
      <c r="G464" s="91" t="s">
        <v>275</v>
      </c>
      <c r="H464" s="91" t="s">
        <v>9</v>
      </c>
      <c r="I464" s="91" t="s">
        <v>235</v>
      </c>
      <c r="J464" s="92" t="s">
        <v>276</v>
      </c>
      <c r="K464" s="93">
        <v>11</v>
      </c>
      <c r="L464" s="93">
        <f>K464*VLOOKUP(H464,dagsoorttabel1,2,FALSE)</f>
        <v>11</v>
      </c>
      <c r="M464" s="94">
        <f>prodnorm96</f>
        <v>0</v>
      </c>
      <c r="N464" s="91" t="s">
        <v>101</v>
      </c>
      <c r="O464" s="26">
        <f>uurtarief96</f>
        <v>0</v>
      </c>
      <c r="P464" s="93" t="e">
        <f>IF(ISBLANK(M464),0,L464/ROUND(M464,4))</f>
        <v>#DIV/0!</v>
      </c>
      <c r="Q464" s="26" t="e">
        <f>ROUND(O464,2)*P464</f>
        <v>#DIV/0!</v>
      </c>
      <c r="R464" s="93" t="e">
        <f>P464*dagenperjaar1</f>
        <v>#DIV/0!</v>
      </c>
      <c r="S464" s="27" t="e">
        <f>R464*ROUND(O464,2)</f>
        <v>#DIV/0!</v>
      </c>
    </row>
    <row r="465" spans="1:19" x14ac:dyDescent="0.2">
      <c r="A465" s="90" t="s">
        <v>557</v>
      </c>
      <c r="B465" s="91" t="s">
        <v>35</v>
      </c>
      <c r="C465" s="91" t="s">
        <v>744</v>
      </c>
      <c r="D465" s="91" t="s">
        <v>767</v>
      </c>
      <c r="E465" s="92" t="s">
        <v>713</v>
      </c>
      <c r="F465" s="91" t="s">
        <v>387</v>
      </c>
      <c r="G465" s="91" t="s">
        <v>241</v>
      </c>
      <c r="H465" s="91" t="s">
        <v>9</v>
      </c>
      <c r="I465" s="91" t="s">
        <v>235</v>
      </c>
      <c r="J465" s="92" t="s">
        <v>243</v>
      </c>
      <c r="K465" s="93">
        <v>10.5</v>
      </c>
      <c r="L465" s="93">
        <f>K465*VLOOKUP(H465,dagsoorttabel1,2,FALSE)</f>
        <v>10.5</v>
      </c>
      <c r="M465" s="94">
        <f>prodnorm57</f>
        <v>0</v>
      </c>
      <c r="N465" s="91" t="s">
        <v>101</v>
      </c>
      <c r="O465" s="26">
        <f>uurtarief57</f>
        <v>0</v>
      </c>
      <c r="P465" s="93" t="e">
        <f>IF(ISBLANK(M465),0,L465/ROUND(M465,4))</f>
        <v>#DIV/0!</v>
      </c>
      <c r="Q465" s="26" t="e">
        <f>ROUND(O465,2)*P465</f>
        <v>#DIV/0!</v>
      </c>
      <c r="R465" s="93" t="e">
        <f>P465*dagenperjaar1</f>
        <v>#DIV/0!</v>
      </c>
      <c r="S465" s="27" t="e">
        <f>R465*ROUND(O465,2)</f>
        <v>#DIV/0!</v>
      </c>
    </row>
    <row r="466" spans="1:19" x14ac:dyDescent="0.2">
      <c r="A466" s="90" t="s">
        <v>557</v>
      </c>
      <c r="B466" s="91" t="s">
        <v>35</v>
      </c>
      <c r="C466" s="91" t="s">
        <v>744</v>
      </c>
      <c r="D466" s="91" t="s">
        <v>768</v>
      </c>
      <c r="E466" s="92" t="s">
        <v>713</v>
      </c>
      <c r="F466" s="91" t="s">
        <v>387</v>
      </c>
      <c r="G466" s="91" t="s">
        <v>241</v>
      </c>
      <c r="H466" s="91" t="s">
        <v>9</v>
      </c>
      <c r="I466" s="91" t="s">
        <v>235</v>
      </c>
      <c r="J466" s="92" t="s">
        <v>243</v>
      </c>
      <c r="K466" s="93">
        <v>10.4</v>
      </c>
      <c r="L466" s="93">
        <f>K466*VLOOKUP(H466,dagsoorttabel1,2,FALSE)</f>
        <v>10.4</v>
      </c>
      <c r="M466" s="94">
        <f>prodnorm57</f>
        <v>0</v>
      </c>
      <c r="N466" s="91" t="s">
        <v>101</v>
      </c>
      <c r="O466" s="26">
        <f>uurtarief57</f>
        <v>0</v>
      </c>
      <c r="P466" s="93" t="e">
        <f>IF(ISBLANK(M466),0,L466/ROUND(M466,4))</f>
        <v>#DIV/0!</v>
      </c>
      <c r="Q466" s="26" t="e">
        <f>ROUND(O466,2)*P466</f>
        <v>#DIV/0!</v>
      </c>
      <c r="R466" s="93" t="e">
        <f>P466*dagenperjaar1</f>
        <v>#DIV/0!</v>
      </c>
      <c r="S466" s="27" t="e">
        <f>R466*ROUND(O466,2)</f>
        <v>#DIV/0!</v>
      </c>
    </row>
    <row r="467" spans="1:19" x14ac:dyDescent="0.2">
      <c r="A467" s="90" t="s">
        <v>557</v>
      </c>
      <c r="B467" s="91" t="s">
        <v>35</v>
      </c>
      <c r="C467" s="91" t="s">
        <v>744</v>
      </c>
      <c r="D467" s="91" t="s">
        <v>769</v>
      </c>
      <c r="E467" s="92" t="s">
        <v>713</v>
      </c>
      <c r="F467" s="91" t="s">
        <v>387</v>
      </c>
      <c r="G467" s="91" t="s">
        <v>241</v>
      </c>
      <c r="H467" s="91" t="s">
        <v>9</v>
      </c>
      <c r="I467" s="91" t="s">
        <v>235</v>
      </c>
      <c r="J467" s="92" t="s">
        <v>243</v>
      </c>
      <c r="K467" s="93">
        <v>10.6</v>
      </c>
      <c r="L467" s="93">
        <f>K467*VLOOKUP(H467,dagsoorttabel1,2,FALSE)</f>
        <v>10.6</v>
      </c>
      <c r="M467" s="94">
        <f>prodnorm57</f>
        <v>0</v>
      </c>
      <c r="N467" s="91" t="s">
        <v>101</v>
      </c>
      <c r="O467" s="26">
        <f>uurtarief57</f>
        <v>0</v>
      </c>
      <c r="P467" s="93" t="e">
        <f>IF(ISBLANK(M467),0,L467/ROUND(M467,4))</f>
        <v>#DIV/0!</v>
      </c>
      <c r="Q467" s="26" t="e">
        <f>ROUND(O467,2)*P467</f>
        <v>#DIV/0!</v>
      </c>
      <c r="R467" s="93" t="e">
        <f>P467*dagenperjaar1</f>
        <v>#DIV/0!</v>
      </c>
      <c r="S467" s="27" t="e">
        <f>R467*ROUND(O467,2)</f>
        <v>#DIV/0!</v>
      </c>
    </row>
    <row r="468" spans="1:19" x14ac:dyDescent="0.2">
      <c r="A468" s="90" t="s">
        <v>557</v>
      </c>
      <c r="B468" s="91" t="s">
        <v>35</v>
      </c>
      <c r="C468" s="91" t="s">
        <v>744</v>
      </c>
      <c r="D468" s="91" t="s">
        <v>770</v>
      </c>
      <c r="E468" s="92" t="s">
        <v>560</v>
      </c>
      <c r="F468" s="91" t="s">
        <v>361</v>
      </c>
      <c r="G468" s="91" t="s">
        <v>283</v>
      </c>
      <c r="H468" s="91" t="s">
        <v>9</v>
      </c>
      <c r="I468" s="91" t="s">
        <v>235</v>
      </c>
      <c r="J468" s="92" t="s">
        <v>284</v>
      </c>
      <c r="K468" s="93">
        <v>16.600000000000001</v>
      </c>
      <c r="L468" s="93">
        <f>K468*VLOOKUP(H468,dagsoorttabel1,2,FALSE)</f>
        <v>16.600000000000001</v>
      </c>
      <c r="M468" s="94">
        <f>prodnorm108</f>
        <v>0</v>
      </c>
      <c r="N468" s="91" t="s">
        <v>101</v>
      </c>
      <c r="O468" s="26">
        <f>uurtarief108</f>
        <v>0</v>
      </c>
      <c r="P468" s="93" t="e">
        <f>IF(ISBLANK(M468),0,L468/ROUND(M468,4))</f>
        <v>#DIV/0!</v>
      </c>
      <c r="Q468" s="26" t="e">
        <f>ROUND(O468,2)*P468</f>
        <v>#DIV/0!</v>
      </c>
      <c r="R468" s="93" t="e">
        <f>P468*dagenperjaar1</f>
        <v>#DIV/0!</v>
      </c>
      <c r="S468" s="27" t="e">
        <f>R468*ROUND(O468,2)</f>
        <v>#DIV/0!</v>
      </c>
    </row>
    <row r="469" spans="1:19" x14ac:dyDescent="0.2">
      <c r="A469" s="90" t="s">
        <v>557</v>
      </c>
      <c r="B469" s="91" t="s">
        <v>35</v>
      </c>
      <c r="C469" s="91" t="s">
        <v>744</v>
      </c>
      <c r="D469" s="91" t="s">
        <v>771</v>
      </c>
      <c r="E469" s="92" t="s">
        <v>321</v>
      </c>
      <c r="F469" s="91" t="s">
        <v>387</v>
      </c>
      <c r="G469" s="91" t="s">
        <v>283</v>
      </c>
      <c r="H469" s="91" t="s">
        <v>9</v>
      </c>
      <c r="I469" s="91" t="s">
        <v>235</v>
      </c>
      <c r="J469" s="92" t="s">
        <v>284</v>
      </c>
      <c r="K469" s="93">
        <v>3.1</v>
      </c>
      <c r="L469" s="93">
        <f>K469*VLOOKUP(H469,dagsoorttabel1,2,FALSE)</f>
        <v>3.1</v>
      </c>
      <c r="M469" s="94">
        <f>prodnorm108</f>
        <v>0</v>
      </c>
      <c r="N469" s="91" t="s">
        <v>101</v>
      </c>
      <c r="O469" s="26">
        <f>uurtarief108</f>
        <v>0</v>
      </c>
      <c r="P469" s="93" t="e">
        <f>IF(ISBLANK(M469),0,L469/ROUND(M469,4))</f>
        <v>#DIV/0!</v>
      </c>
      <c r="Q469" s="26" t="e">
        <f>ROUND(O469,2)*P469</f>
        <v>#DIV/0!</v>
      </c>
      <c r="R469" s="93" t="e">
        <f>P469*dagenperjaar1</f>
        <v>#DIV/0!</v>
      </c>
      <c r="S469" s="27" t="e">
        <f>R469*ROUND(O469,2)</f>
        <v>#DIV/0!</v>
      </c>
    </row>
    <row r="470" spans="1:19" x14ac:dyDescent="0.2">
      <c r="A470" s="90" t="s">
        <v>557</v>
      </c>
      <c r="B470" s="91" t="s">
        <v>35</v>
      </c>
      <c r="C470" s="91" t="s">
        <v>744</v>
      </c>
      <c r="D470" s="91" t="s">
        <v>772</v>
      </c>
      <c r="E470" s="92" t="s">
        <v>722</v>
      </c>
      <c r="F470" s="91" t="s">
        <v>387</v>
      </c>
      <c r="G470" s="91" t="s">
        <v>237</v>
      </c>
      <c r="H470" s="91" t="s">
        <v>9</v>
      </c>
      <c r="I470" s="91" t="s">
        <v>235</v>
      </c>
      <c r="J470" s="92" t="s">
        <v>238</v>
      </c>
      <c r="K470" s="93">
        <v>3.3</v>
      </c>
      <c r="L470" s="93">
        <f>K470*VLOOKUP(H470,dagsoorttabel1,2,FALSE)</f>
        <v>3.3</v>
      </c>
      <c r="M470" s="94">
        <f>prodnorm52</f>
        <v>0</v>
      </c>
      <c r="N470" s="91" t="s">
        <v>101</v>
      </c>
      <c r="O470" s="26">
        <f>uurtarief52</f>
        <v>0</v>
      </c>
      <c r="P470" s="93" t="e">
        <f>IF(ISBLANK(M470),0,L470/ROUND(M470,4))</f>
        <v>#DIV/0!</v>
      </c>
      <c r="Q470" s="26" t="e">
        <f>ROUND(O470,2)*P470</f>
        <v>#DIV/0!</v>
      </c>
      <c r="R470" s="93" t="e">
        <f>P470*dagenperjaar1</f>
        <v>#DIV/0!</v>
      </c>
      <c r="S470" s="27" t="e">
        <f>R470*ROUND(O470,2)</f>
        <v>#DIV/0!</v>
      </c>
    </row>
    <row r="471" spans="1:19" x14ac:dyDescent="0.2">
      <c r="A471" s="90" t="s">
        <v>557</v>
      </c>
      <c r="B471" s="91" t="s">
        <v>35</v>
      </c>
      <c r="C471" s="91" t="s">
        <v>744</v>
      </c>
      <c r="D471" s="91" t="s">
        <v>773</v>
      </c>
      <c r="E471" s="92" t="s">
        <v>713</v>
      </c>
      <c r="F471" s="91" t="s">
        <v>387</v>
      </c>
      <c r="G471" s="91" t="s">
        <v>241</v>
      </c>
      <c r="H471" s="91" t="s">
        <v>9</v>
      </c>
      <c r="I471" s="91" t="s">
        <v>235</v>
      </c>
      <c r="J471" s="92" t="s">
        <v>243</v>
      </c>
      <c r="K471" s="93">
        <v>27.2</v>
      </c>
      <c r="L471" s="93">
        <f>K471*VLOOKUP(H471,dagsoorttabel1,2,FALSE)</f>
        <v>27.2</v>
      </c>
      <c r="M471" s="94">
        <f>prodnorm57</f>
        <v>0</v>
      </c>
      <c r="N471" s="91" t="s">
        <v>101</v>
      </c>
      <c r="O471" s="26">
        <f>uurtarief57</f>
        <v>0</v>
      </c>
      <c r="P471" s="93" t="e">
        <f>IF(ISBLANK(M471),0,L471/ROUND(M471,4))</f>
        <v>#DIV/0!</v>
      </c>
      <c r="Q471" s="26" t="e">
        <f>ROUND(O471,2)*P471</f>
        <v>#DIV/0!</v>
      </c>
      <c r="R471" s="93" t="e">
        <f>P471*dagenperjaar1</f>
        <v>#DIV/0!</v>
      </c>
      <c r="S471" s="27" t="e">
        <f>R471*ROUND(O471,2)</f>
        <v>#DIV/0!</v>
      </c>
    </row>
    <row r="472" spans="1:19" x14ac:dyDescent="0.2">
      <c r="A472" s="90" t="s">
        <v>557</v>
      </c>
      <c r="B472" s="91" t="s">
        <v>35</v>
      </c>
      <c r="C472" s="91" t="s">
        <v>744</v>
      </c>
      <c r="D472" s="91" t="s">
        <v>774</v>
      </c>
      <c r="E472" s="92" t="s">
        <v>560</v>
      </c>
      <c r="F472" s="91" t="s">
        <v>361</v>
      </c>
      <c r="G472" s="91" t="s">
        <v>283</v>
      </c>
      <c r="H472" s="91" t="s">
        <v>9</v>
      </c>
      <c r="I472" s="91" t="s">
        <v>235</v>
      </c>
      <c r="J472" s="92" t="s">
        <v>284</v>
      </c>
      <c r="K472" s="93">
        <v>32.200000000000003</v>
      </c>
      <c r="L472" s="93">
        <f>K472*VLOOKUP(H472,dagsoorttabel1,2,FALSE)</f>
        <v>32.200000000000003</v>
      </c>
      <c r="M472" s="94">
        <f>prodnorm108</f>
        <v>0</v>
      </c>
      <c r="N472" s="91" t="s">
        <v>101</v>
      </c>
      <c r="O472" s="26">
        <f>uurtarief108</f>
        <v>0</v>
      </c>
      <c r="P472" s="93" t="e">
        <f>IF(ISBLANK(M472),0,L472/ROUND(M472,4))</f>
        <v>#DIV/0!</v>
      </c>
      <c r="Q472" s="26" t="e">
        <f>ROUND(O472,2)*P472</f>
        <v>#DIV/0!</v>
      </c>
      <c r="R472" s="93" t="e">
        <f>P472*dagenperjaar1</f>
        <v>#DIV/0!</v>
      </c>
      <c r="S472" s="27" t="e">
        <f>R472*ROUND(O472,2)</f>
        <v>#DIV/0!</v>
      </c>
    </row>
    <row r="473" spans="1:19" x14ac:dyDescent="0.2">
      <c r="A473" s="90" t="s">
        <v>557</v>
      </c>
      <c r="B473" s="91" t="s">
        <v>35</v>
      </c>
      <c r="C473" s="91" t="s">
        <v>744</v>
      </c>
      <c r="D473" s="91" t="s">
        <v>775</v>
      </c>
      <c r="E473" s="92" t="s">
        <v>560</v>
      </c>
      <c r="F473" s="91" t="s">
        <v>361</v>
      </c>
      <c r="G473" s="91" t="s">
        <v>283</v>
      </c>
      <c r="H473" s="91" t="s">
        <v>9</v>
      </c>
      <c r="I473" s="91" t="s">
        <v>235</v>
      </c>
      <c r="J473" s="92" t="s">
        <v>284</v>
      </c>
      <c r="K473" s="93">
        <v>35.1</v>
      </c>
      <c r="L473" s="93">
        <f>K473*VLOOKUP(H473,dagsoorttabel1,2,FALSE)</f>
        <v>35.1</v>
      </c>
      <c r="M473" s="94">
        <f>prodnorm108</f>
        <v>0</v>
      </c>
      <c r="N473" s="91" t="s">
        <v>101</v>
      </c>
      <c r="O473" s="26">
        <f>uurtarief108</f>
        <v>0</v>
      </c>
      <c r="P473" s="93" t="e">
        <f>IF(ISBLANK(M473),0,L473/ROUND(M473,4))</f>
        <v>#DIV/0!</v>
      </c>
      <c r="Q473" s="26" t="e">
        <f>ROUND(O473,2)*P473</f>
        <v>#DIV/0!</v>
      </c>
      <c r="R473" s="93" t="e">
        <f>P473*dagenperjaar1</f>
        <v>#DIV/0!</v>
      </c>
      <c r="S473" s="27" t="e">
        <f>R473*ROUND(O473,2)</f>
        <v>#DIV/0!</v>
      </c>
    </row>
    <row r="474" spans="1:19" x14ac:dyDescent="0.2">
      <c r="A474" s="90" t="s">
        <v>557</v>
      </c>
      <c r="B474" s="91" t="s">
        <v>35</v>
      </c>
      <c r="C474" s="91" t="s">
        <v>744</v>
      </c>
      <c r="D474" s="91" t="s">
        <v>776</v>
      </c>
      <c r="E474" s="92" t="s">
        <v>713</v>
      </c>
      <c r="F474" s="91" t="s">
        <v>387</v>
      </c>
      <c r="G474" s="91" t="s">
        <v>241</v>
      </c>
      <c r="H474" s="91" t="s">
        <v>9</v>
      </c>
      <c r="I474" s="91" t="s">
        <v>235</v>
      </c>
      <c r="J474" s="92" t="s">
        <v>243</v>
      </c>
      <c r="K474" s="93">
        <v>10.8</v>
      </c>
      <c r="L474" s="93">
        <f>K474*VLOOKUP(H474,dagsoorttabel1,2,FALSE)</f>
        <v>10.8</v>
      </c>
      <c r="M474" s="94">
        <f>prodnorm57</f>
        <v>0</v>
      </c>
      <c r="N474" s="91" t="s">
        <v>101</v>
      </c>
      <c r="O474" s="26">
        <f>uurtarief57</f>
        <v>0</v>
      </c>
      <c r="P474" s="93" t="e">
        <f>IF(ISBLANK(M474),0,L474/ROUND(M474,4))</f>
        <v>#DIV/0!</v>
      </c>
      <c r="Q474" s="26" t="e">
        <f>ROUND(O474,2)*P474</f>
        <v>#DIV/0!</v>
      </c>
      <c r="R474" s="93" t="e">
        <f>P474*dagenperjaar1</f>
        <v>#DIV/0!</v>
      </c>
      <c r="S474" s="27" t="e">
        <f>R474*ROUND(O474,2)</f>
        <v>#DIV/0!</v>
      </c>
    </row>
    <row r="475" spans="1:19" x14ac:dyDescent="0.2">
      <c r="A475" s="90" t="s">
        <v>557</v>
      </c>
      <c r="B475" s="91" t="s">
        <v>35</v>
      </c>
      <c r="C475" s="91" t="s">
        <v>744</v>
      </c>
      <c r="D475" s="91" t="s">
        <v>777</v>
      </c>
      <c r="E475" s="92" t="s">
        <v>713</v>
      </c>
      <c r="F475" s="91" t="s">
        <v>387</v>
      </c>
      <c r="G475" s="91" t="s">
        <v>241</v>
      </c>
      <c r="H475" s="91" t="s">
        <v>9</v>
      </c>
      <c r="I475" s="91" t="s">
        <v>235</v>
      </c>
      <c r="J475" s="92" t="s">
        <v>243</v>
      </c>
      <c r="K475" s="93">
        <v>10.8</v>
      </c>
      <c r="L475" s="93">
        <f>K475*VLOOKUP(H475,dagsoorttabel1,2,FALSE)</f>
        <v>10.8</v>
      </c>
      <c r="M475" s="94">
        <f>prodnorm57</f>
        <v>0</v>
      </c>
      <c r="N475" s="91" t="s">
        <v>101</v>
      </c>
      <c r="O475" s="26">
        <f>uurtarief57</f>
        <v>0</v>
      </c>
      <c r="P475" s="93" t="e">
        <f>IF(ISBLANK(M475),0,L475/ROUND(M475,4))</f>
        <v>#DIV/0!</v>
      </c>
      <c r="Q475" s="26" t="e">
        <f>ROUND(O475,2)*P475</f>
        <v>#DIV/0!</v>
      </c>
      <c r="R475" s="93" t="e">
        <f>P475*dagenperjaar1</f>
        <v>#DIV/0!</v>
      </c>
      <c r="S475" s="27" t="e">
        <f>R475*ROUND(O475,2)</f>
        <v>#DIV/0!</v>
      </c>
    </row>
    <row r="476" spans="1:19" x14ac:dyDescent="0.2">
      <c r="A476" s="90" t="s">
        <v>557</v>
      </c>
      <c r="B476" s="91" t="s">
        <v>35</v>
      </c>
      <c r="C476" s="91" t="s">
        <v>744</v>
      </c>
      <c r="D476" s="91" t="s">
        <v>778</v>
      </c>
      <c r="E476" s="92" t="s">
        <v>713</v>
      </c>
      <c r="F476" s="91" t="s">
        <v>387</v>
      </c>
      <c r="G476" s="91" t="s">
        <v>241</v>
      </c>
      <c r="H476" s="91" t="s">
        <v>9</v>
      </c>
      <c r="I476" s="91" t="s">
        <v>235</v>
      </c>
      <c r="J476" s="92" t="s">
        <v>243</v>
      </c>
      <c r="K476" s="93">
        <v>10.8</v>
      </c>
      <c r="L476" s="93">
        <f>K476*VLOOKUP(H476,dagsoorttabel1,2,FALSE)</f>
        <v>10.8</v>
      </c>
      <c r="M476" s="94">
        <f>prodnorm57</f>
        <v>0</v>
      </c>
      <c r="N476" s="91" t="s">
        <v>101</v>
      </c>
      <c r="O476" s="26">
        <f>uurtarief57</f>
        <v>0</v>
      </c>
      <c r="P476" s="93" t="e">
        <f>IF(ISBLANK(M476),0,L476/ROUND(M476,4))</f>
        <v>#DIV/0!</v>
      </c>
      <c r="Q476" s="26" t="e">
        <f>ROUND(O476,2)*P476</f>
        <v>#DIV/0!</v>
      </c>
      <c r="R476" s="93" t="e">
        <f>P476*dagenperjaar1</f>
        <v>#DIV/0!</v>
      </c>
      <c r="S476" s="27" t="e">
        <f>R476*ROUND(O476,2)</f>
        <v>#DIV/0!</v>
      </c>
    </row>
    <row r="477" spans="1:19" x14ac:dyDescent="0.2">
      <c r="A477" s="90" t="s">
        <v>557</v>
      </c>
      <c r="B477" s="91" t="s">
        <v>35</v>
      </c>
      <c r="C477" s="91" t="s">
        <v>744</v>
      </c>
      <c r="D477" s="91" t="s">
        <v>779</v>
      </c>
      <c r="E477" s="92" t="s">
        <v>713</v>
      </c>
      <c r="F477" s="91" t="s">
        <v>387</v>
      </c>
      <c r="G477" s="91" t="s">
        <v>241</v>
      </c>
      <c r="H477" s="91" t="s">
        <v>9</v>
      </c>
      <c r="I477" s="91" t="s">
        <v>235</v>
      </c>
      <c r="J477" s="92" t="s">
        <v>243</v>
      </c>
      <c r="K477" s="93">
        <v>21.9</v>
      </c>
      <c r="L477" s="93">
        <f>K477*VLOOKUP(H477,dagsoorttabel1,2,FALSE)</f>
        <v>21.9</v>
      </c>
      <c r="M477" s="94">
        <f>prodnorm57</f>
        <v>0</v>
      </c>
      <c r="N477" s="91" t="s">
        <v>101</v>
      </c>
      <c r="O477" s="26">
        <f>uurtarief57</f>
        <v>0</v>
      </c>
      <c r="P477" s="93" t="e">
        <f>IF(ISBLANK(M477),0,L477/ROUND(M477,4))</f>
        <v>#DIV/0!</v>
      </c>
      <c r="Q477" s="26" t="e">
        <f>ROUND(O477,2)*P477</f>
        <v>#DIV/0!</v>
      </c>
      <c r="R477" s="93" t="e">
        <f>P477*dagenperjaar1</f>
        <v>#DIV/0!</v>
      </c>
      <c r="S477" s="27" t="e">
        <f>R477*ROUND(O477,2)</f>
        <v>#DIV/0!</v>
      </c>
    </row>
    <row r="478" spans="1:19" x14ac:dyDescent="0.2">
      <c r="A478" s="90" t="s">
        <v>557</v>
      </c>
      <c r="B478" s="91" t="s">
        <v>35</v>
      </c>
      <c r="C478" s="91" t="s">
        <v>744</v>
      </c>
      <c r="D478" s="91" t="s">
        <v>780</v>
      </c>
      <c r="E478" s="92" t="s">
        <v>713</v>
      </c>
      <c r="F478" s="91" t="s">
        <v>387</v>
      </c>
      <c r="G478" s="91" t="s">
        <v>241</v>
      </c>
      <c r="H478" s="91" t="s">
        <v>9</v>
      </c>
      <c r="I478" s="91" t="s">
        <v>235</v>
      </c>
      <c r="J478" s="92" t="s">
        <v>243</v>
      </c>
      <c r="K478" s="93">
        <v>33.9</v>
      </c>
      <c r="L478" s="93">
        <f>K478*VLOOKUP(H478,dagsoorttabel1,2,FALSE)</f>
        <v>33.9</v>
      </c>
      <c r="M478" s="94">
        <f>prodnorm57</f>
        <v>0</v>
      </c>
      <c r="N478" s="91" t="s">
        <v>101</v>
      </c>
      <c r="O478" s="26">
        <f>uurtarief57</f>
        <v>0</v>
      </c>
      <c r="P478" s="93" t="e">
        <f>IF(ISBLANK(M478),0,L478/ROUND(M478,4))</f>
        <v>#DIV/0!</v>
      </c>
      <c r="Q478" s="26" t="e">
        <f>ROUND(O478,2)*P478</f>
        <v>#DIV/0!</v>
      </c>
      <c r="R478" s="93" t="e">
        <f>P478*dagenperjaar1</f>
        <v>#DIV/0!</v>
      </c>
      <c r="S478" s="27" t="e">
        <f>R478*ROUND(O478,2)</f>
        <v>#DIV/0!</v>
      </c>
    </row>
    <row r="479" spans="1:19" x14ac:dyDescent="0.2">
      <c r="A479" s="90" t="s">
        <v>557</v>
      </c>
      <c r="B479" s="91" t="s">
        <v>35</v>
      </c>
      <c r="C479" s="91" t="s">
        <v>744</v>
      </c>
      <c r="D479" s="91" t="s">
        <v>781</v>
      </c>
      <c r="E479" s="92" t="s">
        <v>713</v>
      </c>
      <c r="F479" s="91" t="s">
        <v>387</v>
      </c>
      <c r="G479" s="91" t="s">
        <v>241</v>
      </c>
      <c r="H479" s="91" t="s">
        <v>9</v>
      </c>
      <c r="I479" s="91" t="s">
        <v>235</v>
      </c>
      <c r="J479" s="92" t="s">
        <v>243</v>
      </c>
      <c r="K479" s="93">
        <v>12.7</v>
      </c>
      <c r="L479" s="93">
        <f>K479*VLOOKUP(H479,dagsoorttabel1,2,FALSE)</f>
        <v>12.7</v>
      </c>
      <c r="M479" s="94">
        <f>prodnorm57</f>
        <v>0</v>
      </c>
      <c r="N479" s="91" t="s">
        <v>101</v>
      </c>
      <c r="O479" s="26">
        <f>uurtarief57</f>
        <v>0</v>
      </c>
      <c r="P479" s="93" t="e">
        <f>IF(ISBLANK(M479),0,L479/ROUND(M479,4))</f>
        <v>#DIV/0!</v>
      </c>
      <c r="Q479" s="26" t="e">
        <f>ROUND(O479,2)*P479</f>
        <v>#DIV/0!</v>
      </c>
      <c r="R479" s="93" t="e">
        <f>P479*dagenperjaar1</f>
        <v>#DIV/0!</v>
      </c>
      <c r="S479" s="27" t="e">
        <f>R479*ROUND(O479,2)</f>
        <v>#DIV/0!</v>
      </c>
    </row>
    <row r="480" spans="1:19" ht="25.2" x14ac:dyDescent="0.2">
      <c r="A480" s="90" t="s">
        <v>557</v>
      </c>
      <c r="B480" s="91" t="s">
        <v>35</v>
      </c>
      <c r="C480" s="91" t="s">
        <v>744</v>
      </c>
      <c r="D480" s="91" t="s">
        <v>782</v>
      </c>
      <c r="E480" s="92" t="s">
        <v>783</v>
      </c>
      <c r="F480" s="91" t="s">
        <v>387</v>
      </c>
      <c r="G480" s="91" t="s">
        <v>293</v>
      </c>
      <c r="H480" s="91" t="s">
        <v>9</v>
      </c>
      <c r="I480" s="91" t="s">
        <v>235</v>
      </c>
      <c r="J480" s="92" t="s">
        <v>294</v>
      </c>
      <c r="K480" s="93">
        <v>13.8</v>
      </c>
      <c r="L480" s="93">
        <f>K480*VLOOKUP(H480,dagsoorttabel1,2,FALSE)</f>
        <v>13.8</v>
      </c>
      <c r="M480" s="94">
        <f>prodnorm120</f>
        <v>0</v>
      </c>
      <c r="N480" s="91" t="s">
        <v>101</v>
      </c>
      <c r="O480" s="26">
        <f>uurtarief120</f>
        <v>0</v>
      </c>
      <c r="P480" s="93" t="e">
        <f>IF(ISBLANK(M480),0,L480/ROUND(M480,4))</f>
        <v>#DIV/0!</v>
      </c>
      <c r="Q480" s="26" t="e">
        <f>ROUND(O480,2)*P480</f>
        <v>#DIV/0!</v>
      </c>
      <c r="R480" s="93" t="e">
        <f>P480*dagenperjaar1</f>
        <v>#DIV/0!</v>
      </c>
      <c r="S480" s="27" t="e">
        <f>R480*ROUND(O480,2)</f>
        <v>#DIV/0!</v>
      </c>
    </row>
    <row r="481" spans="1:19" x14ac:dyDescent="0.2">
      <c r="A481" s="90" t="s">
        <v>557</v>
      </c>
      <c r="B481" s="91" t="s">
        <v>35</v>
      </c>
      <c r="C481" s="91" t="s">
        <v>744</v>
      </c>
      <c r="D481" s="91" t="s">
        <v>784</v>
      </c>
      <c r="E481" s="92" t="s">
        <v>560</v>
      </c>
      <c r="F481" s="91" t="s">
        <v>361</v>
      </c>
      <c r="G481" s="91" t="s">
        <v>283</v>
      </c>
      <c r="H481" s="91" t="s">
        <v>9</v>
      </c>
      <c r="I481" s="91" t="s">
        <v>235</v>
      </c>
      <c r="J481" s="92" t="s">
        <v>284</v>
      </c>
      <c r="K481" s="93">
        <v>3.4</v>
      </c>
      <c r="L481" s="93">
        <f>K481*VLOOKUP(H481,dagsoorttabel1,2,FALSE)</f>
        <v>3.4</v>
      </c>
      <c r="M481" s="94">
        <f>prodnorm108</f>
        <v>0</v>
      </c>
      <c r="N481" s="91" t="s">
        <v>101</v>
      </c>
      <c r="O481" s="26">
        <f>uurtarief108</f>
        <v>0</v>
      </c>
      <c r="P481" s="93" t="e">
        <f>IF(ISBLANK(M481),0,L481/ROUND(M481,4))</f>
        <v>#DIV/0!</v>
      </c>
      <c r="Q481" s="26" t="e">
        <f>ROUND(O481,2)*P481</f>
        <v>#DIV/0!</v>
      </c>
      <c r="R481" s="93" t="e">
        <f>P481*dagenperjaar1</f>
        <v>#DIV/0!</v>
      </c>
      <c r="S481" s="27" t="e">
        <f>R481*ROUND(O481,2)</f>
        <v>#DIV/0!</v>
      </c>
    </row>
    <row r="482" spans="1:19" x14ac:dyDescent="0.2">
      <c r="A482" s="90" t="s">
        <v>557</v>
      </c>
      <c r="B482" s="91" t="s">
        <v>35</v>
      </c>
      <c r="C482" s="91" t="s">
        <v>744</v>
      </c>
      <c r="D482" s="91" t="s">
        <v>785</v>
      </c>
      <c r="E482" s="92" t="s">
        <v>786</v>
      </c>
      <c r="F482" s="91" t="s">
        <v>361</v>
      </c>
      <c r="G482" s="91" t="s">
        <v>352</v>
      </c>
      <c r="H482" s="91"/>
      <c r="I482" s="91"/>
      <c r="J482" s="91"/>
      <c r="K482" s="93">
        <v>19.899999999999999</v>
      </c>
      <c r="L482" s="93"/>
      <c r="M482" s="94"/>
      <c r="N482" s="91"/>
      <c r="O482" s="26"/>
      <c r="P482" s="93"/>
      <c r="Q482" s="26"/>
      <c r="R482" s="95"/>
      <c r="S482" s="27"/>
    </row>
    <row r="483" spans="1:19" x14ac:dyDescent="0.2">
      <c r="A483" s="90" t="s">
        <v>557</v>
      </c>
      <c r="B483" s="91" t="s">
        <v>35</v>
      </c>
      <c r="C483" s="91" t="s">
        <v>744</v>
      </c>
      <c r="D483" s="91" t="s">
        <v>787</v>
      </c>
      <c r="E483" s="92" t="s">
        <v>699</v>
      </c>
      <c r="F483" s="91" t="s">
        <v>329</v>
      </c>
      <c r="G483" s="91" t="s">
        <v>279</v>
      </c>
      <c r="H483" s="91" t="s">
        <v>9</v>
      </c>
      <c r="I483" s="91" t="s">
        <v>235</v>
      </c>
      <c r="J483" s="92" t="s">
        <v>280</v>
      </c>
      <c r="K483" s="93">
        <v>7.4</v>
      </c>
      <c r="L483" s="93">
        <f>K483*VLOOKUP(H483,dagsoorttabel1,2,FALSE)</f>
        <v>7.4</v>
      </c>
      <c r="M483" s="94">
        <f>prodnorm102</f>
        <v>0</v>
      </c>
      <c r="N483" s="91" t="s">
        <v>101</v>
      </c>
      <c r="O483" s="26">
        <f>uurtarief102</f>
        <v>0</v>
      </c>
      <c r="P483" s="93" t="e">
        <f>IF(ISBLANK(M483),0,L483/ROUND(M483,4))</f>
        <v>#DIV/0!</v>
      </c>
      <c r="Q483" s="26" t="e">
        <f>ROUND(O483,2)*P483</f>
        <v>#DIV/0!</v>
      </c>
      <c r="R483" s="93" t="e">
        <f>P483*dagenperjaar1</f>
        <v>#DIV/0!</v>
      </c>
      <c r="S483" s="27" t="e">
        <f>R483*ROUND(O483,2)</f>
        <v>#DIV/0!</v>
      </c>
    </row>
    <row r="484" spans="1:19" x14ac:dyDescent="0.2">
      <c r="A484" s="90" t="s">
        <v>557</v>
      </c>
      <c r="B484" s="91" t="s">
        <v>35</v>
      </c>
      <c r="C484" s="91" t="s">
        <v>744</v>
      </c>
      <c r="D484" s="91" t="s">
        <v>788</v>
      </c>
      <c r="E484" s="92" t="s">
        <v>722</v>
      </c>
      <c r="F484" s="91" t="s">
        <v>387</v>
      </c>
      <c r="G484" s="91" t="s">
        <v>237</v>
      </c>
      <c r="H484" s="91" t="s">
        <v>9</v>
      </c>
      <c r="I484" s="91" t="s">
        <v>235</v>
      </c>
      <c r="J484" s="92" t="s">
        <v>238</v>
      </c>
      <c r="K484" s="93">
        <v>3.6</v>
      </c>
      <c r="L484" s="93">
        <f>K484*VLOOKUP(H484,dagsoorttabel1,2,FALSE)</f>
        <v>3.6</v>
      </c>
      <c r="M484" s="94">
        <f>prodnorm52</f>
        <v>0</v>
      </c>
      <c r="N484" s="91" t="s">
        <v>101</v>
      </c>
      <c r="O484" s="26">
        <f>uurtarief52</f>
        <v>0</v>
      </c>
      <c r="P484" s="93" t="e">
        <f>IF(ISBLANK(M484),0,L484/ROUND(M484,4))</f>
        <v>#DIV/0!</v>
      </c>
      <c r="Q484" s="26" t="e">
        <f>ROUND(O484,2)*P484</f>
        <v>#DIV/0!</v>
      </c>
      <c r="R484" s="93" t="e">
        <f>P484*dagenperjaar1</f>
        <v>#DIV/0!</v>
      </c>
      <c r="S484" s="27" t="e">
        <f>R484*ROUND(O484,2)</f>
        <v>#DIV/0!</v>
      </c>
    </row>
    <row r="485" spans="1:19" x14ac:dyDescent="0.2">
      <c r="A485" s="90" t="s">
        <v>557</v>
      </c>
      <c r="B485" s="91" t="s">
        <v>35</v>
      </c>
      <c r="C485" s="91" t="s">
        <v>744</v>
      </c>
      <c r="D485" s="91" t="s">
        <v>789</v>
      </c>
      <c r="E485" s="92" t="s">
        <v>560</v>
      </c>
      <c r="F485" s="91" t="s">
        <v>361</v>
      </c>
      <c r="G485" s="91" t="s">
        <v>283</v>
      </c>
      <c r="H485" s="91" t="s">
        <v>9</v>
      </c>
      <c r="I485" s="91" t="s">
        <v>235</v>
      </c>
      <c r="J485" s="92" t="s">
        <v>284</v>
      </c>
      <c r="K485" s="93">
        <v>30.6</v>
      </c>
      <c r="L485" s="93">
        <f>K485*VLOOKUP(H485,dagsoorttabel1,2,FALSE)</f>
        <v>30.6</v>
      </c>
      <c r="M485" s="94">
        <f>prodnorm108</f>
        <v>0</v>
      </c>
      <c r="N485" s="91" t="s">
        <v>101</v>
      </c>
      <c r="O485" s="26">
        <f>uurtarief108</f>
        <v>0</v>
      </c>
      <c r="P485" s="93" t="e">
        <f>IF(ISBLANK(M485),0,L485/ROUND(M485,4))</f>
        <v>#DIV/0!</v>
      </c>
      <c r="Q485" s="26" t="e">
        <f>ROUND(O485,2)*P485</f>
        <v>#DIV/0!</v>
      </c>
      <c r="R485" s="93" t="e">
        <f>P485*dagenperjaar1</f>
        <v>#DIV/0!</v>
      </c>
      <c r="S485" s="27" t="e">
        <f>R485*ROUND(O485,2)</f>
        <v>#DIV/0!</v>
      </c>
    </row>
    <row r="486" spans="1:19" x14ac:dyDescent="0.2">
      <c r="A486" s="90" t="s">
        <v>557</v>
      </c>
      <c r="B486" s="91" t="s">
        <v>35</v>
      </c>
      <c r="C486" s="91" t="s">
        <v>744</v>
      </c>
      <c r="D486" s="91" t="s">
        <v>790</v>
      </c>
      <c r="E486" s="92" t="s">
        <v>560</v>
      </c>
      <c r="F486" s="91" t="s">
        <v>361</v>
      </c>
      <c r="G486" s="91" t="s">
        <v>283</v>
      </c>
      <c r="H486" s="91" t="s">
        <v>9</v>
      </c>
      <c r="I486" s="91" t="s">
        <v>235</v>
      </c>
      <c r="J486" s="92" t="s">
        <v>284</v>
      </c>
      <c r="K486" s="93">
        <v>14.7</v>
      </c>
      <c r="L486" s="93">
        <f>K486*VLOOKUP(H486,dagsoorttabel1,2,FALSE)</f>
        <v>14.7</v>
      </c>
      <c r="M486" s="94">
        <f>prodnorm108</f>
        <v>0</v>
      </c>
      <c r="N486" s="91" t="s">
        <v>101</v>
      </c>
      <c r="O486" s="26">
        <f>uurtarief108</f>
        <v>0</v>
      </c>
      <c r="P486" s="93" t="e">
        <f>IF(ISBLANK(M486),0,L486/ROUND(M486,4))</f>
        <v>#DIV/0!</v>
      </c>
      <c r="Q486" s="26" t="e">
        <f>ROUND(O486,2)*P486</f>
        <v>#DIV/0!</v>
      </c>
      <c r="R486" s="93" t="e">
        <f>P486*dagenperjaar1</f>
        <v>#DIV/0!</v>
      </c>
      <c r="S486" s="27" t="e">
        <f>R486*ROUND(O486,2)</f>
        <v>#DIV/0!</v>
      </c>
    </row>
    <row r="487" spans="1:19" x14ac:dyDescent="0.2">
      <c r="A487" s="90" t="s">
        <v>557</v>
      </c>
      <c r="B487" s="91" t="s">
        <v>35</v>
      </c>
      <c r="C487" s="91" t="s">
        <v>744</v>
      </c>
      <c r="D487" s="91" t="s">
        <v>791</v>
      </c>
      <c r="E487" s="92" t="s">
        <v>711</v>
      </c>
      <c r="F487" s="91" t="s">
        <v>387</v>
      </c>
      <c r="G487" s="91" t="s">
        <v>241</v>
      </c>
      <c r="H487" s="91" t="s">
        <v>9</v>
      </c>
      <c r="I487" s="91" t="s">
        <v>235</v>
      </c>
      <c r="J487" s="92" t="s">
        <v>243</v>
      </c>
      <c r="K487" s="93">
        <v>39.799999999999997</v>
      </c>
      <c r="L487" s="93">
        <f>K487*VLOOKUP(H487,dagsoorttabel1,2,FALSE)</f>
        <v>39.799999999999997</v>
      </c>
      <c r="M487" s="94">
        <f>prodnorm57</f>
        <v>0</v>
      </c>
      <c r="N487" s="91" t="s">
        <v>101</v>
      </c>
      <c r="O487" s="26">
        <f>uurtarief57</f>
        <v>0</v>
      </c>
      <c r="P487" s="93" t="e">
        <f>IF(ISBLANK(M487),0,L487/ROUND(M487,4))</f>
        <v>#DIV/0!</v>
      </c>
      <c r="Q487" s="26" t="e">
        <f>ROUND(O487,2)*P487</f>
        <v>#DIV/0!</v>
      </c>
      <c r="R487" s="93" t="e">
        <f>P487*dagenperjaar1</f>
        <v>#DIV/0!</v>
      </c>
      <c r="S487" s="27" t="e">
        <f>R487*ROUND(O487,2)</f>
        <v>#DIV/0!</v>
      </c>
    </row>
    <row r="488" spans="1:19" ht="25.2" x14ac:dyDescent="0.2">
      <c r="A488" s="90" t="s">
        <v>557</v>
      </c>
      <c r="B488" s="91" t="s">
        <v>35</v>
      </c>
      <c r="C488" s="91" t="s">
        <v>744</v>
      </c>
      <c r="D488" s="91" t="s">
        <v>792</v>
      </c>
      <c r="E488" s="92" t="s">
        <v>550</v>
      </c>
      <c r="F488" s="91" t="s">
        <v>387</v>
      </c>
      <c r="G488" s="91" t="s">
        <v>250</v>
      </c>
      <c r="H488" s="91" t="s">
        <v>9</v>
      </c>
      <c r="I488" s="91" t="s">
        <v>235</v>
      </c>
      <c r="J488" s="92" t="s">
        <v>251</v>
      </c>
      <c r="K488" s="93">
        <v>15.6</v>
      </c>
      <c r="L488" s="93">
        <f>K488*VLOOKUP(H488,dagsoorttabel1,2,FALSE)</f>
        <v>15.6</v>
      </c>
      <c r="M488" s="94">
        <f>prodnorm66</f>
        <v>0</v>
      </c>
      <c r="N488" s="91" t="s">
        <v>101</v>
      </c>
      <c r="O488" s="26">
        <f>uurtarief66</f>
        <v>0</v>
      </c>
      <c r="P488" s="93" t="e">
        <f>IF(ISBLANK(M488),0,L488/ROUND(M488,4))</f>
        <v>#DIV/0!</v>
      </c>
      <c r="Q488" s="26" t="e">
        <f>ROUND(O488,2)*P488</f>
        <v>#DIV/0!</v>
      </c>
      <c r="R488" s="93" t="e">
        <f>P488*dagenperjaar1</f>
        <v>#DIV/0!</v>
      </c>
      <c r="S488" s="27" t="e">
        <f>R488*ROUND(O488,2)</f>
        <v>#DIV/0!</v>
      </c>
    </row>
    <row r="489" spans="1:19" ht="25.2" x14ac:dyDescent="0.2">
      <c r="A489" s="90" t="s">
        <v>557</v>
      </c>
      <c r="B489" s="91" t="s">
        <v>35</v>
      </c>
      <c r="C489" s="91" t="s">
        <v>744</v>
      </c>
      <c r="D489" s="91" t="s">
        <v>793</v>
      </c>
      <c r="E489" s="92" t="s">
        <v>550</v>
      </c>
      <c r="F489" s="91" t="s">
        <v>387</v>
      </c>
      <c r="G489" s="91" t="s">
        <v>250</v>
      </c>
      <c r="H489" s="91" t="s">
        <v>9</v>
      </c>
      <c r="I489" s="91" t="s">
        <v>235</v>
      </c>
      <c r="J489" s="92" t="s">
        <v>251</v>
      </c>
      <c r="K489" s="93">
        <v>7.7</v>
      </c>
      <c r="L489" s="93">
        <f>K489*VLOOKUP(H489,dagsoorttabel1,2,FALSE)</f>
        <v>7.7</v>
      </c>
      <c r="M489" s="94">
        <f>prodnorm66</f>
        <v>0</v>
      </c>
      <c r="N489" s="91" t="s">
        <v>101</v>
      </c>
      <c r="O489" s="26">
        <f>uurtarief66</f>
        <v>0</v>
      </c>
      <c r="P489" s="93" t="e">
        <f>IF(ISBLANK(M489),0,L489/ROUND(M489,4))</f>
        <v>#DIV/0!</v>
      </c>
      <c r="Q489" s="26" t="e">
        <f>ROUND(O489,2)*P489</f>
        <v>#DIV/0!</v>
      </c>
      <c r="R489" s="93" t="e">
        <f>P489*dagenperjaar1</f>
        <v>#DIV/0!</v>
      </c>
      <c r="S489" s="27" t="e">
        <f>R489*ROUND(O489,2)</f>
        <v>#DIV/0!</v>
      </c>
    </row>
    <row r="490" spans="1:19" x14ac:dyDescent="0.2">
      <c r="A490" s="90" t="s">
        <v>557</v>
      </c>
      <c r="B490" s="91" t="s">
        <v>35</v>
      </c>
      <c r="C490" s="91" t="s">
        <v>744</v>
      </c>
      <c r="D490" s="91" t="s">
        <v>794</v>
      </c>
      <c r="E490" s="92" t="s">
        <v>410</v>
      </c>
      <c r="F490" s="91" t="s">
        <v>387</v>
      </c>
      <c r="G490" s="91" t="s">
        <v>241</v>
      </c>
      <c r="H490" s="91" t="s">
        <v>9</v>
      </c>
      <c r="I490" s="91" t="s">
        <v>235</v>
      </c>
      <c r="J490" s="92" t="s">
        <v>243</v>
      </c>
      <c r="K490" s="93">
        <v>7.7</v>
      </c>
      <c r="L490" s="93">
        <f>K490*VLOOKUP(H490,dagsoorttabel1,2,FALSE)</f>
        <v>7.7</v>
      </c>
      <c r="M490" s="94">
        <f>prodnorm57</f>
        <v>0</v>
      </c>
      <c r="N490" s="91" t="s">
        <v>101</v>
      </c>
      <c r="O490" s="26">
        <f>uurtarief57</f>
        <v>0</v>
      </c>
      <c r="P490" s="93" t="e">
        <f>IF(ISBLANK(M490),0,L490/ROUND(M490,4))</f>
        <v>#DIV/0!</v>
      </c>
      <c r="Q490" s="26" t="e">
        <f>ROUND(O490,2)*P490</f>
        <v>#DIV/0!</v>
      </c>
      <c r="R490" s="93" t="e">
        <f>P490*dagenperjaar1</f>
        <v>#DIV/0!</v>
      </c>
      <c r="S490" s="27" t="e">
        <f>R490*ROUND(O490,2)</f>
        <v>#DIV/0!</v>
      </c>
    </row>
    <row r="491" spans="1:19" x14ac:dyDescent="0.2">
      <c r="A491" s="90" t="s">
        <v>557</v>
      </c>
      <c r="B491" s="91" t="s">
        <v>35</v>
      </c>
      <c r="C491" s="91" t="s">
        <v>744</v>
      </c>
      <c r="D491" s="91" t="s">
        <v>795</v>
      </c>
      <c r="E491" s="92" t="s">
        <v>493</v>
      </c>
      <c r="F491" s="91" t="s">
        <v>361</v>
      </c>
      <c r="G491" s="91" t="s">
        <v>298</v>
      </c>
      <c r="H491" s="91" t="s">
        <v>9</v>
      </c>
      <c r="I491" s="91" t="s">
        <v>235</v>
      </c>
      <c r="J491" s="92" t="s">
        <v>299</v>
      </c>
      <c r="K491" s="93">
        <v>12.1</v>
      </c>
      <c r="L491" s="93">
        <f>K491*VLOOKUP(H491,dagsoorttabel1,2,FALSE)</f>
        <v>12.1</v>
      </c>
      <c r="M491" s="94">
        <f>prodnorm126</f>
        <v>0</v>
      </c>
      <c r="N491" s="91" t="s">
        <v>101</v>
      </c>
      <c r="O491" s="26">
        <f>uurtarief126</f>
        <v>0</v>
      </c>
      <c r="P491" s="93" t="e">
        <f>IF(ISBLANK(M491),0,L491/ROUND(M491,4))</f>
        <v>#DIV/0!</v>
      </c>
      <c r="Q491" s="26" t="e">
        <f>ROUND(O491,2)*P491</f>
        <v>#DIV/0!</v>
      </c>
      <c r="R491" s="93" t="e">
        <f>P491*dagenperjaar1</f>
        <v>#DIV/0!</v>
      </c>
      <c r="S491" s="27" t="e">
        <f>R491*ROUND(O491,2)</f>
        <v>#DIV/0!</v>
      </c>
    </row>
    <row r="492" spans="1:19" x14ac:dyDescent="0.2">
      <c r="A492" s="90" t="s">
        <v>557</v>
      </c>
      <c r="B492" s="91" t="s">
        <v>35</v>
      </c>
      <c r="C492" s="91" t="s">
        <v>744</v>
      </c>
      <c r="D492" s="91" t="s">
        <v>796</v>
      </c>
      <c r="E492" s="92" t="s">
        <v>318</v>
      </c>
      <c r="F492" s="91" t="s">
        <v>385</v>
      </c>
      <c r="G492" s="91" t="s">
        <v>298</v>
      </c>
      <c r="H492" s="91" t="s">
        <v>9</v>
      </c>
      <c r="I492" s="91" t="s">
        <v>235</v>
      </c>
      <c r="J492" s="92" t="s">
        <v>299</v>
      </c>
      <c r="K492" s="93">
        <v>8.8000000000000007</v>
      </c>
      <c r="L492" s="93">
        <f>K492*VLOOKUP(H492,dagsoorttabel1,2,FALSE)</f>
        <v>8.8000000000000007</v>
      </c>
      <c r="M492" s="94">
        <f>prodnorm126</f>
        <v>0</v>
      </c>
      <c r="N492" s="91" t="s">
        <v>101</v>
      </c>
      <c r="O492" s="26">
        <f>uurtarief126</f>
        <v>0</v>
      </c>
      <c r="P492" s="93" t="e">
        <f>IF(ISBLANK(M492),0,L492/ROUND(M492,4))</f>
        <v>#DIV/0!</v>
      </c>
      <c r="Q492" s="26" t="e">
        <f>ROUND(O492,2)*P492</f>
        <v>#DIV/0!</v>
      </c>
      <c r="R492" s="93" t="e">
        <f>P492*dagenperjaar1</f>
        <v>#DIV/0!</v>
      </c>
      <c r="S492" s="27" t="e">
        <f>R492*ROUND(O492,2)</f>
        <v>#DIV/0!</v>
      </c>
    </row>
    <row r="493" spans="1:19" x14ac:dyDescent="0.2">
      <c r="A493" s="90" t="s">
        <v>557</v>
      </c>
      <c r="B493" s="91" t="s">
        <v>35</v>
      </c>
      <c r="C493" s="91" t="s">
        <v>744</v>
      </c>
      <c r="D493" s="91" t="s">
        <v>797</v>
      </c>
      <c r="E493" s="92" t="s">
        <v>720</v>
      </c>
      <c r="F493" s="91" t="s">
        <v>387</v>
      </c>
      <c r="G493" s="91" t="s">
        <v>241</v>
      </c>
      <c r="H493" s="91" t="s">
        <v>9</v>
      </c>
      <c r="I493" s="91" t="s">
        <v>235</v>
      </c>
      <c r="J493" s="92" t="s">
        <v>243</v>
      </c>
      <c r="K493" s="93">
        <v>5.2</v>
      </c>
      <c r="L493" s="93">
        <f>K493*VLOOKUP(H493,dagsoorttabel1,2,FALSE)</f>
        <v>5.2</v>
      </c>
      <c r="M493" s="94">
        <f>prodnorm57</f>
        <v>0</v>
      </c>
      <c r="N493" s="91" t="s">
        <v>101</v>
      </c>
      <c r="O493" s="26">
        <f>uurtarief57</f>
        <v>0</v>
      </c>
      <c r="P493" s="93" t="e">
        <f>IF(ISBLANK(M493),0,L493/ROUND(M493,4))</f>
        <v>#DIV/0!</v>
      </c>
      <c r="Q493" s="26" t="e">
        <f>ROUND(O493,2)*P493</f>
        <v>#DIV/0!</v>
      </c>
      <c r="R493" s="93" t="e">
        <f>P493*dagenperjaar1</f>
        <v>#DIV/0!</v>
      </c>
      <c r="S493" s="27" t="e">
        <f>R493*ROUND(O493,2)</f>
        <v>#DIV/0!</v>
      </c>
    </row>
    <row r="494" spans="1:19" x14ac:dyDescent="0.2">
      <c r="A494" s="90" t="s">
        <v>557</v>
      </c>
      <c r="B494" s="91" t="s">
        <v>35</v>
      </c>
      <c r="C494" s="91" t="s">
        <v>744</v>
      </c>
      <c r="D494" s="91" t="s">
        <v>798</v>
      </c>
      <c r="E494" s="92" t="s">
        <v>722</v>
      </c>
      <c r="F494" s="91" t="s">
        <v>387</v>
      </c>
      <c r="G494" s="91" t="s">
        <v>237</v>
      </c>
      <c r="H494" s="91" t="s">
        <v>9</v>
      </c>
      <c r="I494" s="91" t="s">
        <v>235</v>
      </c>
      <c r="J494" s="92" t="s">
        <v>238</v>
      </c>
      <c r="K494" s="93">
        <v>3.3</v>
      </c>
      <c r="L494" s="93">
        <f>K494*VLOOKUP(H494,dagsoorttabel1,2,FALSE)</f>
        <v>3.3</v>
      </c>
      <c r="M494" s="94">
        <f>prodnorm52</f>
        <v>0</v>
      </c>
      <c r="N494" s="91" t="s">
        <v>101</v>
      </c>
      <c r="O494" s="26">
        <f>uurtarief52</f>
        <v>0</v>
      </c>
      <c r="P494" s="93" t="e">
        <f>IF(ISBLANK(M494),0,L494/ROUND(M494,4))</f>
        <v>#DIV/0!</v>
      </c>
      <c r="Q494" s="26" t="e">
        <f>ROUND(O494,2)*P494</f>
        <v>#DIV/0!</v>
      </c>
      <c r="R494" s="93" t="e">
        <f>P494*dagenperjaar1</f>
        <v>#DIV/0!</v>
      </c>
      <c r="S494" s="27" t="e">
        <f>R494*ROUND(O494,2)</f>
        <v>#DIV/0!</v>
      </c>
    </row>
    <row r="495" spans="1:19" x14ac:dyDescent="0.2">
      <c r="A495" s="90" t="s">
        <v>557</v>
      </c>
      <c r="B495" s="91" t="s">
        <v>35</v>
      </c>
      <c r="C495" s="91" t="s">
        <v>744</v>
      </c>
      <c r="D495" s="91" t="s">
        <v>799</v>
      </c>
      <c r="E495" s="92" t="s">
        <v>722</v>
      </c>
      <c r="F495" s="91" t="s">
        <v>387</v>
      </c>
      <c r="G495" s="91" t="s">
        <v>237</v>
      </c>
      <c r="H495" s="91" t="s">
        <v>9</v>
      </c>
      <c r="I495" s="91" t="s">
        <v>235</v>
      </c>
      <c r="J495" s="92" t="s">
        <v>238</v>
      </c>
      <c r="K495" s="93">
        <v>3.3</v>
      </c>
      <c r="L495" s="93">
        <f>K495*VLOOKUP(H495,dagsoorttabel1,2,FALSE)</f>
        <v>3.3</v>
      </c>
      <c r="M495" s="94">
        <f>prodnorm52</f>
        <v>0</v>
      </c>
      <c r="N495" s="91" t="s">
        <v>101</v>
      </c>
      <c r="O495" s="26">
        <f>uurtarief52</f>
        <v>0</v>
      </c>
      <c r="P495" s="93" t="e">
        <f>IF(ISBLANK(M495),0,L495/ROUND(M495,4))</f>
        <v>#DIV/0!</v>
      </c>
      <c r="Q495" s="26" t="e">
        <f>ROUND(O495,2)*P495</f>
        <v>#DIV/0!</v>
      </c>
      <c r="R495" s="93" t="e">
        <f>P495*dagenperjaar1</f>
        <v>#DIV/0!</v>
      </c>
      <c r="S495" s="27" t="e">
        <f>R495*ROUND(O495,2)</f>
        <v>#DIV/0!</v>
      </c>
    </row>
    <row r="496" spans="1:19" x14ac:dyDescent="0.2">
      <c r="A496" s="90" t="s">
        <v>557</v>
      </c>
      <c r="B496" s="91" t="s">
        <v>35</v>
      </c>
      <c r="C496" s="91" t="s">
        <v>744</v>
      </c>
      <c r="D496" s="91" t="s">
        <v>800</v>
      </c>
      <c r="E496" s="92" t="s">
        <v>720</v>
      </c>
      <c r="F496" s="91" t="s">
        <v>387</v>
      </c>
      <c r="G496" s="91" t="s">
        <v>241</v>
      </c>
      <c r="H496" s="91" t="s">
        <v>9</v>
      </c>
      <c r="I496" s="91" t="s">
        <v>235</v>
      </c>
      <c r="J496" s="92" t="s">
        <v>243</v>
      </c>
      <c r="K496" s="93">
        <v>3.3</v>
      </c>
      <c r="L496" s="93">
        <f>K496*VLOOKUP(H496,dagsoorttabel1,2,FALSE)</f>
        <v>3.3</v>
      </c>
      <c r="M496" s="94">
        <f>prodnorm57</f>
        <v>0</v>
      </c>
      <c r="N496" s="91" t="s">
        <v>101</v>
      </c>
      <c r="O496" s="26">
        <f>uurtarief57</f>
        <v>0</v>
      </c>
      <c r="P496" s="93" t="e">
        <f>IF(ISBLANK(M496),0,L496/ROUND(M496,4))</f>
        <v>#DIV/0!</v>
      </c>
      <c r="Q496" s="26" t="e">
        <f>ROUND(O496,2)*P496</f>
        <v>#DIV/0!</v>
      </c>
      <c r="R496" s="93" t="e">
        <f>P496*dagenperjaar1</f>
        <v>#DIV/0!</v>
      </c>
      <c r="S496" s="27" t="e">
        <f>R496*ROUND(O496,2)</f>
        <v>#DIV/0!</v>
      </c>
    </row>
    <row r="497" spans="1:19" x14ac:dyDescent="0.2">
      <c r="A497" s="90" t="s">
        <v>557</v>
      </c>
      <c r="B497" s="91" t="s">
        <v>35</v>
      </c>
      <c r="C497" s="91" t="s">
        <v>744</v>
      </c>
      <c r="D497" s="91" t="s">
        <v>801</v>
      </c>
      <c r="E497" s="92" t="s">
        <v>713</v>
      </c>
      <c r="F497" s="91" t="s">
        <v>387</v>
      </c>
      <c r="G497" s="91" t="s">
        <v>241</v>
      </c>
      <c r="H497" s="91" t="s">
        <v>9</v>
      </c>
      <c r="I497" s="91" t="s">
        <v>235</v>
      </c>
      <c r="J497" s="92" t="s">
        <v>243</v>
      </c>
      <c r="K497" s="93">
        <v>26.5</v>
      </c>
      <c r="L497" s="93">
        <f>K497*VLOOKUP(H497,dagsoorttabel1,2,FALSE)</f>
        <v>26.5</v>
      </c>
      <c r="M497" s="94">
        <f>prodnorm57</f>
        <v>0</v>
      </c>
      <c r="N497" s="91" t="s">
        <v>101</v>
      </c>
      <c r="O497" s="26">
        <f>uurtarief57</f>
        <v>0</v>
      </c>
      <c r="P497" s="93" t="e">
        <f>IF(ISBLANK(M497),0,L497/ROUND(M497,4))</f>
        <v>#DIV/0!</v>
      </c>
      <c r="Q497" s="26" t="e">
        <f>ROUND(O497,2)*P497</f>
        <v>#DIV/0!</v>
      </c>
      <c r="R497" s="93" t="e">
        <f>P497*dagenperjaar1</f>
        <v>#DIV/0!</v>
      </c>
      <c r="S497" s="27" t="e">
        <f>R497*ROUND(O497,2)</f>
        <v>#DIV/0!</v>
      </c>
    </row>
    <row r="498" spans="1:19" x14ac:dyDescent="0.2">
      <c r="A498" s="90" t="s">
        <v>557</v>
      </c>
      <c r="B498" s="91" t="s">
        <v>35</v>
      </c>
      <c r="C498" s="91" t="s">
        <v>744</v>
      </c>
      <c r="D498" s="91" t="s">
        <v>802</v>
      </c>
      <c r="E498" s="92" t="s">
        <v>717</v>
      </c>
      <c r="F498" s="91" t="s">
        <v>361</v>
      </c>
      <c r="G498" s="91" t="s">
        <v>241</v>
      </c>
      <c r="H498" s="91" t="s">
        <v>9</v>
      </c>
      <c r="I498" s="91" t="s">
        <v>235</v>
      </c>
      <c r="J498" s="92" t="s">
        <v>243</v>
      </c>
      <c r="K498" s="93">
        <v>36.700000000000003</v>
      </c>
      <c r="L498" s="93">
        <f>K498*VLOOKUP(H498,dagsoorttabel1,2,FALSE)</f>
        <v>36.700000000000003</v>
      </c>
      <c r="M498" s="94">
        <f>prodnorm57</f>
        <v>0</v>
      </c>
      <c r="N498" s="91" t="s">
        <v>101</v>
      </c>
      <c r="O498" s="26">
        <f>uurtarief57</f>
        <v>0</v>
      </c>
      <c r="P498" s="93" t="e">
        <f>IF(ISBLANK(M498),0,L498/ROUND(M498,4))</f>
        <v>#DIV/0!</v>
      </c>
      <c r="Q498" s="26" t="e">
        <f>ROUND(O498,2)*P498</f>
        <v>#DIV/0!</v>
      </c>
      <c r="R498" s="93" t="e">
        <f>P498*dagenperjaar1</f>
        <v>#DIV/0!</v>
      </c>
      <c r="S498" s="27" t="e">
        <f>R498*ROUND(O498,2)</f>
        <v>#DIV/0!</v>
      </c>
    </row>
    <row r="499" spans="1:19" x14ac:dyDescent="0.2">
      <c r="A499" s="90" t="s">
        <v>557</v>
      </c>
      <c r="B499" s="91" t="s">
        <v>35</v>
      </c>
      <c r="C499" s="91" t="s">
        <v>744</v>
      </c>
      <c r="D499" s="91" t="s">
        <v>803</v>
      </c>
      <c r="E499" s="92" t="s">
        <v>804</v>
      </c>
      <c r="F499" s="91" t="s">
        <v>361</v>
      </c>
      <c r="G499" s="91" t="s">
        <v>262</v>
      </c>
      <c r="H499" s="91" t="s">
        <v>12</v>
      </c>
      <c r="I499" s="91" t="s">
        <v>235</v>
      </c>
      <c r="J499" s="92" t="s">
        <v>263</v>
      </c>
      <c r="K499" s="93">
        <v>15.3</v>
      </c>
      <c r="L499" s="93">
        <f>K499*VLOOKUP(H499,dagsoorttabel1,2,FALSE)</f>
        <v>6.120000000000001</v>
      </c>
      <c r="M499" s="94">
        <f>prodnorm79</f>
        <v>0</v>
      </c>
      <c r="N499" s="91" t="s">
        <v>101</v>
      </c>
      <c r="O499" s="26">
        <f>uurtarief79</f>
        <v>0</v>
      </c>
      <c r="P499" s="93" t="e">
        <f>IF(ISBLANK(M499),0,L499/ROUND(M499,4))</f>
        <v>#DIV/0!</v>
      </c>
      <c r="Q499" s="26" t="e">
        <f>ROUND(O499,2)*P499</f>
        <v>#DIV/0!</v>
      </c>
      <c r="R499" s="93" t="e">
        <f>P499*dagenperjaar1</f>
        <v>#DIV/0!</v>
      </c>
      <c r="S499" s="27" t="e">
        <f>R499*ROUND(O499,2)</f>
        <v>#DIV/0!</v>
      </c>
    </row>
    <row r="500" spans="1:19" ht="25.2" x14ac:dyDescent="0.2">
      <c r="A500" s="90" t="s">
        <v>557</v>
      </c>
      <c r="B500" s="91" t="s">
        <v>35</v>
      </c>
      <c r="C500" s="91" t="s">
        <v>744</v>
      </c>
      <c r="D500" s="91" t="s">
        <v>805</v>
      </c>
      <c r="E500" s="92" t="s">
        <v>375</v>
      </c>
      <c r="F500" s="91" t="s">
        <v>361</v>
      </c>
      <c r="G500" s="91" t="s">
        <v>293</v>
      </c>
      <c r="H500" s="91" t="s">
        <v>9</v>
      </c>
      <c r="I500" s="91" t="s">
        <v>235</v>
      </c>
      <c r="J500" s="92" t="s">
        <v>294</v>
      </c>
      <c r="K500" s="93">
        <v>6.3</v>
      </c>
      <c r="L500" s="93">
        <f>K500*VLOOKUP(H500,dagsoorttabel1,2,FALSE)</f>
        <v>6.3</v>
      </c>
      <c r="M500" s="94">
        <f>prodnorm120</f>
        <v>0</v>
      </c>
      <c r="N500" s="91" t="s">
        <v>101</v>
      </c>
      <c r="O500" s="26">
        <f>uurtarief120</f>
        <v>0</v>
      </c>
      <c r="P500" s="93" t="e">
        <f>IF(ISBLANK(M500),0,L500/ROUND(M500,4))</f>
        <v>#DIV/0!</v>
      </c>
      <c r="Q500" s="26" t="e">
        <f>ROUND(O500,2)*P500</f>
        <v>#DIV/0!</v>
      </c>
      <c r="R500" s="93" t="e">
        <f>P500*dagenperjaar1</f>
        <v>#DIV/0!</v>
      </c>
      <c r="S500" s="27" t="e">
        <f>R500*ROUND(O500,2)</f>
        <v>#DIV/0!</v>
      </c>
    </row>
    <row r="501" spans="1:19" x14ac:dyDescent="0.2">
      <c r="A501" s="90" t="s">
        <v>557</v>
      </c>
      <c r="B501" s="91" t="s">
        <v>35</v>
      </c>
      <c r="C501" s="91" t="s">
        <v>744</v>
      </c>
      <c r="D501" s="91" t="s">
        <v>806</v>
      </c>
      <c r="E501" s="92" t="s">
        <v>678</v>
      </c>
      <c r="F501" s="91" t="s">
        <v>361</v>
      </c>
      <c r="G501" s="91" t="s">
        <v>268</v>
      </c>
      <c r="H501" s="91" t="s">
        <v>12</v>
      </c>
      <c r="I501" s="91" t="s">
        <v>235</v>
      </c>
      <c r="J501" s="92" t="s">
        <v>269</v>
      </c>
      <c r="K501" s="93">
        <v>9.9</v>
      </c>
      <c r="L501" s="93">
        <f>K501*VLOOKUP(H501,dagsoorttabel1,2,FALSE)</f>
        <v>3.9600000000000004</v>
      </c>
      <c r="M501" s="94">
        <f>prodnorm87</f>
        <v>0</v>
      </c>
      <c r="N501" s="91" t="s">
        <v>101</v>
      </c>
      <c r="O501" s="26">
        <f>uurtarief87</f>
        <v>0</v>
      </c>
      <c r="P501" s="93" t="e">
        <f>IF(ISBLANK(M501),0,L501/ROUND(M501,4))</f>
        <v>#DIV/0!</v>
      </c>
      <c r="Q501" s="26" t="e">
        <f>ROUND(O501,2)*P501</f>
        <v>#DIV/0!</v>
      </c>
      <c r="R501" s="93" t="e">
        <f>P501*dagenperjaar1</f>
        <v>#DIV/0!</v>
      </c>
      <c r="S501" s="27" t="e">
        <f>R501*ROUND(O501,2)</f>
        <v>#DIV/0!</v>
      </c>
    </row>
    <row r="502" spans="1:19" x14ac:dyDescent="0.2">
      <c r="A502" s="90" t="s">
        <v>557</v>
      </c>
      <c r="B502" s="91" t="s">
        <v>35</v>
      </c>
      <c r="C502" s="91" t="s">
        <v>744</v>
      </c>
      <c r="D502" s="91" t="s">
        <v>807</v>
      </c>
      <c r="E502" s="92" t="s">
        <v>699</v>
      </c>
      <c r="F502" s="91" t="s">
        <v>329</v>
      </c>
      <c r="G502" s="91" t="s">
        <v>279</v>
      </c>
      <c r="H502" s="91" t="s">
        <v>9</v>
      </c>
      <c r="I502" s="91" t="s">
        <v>235</v>
      </c>
      <c r="J502" s="92" t="s">
        <v>280</v>
      </c>
      <c r="K502" s="93">
        <v>7.2</v>
      </c>
      <c r="L502" s="93">
        <f>K502*VLOOKUP(H502,dagsoorttabel1,2,FALSE)</f>
        <v>7.2</v>
      </c>
      <c r="M502" s="94">
        <f>prodnorm102</f>
        <v>0</v>
      </c>
      <c r="N502" s="91" t="s">
        <v>101</v>
      </c>
      <c r="O502" s="26">
        <f>uurtarief102</f>
        <v>0</v>
      </c>
      <c r="P502" s="93" t="e">
        <f>IF(ISBLANK(M502),0,L502/ROUND(M502,4))</f>
        <v>#DIV/0!</v>
      </c>
      <c r="Q502" s="26" t="e">
        <f>ROUND(O502,2)*P502</f>
        <v>#DIV/0!</v>
      </c>
      <c r="R502" s="93" t="e">
        <f>P502*dagenperjaar1</f>
        <v>#DIV/0!</v>
      </c>
      <c r="S502" s="27" t="e">
        <f>R502*ROUND(O502,2)</f>
        <v>#DIV/0!</v>
      </c>
    </row>
    <row r="503" spans="1:19" ht="25.2" x14ac:dyDescent="0.2">
      <c r="A503" s="90" t="s">
        <v>557</v>
      </c>
      <c r="B503" s="91" t="s">
        <v>35</v>
      </c>
      <c r="C503" s="91" t="s">
        <v>744</v>
      </c>
      <c r="D503" s="91" t="s">
        <v>808</v>
      </c>
      <c r="E503" s="92" t="s">
        <v>360</v>
      </c>
      <c r="F503" s="91" t="s">
        <v>361</v>
      </c>
      <c r="G503" s="91" t="s">
        <v>293</v>
      </c>
      <c r="H503" s="91" t="s">
        <v>13</v>
      </c>
      <c r="I503" s="91" t="s">
        <v>235</v>
      </c>
      <c r="J503" s="92" t="s">
        <v>294</v>
      </c>
      <c r="K503" s="93">
        <v>9</v>
      </c>
      <c r="L503" s="93">
        <f>K503*VLOOKUP(H503,dagsoorttabel1,2,FALSE)</f>
        <v>1.8</v>
      </c>
      <c r="M503" s="94">
        <f>prodnorm119</f>
        <v>0</v>
      </c>
      <c r="N503" s="91" t="s">
        <v>101</v>
      </c>
      <c r="O503" s="26">
        <f>uurtarief119</f>
        <v>0</v>
      </c>
      <c r="P503" s="93" t="e">
        <f>IF(ISBLANK(M503),0,L503/ROUND(M503,4))</f>
        <v>#DIV/0!</v>
      </c>
      <c r="Q503" s="26" t="e">
        <f>ROUND(O503,2)*P503</f>
        <v>#DIV/0!</v>
      </c>
      <c r="R503" s="93" t="e">
        <f>P503*dagenperjaar1</f>
        <v>#DIV/0!</v>
      </c>
      <c r="S503" s="27" t="e">
        <f>R503*ROUND(O503,2)</f>
        <v>#DIV/0!</v>
      </c>
    </row>
    <row r="504" spans="1:19" x14ac:dyDescent="0.2">
      <c r="A504" s="90" t="s">
        <v>557</v>
      </c>
      <c r="B504" s="91" t="s">
        <v>35</v>
      </c>
      <c r="C504" s="91" t="s">
        <v>744</v>
      </c>
      <c r="D504" s="91" t="s">
        <v>809</v>
      </c>
      <c r="E504" s="92" t="s">
        <v>383</v>
      </c>
      <c r="F504" s="91" t="s">
        <v>35</v>
      </c>
      <c r="G504" s="91" t="s">
        <v>352</v>
      </c>
      <c r="H504" s="91"/>
      <c r="I504" s="91"/>
      <c r="J504" s="91"/>
      <c r="K504" s="93">
        <v>0</v>
      </c>
      <c r="L504" s="93"/>
      <c r="M504" s="94"/>
      <c r="N504" s="91"/>
      <c r="O504" s="26"/>
      <c r="P504" s="93"/>
      <c r="Q504" s="26"/>
      <c r="R504" s="95"/>
      <c r="S504" s="27"/>
    </row>
    <row r="505" spans="1:19" x14ac:dyDescent="0.2">
      <c r="A505" s="90" t="s">
        <v>557</v>
      </c>
      <c r="B505" s="91" t="s">
        <v>35</v>
      </c>
      <c r="C505" s="91" t="s">
        <v>744</v>
      </c>
      <c r="D505" s="91" t="s">
        <v>810</v>
      </c>
      <c r="E505" s="92" t="s">
        <v>811</v>
      </c>
      <c r="F505" s="91" t="s">
        <v>361</v>
      </c>
      <c r="G505" s="91" t="s">
        <v>283</v>
      </c>
      <c r="H505" s="91" t="s">
        <v>9</v>
      </c>
      <c r="I505" s="91" t="s">
        <v>235</v>
      </c>
      <c r="J505" s="92" t="s">
        <v>284</v>
      </c>
      <c r="K505" s="93">
        <v>3.5</v>
      </c>
      <c r="L505" s="93">
        <f>K505*VLOOKUP(H505,dagsoorttabel1,2,FALSE)</f>
        <v>3.5</v>
      </c>
      <c r="M505" s="94">
        <f>prodnorm108</f>
        <v>0</v>
      </c>
      <c r="N505" s="91" t="s">
        <v>101</v>
      </c>
      <c r="O505" s="26">
        <f>uurtarief108</f>
        <v>0</v>
      </c>
      <c r="P505" s="93" t="e">
        <f>IF(ISBLANK(M505),0,L505/ROUND(M505,4))</f>
        <v>#DIV/0!</v>
      </c>
      <c r="Q505" s="26" t="e">
        <f>ROUND(O505,2)*P505</f>
        <v>#DIV/0!</v>
      </c>
      <c r="R505" s="93" t="e">
        <f>P505*dagenperjaar1</f>
        <v>#DIV/0!</v>
      </c>
      <c r="S505" s="27" t="e">
        <f>R505*ROUND(O505,2)</f>
        <v>#DIV/0!</v>
      </c>
    </row>
    <row r="506" spans="1:19" x14ac:dyDescent="0.2">
      <c r="A506" s="90" t="s">
        <v>557</v>
      </c>
      <c r="B506" s="91" t="s">
        <v>35</v>
      </c>
      <c r="C506" s="91" t="s">
        <v>744</v>
      </c>
      <c r="D506" s="91" t="s">
        <v>812</v>
      </c>
      <c r="E506" s="92" t="s">
        <v>813</v>
      </c>
      <c r="F506" s="91" t="s">
        <v>361</v>
      </c>
      <c r="G506" s="91" t="s">
        <v>239</v>
      </c>
      <c r="H506" s="91" t="s">
        <v>13</v>
      </c>
      <c r="I506" s="91" t="s">
        <v>235</v>
      </c>
      <c r="J506" s="92" t="s">
        <v>240</v>
      </c>
      <c r="K506" s="93">
        <v>20.6</v>
      </c>
      <c r="L506" s="93">
        <f>K506*VLOOKUP(H506,dagsoorttabel1,2,FALSE)</f>
        <v>4.12</v>
      </c>
      <c r="M506" s="94">
        <f>prodnorm53</f>
        <v>0</v>
      </c>
      <c r="N506" s="91" t="s">
        <v>101</v>
      </c>
      <c r="O506" s="26">
        <f>uurtarief53</f>
        <v>0</v>
      </c>
      <c r="P506" s="93" t="e">
        <f>IF(ISBLANK(M506),0,L506/ROUND(M506,4))</f>
        <v>#DIV/0!</v>
      </c>
      <c r="Q506" s="26" t="e">
        <f>ROUND(O506,2)*P506</f>
        <v>#DIV/0!</v>
      </c>
      <c r="R506" s="93" t="e">
        <f>P506*dagenperjaar1</f>
        <v>#DIV/0!</v>
      </c>
      <c r="S506" s="27" t="e">
        <f>R506*ROUND(O506,2)</f>
        <v>#DIV/0!</v>
      </c>
    </row>
    <row r="507" spans="1:19" x14ac:dyDescent="0.2">
      <c r="A507" s="90" t="s">
        <v>557</v>
      </c>
      <c r="B507" s="91" t="s">
        <v>35</v>
      </c>
      <c r="C507" s="91" t="s">
        <v>744</v>
      </c>
      <c r="D507" s="91" t="s">
        <v>814</v>
      </c>
      <c r="E507" s="92" t="s">
        <v>815</v>
      </c>
      <c r="F507" s="91" t="s">
        <v>361</v>
      </c>
      <c r="G507" s="91" t="s">
        <v>239</v>
      </c>
      <c r="H507" s="91" t="s">
        <v>13</v>
      </c>
      <c r="I507" s="91" t="s">
        <v>235</v>
      </c>
      <c r="J507" s="92" t="s">
        <v>240</v>
      </c>
      <c r="K507" s="93">
        <v>13.4</v>
      </c>
      <c r="L507" s="93">
        <f>K507*VLOOKUP(H507,dagsoorttabel1,2,FALSE)</f>
        <v>2.68</v>
      </c>
      <c r="M507" s="94">
        <f>prodnorm53</f>
        <v>0</v>
      </c>
      <c r="N507" s="91" t="s">
        <v>101</v>
      </c>
      <c r="O507" s="26">
        <f>uurtarief53</f>
        <v>0</v>
      </c>
      <c r="P507" s="93" t="e">
        <f>IF(ISBLANK(M507),0,L507/ROUND(M507,4))</f>
        <v>#DIV/0!</v>
      </c>
      <c r="Q507" s="26" t="e">
        <f>ROUND(O507,2)*P507</f>
        <v>#DIV/0!</v>
      </c>
      <c r="R507" s="93" t="e">
        <f>P507*dagenperjaar1</f>
        <v>#DIV/0!</v>
      </c>
      <c r="S507" s="27" t="e">
        <f>R507*ROUND(O507,2)</f>
        <v>#DIV/0!</v>
      </c>
    </row>
    <row r="508" spans="1:19" x14ac:dyDescent="0.2">
      <c r="A508" s="90" t="s">
        <v>557</v>
      </c>
      <c r="B508" s="91" t="s">
        <v>35</v>
      </c>
      <c r="C508" s="91" t="s">
        <v>744</v>
      </c>
      <c r="D508" s="91" t="s">
        <v>816</v>
      </c>
      <c r="E508" s="92" t="s">
        <v>817</v>
      </c>
      <c r="F508" s="91" t="s">
        <v>361</v>
      </c>
      <c r="G508" s="91" t="s">
        <v>239</v>
      </c>
      <c r="H508" s="91" t="s">
        <v>13</v>
      </c>
      <c r="I508" s="91" t="s">
        <v>235</v>
      </c>
      <c r="J508" s="92" t="s">
        <v>240</v>
      </c>
      <c r="K508" s="93">
        <v>19.899999999999999</v>
      </c>
      <c r="L508" s="93">
        <f>K508*VLOOKUP(H508,dagsoorttabel1,2,FALSE)</f>
        <v>3.98</v>
      </c>
      <c r="M508" s="94">
        <f>prodnorm53</f>
        <v>0</v>
      </c>
      <c r="N508" s="91" t="s">
        <v>101</v>
      </c>
      <c r="O508" s="26">
        <f>uurtarief53</f>
        <v>0</v>
      </c>
      <c r="P508" s="93" t="e">
        <f>IF(ISBLANK(M508),0,L508/ROUND(M508,4))</f>
        <v>#DIV/0!</v>
      </c>
      <c r="Q508" s="26" t="e">
        <f>ROUND(O508,2)*P508</f>
        <v>#DIV/0!</v>
      </c>
      <c r="R508" s="93" t="e">
        <f>P508*dagenperjaar1</f>
        <v>#DIV/0!</v>
      </c>
      <c r="S508" s="27" t="e">
        <f>R508*ROUND(O508,2)</f>
        <v>#DIV/0!</v>
      </c>
    </row>
    <row r="509" spans="1:19" x14ac:dyDescent="0.2">
      <c r="A509" s="90" t="s">
        <v>557</v>
      </c>
      <c r="B509" s="91" t="s">
        <v>35</v>
      </c>
      <c r="C509" s="91" t="s">
        <v>744</v>
      </c>
      <c r="D509" s="91" t="s">
        <v>818</v>
      </c>
      <c r="E509" s="92" t="s">
        <v>819</v>
      </c>
      <c r="F509" s="91" t="s">
        <v>361</v>
      </c>
      <c r="G509" s="91" t="s">
        <v>239</v>
      </c>
      <c r="H509" s="91" t="s">
        <v>13</v>
      </c>
      <c r="I509" s="91" t="s">
        <v>235</v>
      </c>
      <c r="J509" s="92" t="s">
        <v>240</v>
      </c>
      <c r="K509" s="93">
        <v>14.9</v>
      </c>
      <c r="L509" s="93">
        <f>K509*VLOOKUP(H509,dagsoorttabel1,2,FALSE)</f>
        <v>2.9800000000000004</v>
      </c>
      <c r="M509" s="94">
        <f>prodnorm53</f>
        <v>0</v>
      </c>
      <c r="N509" s="91" t="s">
        <v>101</v>
      </c>
      <c r="O509" s="26">
        <f>uurtarief53</f>
        <v>0</v>
      </c>
      <c r="P509" s="93" t="e">
        <f>IF(ISBLANK(M509),0,L509/ROUND(M509,4))</f>
        <v>#DIV/0!</v>
      </c>
      <c r="Q509" s="26" t="e">
        <f>ROUND(O509,2)*P509</f>
        <v>#DIV/0!</v>
      </c>
      <c r="R509" s="93" t="e">
        <f>P509*dagenperjaar1</f>
        <v>#DIV/0!</v>
      </c>
      <c r="S509" s="27" t="e">
        <f>R509*ROUND(O509,2)</f>
        <v>#DIV/0!</v>
      </c>
    </row>
    <row r="510" spans="1:19" x14ac:dyDescent="0.2">
      <c r="A510" s="90" t="s">
        <v>557</v>
      </c>
      <c r="B510" s="91" t="s">
        <v>35</v>
      </c>
      <c r="C510" s="91" t="s">
        <v>744</v>
      </c>
      <c r="D510" s="91" t="s">
        <v>820</v>
      </c>
      <c r="E510" s="92" t="s">
        <v>743</v>
      </c>
      <c r="F510" s="91" t="s">
        <v>361</v>
      </c>
      <c r="G510" s="91" t="s">
        <v>244</v>
      </c>
      <c r="H510" s="91" t="s">
        <v>13</v>
      </c>
      <c r="I510" s="91" t="s">
        <v>235</v>
      </c>
      <c r="J510" s="92" t="s">
        <v>245</v>
      </c>
      <c r="K510" s="93">
        <v>10.199999999999999</v>
      </c>
      <c r="L510" s="93">
        <f>K510*VLOOKUP(H510,dagsoorttabel1,2,FALSE)</f>
        <v>2.04</v>
      </c>
      <c r="M510" s="94">
        <f>prodnorm58</f>
        <v>0</v>
      </c>
      <c r="N510" s="91" t="s">
        <v>101</v>
      </c>
      <c r="O510" s="26">
        <f>uurtarief58</f>
        <v>0</v>
      </c>
      <c r="P510" s="93" t="e">
        <f>IF(ISBLANK(M510),0,L510/ROUND(M510,4))</f>
        <v>#DIV/0!</v>
      </c>
      <c r="Q510" s="26" t="e">
        <f>ROUND(O510,2)*P510</f>
        <v>#DIV/0!</v>
      </c>
      <c r="R510" s="93" t="e">
        <f>P510*dagenperjaar1</f>
        <v>#DIV/0!</v>
      </c>
      <c r="S510" s="27" t="e">
        <f>R510*ROUND(O510,2)</f>
        <v>#DIV/0!</v>
      </c>
    </row>
    <row r="511" spans="1:19" x14ac:dyDescent="0.2">
      <c r="A511" s="90" t="s">
        <v>557</v>
      </c>
      <c r="B511" s="91" t="s">
        <v>35</v>
      </c>
      <c r="C511" s="91" t="s">
        <v>744</v>
      </c>
      <c r="D511" s="91" t="s">
        <v>821</v>
      </c>
      <c r="E511" s="92" t="s">
        <v>367</v>
      </c>
      <c r="F511" s="91" t="s">
        <v>361</v>
      </c>
      <c r="G511" s="91" t="s">
        <v>283</v>
      </c>
      <c r="H511" s="91" t="s">
        <v>13</v>
      </c>
      <c r="I511" s="91" t="s">
        <v>235</v>
      </c>
      <c r="J511" s="92" t="s">
        <v>284</v>
      </c>
      <c r="K511" s="93">
        <v>24.4</v>
      </c>
      <c r="L511" s="93">
        <f>K511*VLOOKUP(H511,dagsoorttabel1,2,FALSE)</f>
        <v>4.88</v>
      </c>
      <c r="M511" s="94">
        <f>prodnorm106</f>
        <v>0</v>
      </c>
      <c r="N511" s="91" t="s">
        <v>101</v>
      </c>
      <c r="O511" s="26">
        <f>uurtarief106</f>
        <v>0</v>
      </c>
      <c r="P511" s="93" t="e">
        <f>IF(ISBLANK(M511),0,L511/ROUND(M511,4))</f>
        <v>#DIV/0!</v>
      </c>
      <c r="Q511" s="26" t="e">
        <f>ROUND(O511,2)*P511</f>
        <v>#DIV/0!</v>
      </c>
      <c r="R511" s="93" t="e">
        <f>P511*dagenperjaar1</f>
        <v>#DIV/0!</v>
      </c>
      <c r="S511" s="27" t="e">
        <f>R511*ROUND(O511,2)</f>
        <v>#DIV/0!</v>
      </c>
    </row>
    <row r="512" spans="1:19" x14ac:dyDescent="0.2">
      <c r="A512" s="90" t="s">
        <v>557</v>
      </c>
      <c r="B512" s="91" t="s">
        <v>35</v>
      </c>
      <c r="C512" s="91" t="s">
        <v>744</v>
      </c>
      <c r="D512" s="91" t="s">
        <v>822</v>
      </c>
      <c r="E512" s="92" t="s">
        <v>333</v>
      </c>
      <c r="F512" s="91" t="s">
        <v>329</v>
      </c>
      <c r="G512" s="91" t="s">
        <v>279</v>
      </c>
      <c r="H512" s="91" t="s">
        <v>13</v>
      </c>
      <c r="I512" s="91" t="s">
        <v>235</v>
      </c>
      <c r="J512" s="92" t="s">
        <v>280</v>
      </c>
      <c r="K512" s="93">
        <v>4</v>
      </c>
      <c r="L512" s="93">
        <f>K512*VLOOKUP(H512,dagsoorttabel1,2,FALSE)</f>
        <v>0.8</v>
      </c>
      <c r="M512" s="94">
        <f>prodnorm100</f>
        <v>0</v>
      </c>
      <c r="N512" s="91" t="s">
        <v>101</v>
      </c>
      <c r="O512" s="26">
        <f>uurtarief100</f>
        <v>0</v>
      </c>
      <c r="P512" s="93" t="e">
        <f>IF(ISBLANK(M512),0,L512/ROUND(M512,4))</f>
        <v>#DIV/0!</v>
      </c>
      <c r="Q512" s="26" t="e">
        <f>ROUND(O512,2)*P512</f>
        <v>#DIV/0!</v>
      </c>
      <c r="R512" s="93" t="e">
        <f>P512*dagenperjaar1</f>
        <v>#DIV/0!</v>
      </c>
      <c r="S512" s="27" t="e">
        <f>R512*ROUND(O512,2)</f>
        <v>#DIV/0!</v>
      </c>
    </row>
    <row r="513" spans="1:19" x14ac:dyDescent="0.2">
      <c r="A513" s="90" t="s">
        <v>557</v>
      </c>
      <c r="B513" s="91" t="s">
        <v>35</v>
      </c>
      <c r="C513" s="91" t="s">
        <v>744</v>
      </c>
      <c r="D513" s="91" t="s">
        <v>823</v>
      </c>
      <c r="E513" s="92" t="s">
        <v>572</v>
      </c>
      <c r="F513" s="91" t="s">
        <v>329</v>
      </c>
      <c r="G513" s="91" t="s">
        <v>352</v>
      </c>
      <c r="H513" s="91"/>
      <c r="I513" s="91"/>
      <c r="J513" s="91"/>
      <c r="K513" s="93">
        <v>2.2000000000000002</v>
      </c>
      <c r="L513" s="93"/>
      <c r="M513" s="94"/>
      <c r="N513" s="91"/>
      <c r="O513" s="26"/>
      <c r="P513" s="93"/>
      <c r="Q513" s="26"/>
      <c r="R513" s="95"/>
      <c r="S513" s="27"/>
    </row>
    <row r="514" spans="1:19" x14ac:dyDescent="0.2">
      <c r="A514" s="90" t="s">
        <v>557</v>
      </c>
      <c r="B514" s="91" t="s">
        <v>35</v>
      </c>
      <c r="C514" s="91" t="s">
        <v>744</v>
      </c>
      <c r="D514" s="91" t="s">
        <v>824</v>
      </c>
      <c r="E514" s="92" t="s">
        <v>363</v>
      </c>
      <c r="F514" s="91" t="s">
        <v>329</v>
      </c>
      <c r="G514" s="91" t="s">
        <v>277</v>
      </c>
      <c r="H514" s="91" t="s">
        <v>13</v>
      </c>
      <c r="I514" s="91" t="s">
        <v>235</v>
      </c>
      <c r="J514" s="92" t="s">
        <v>278</v>
      </c>
      <c r="K514" s="93">
        <v>7.9</v>
      </c>
      <c r="L514" s="93">
        <f>K514*VLOOKUP(H514,dagsoorttabel1,2,FALSE)</f>
        <v>1.58</v>
      </c>
      <c r="M514" s="94">
        <f>prodnorm97</f>
        <v>0</v>
      </c>
      <c r="N514" s="91" t="s">
        <v>101</v>
      </c>
      <c r="O514" s="26">
        <f>uurtarief97</f>
        <v>0</v>
      </c>
      <c r="P514" s="93" t="e">
        <f>IF(ISBLANK(M514),0,L514/ROUND(M514,4))</f>
        <v>#DIV/0!</v>
      </c>
      <c r="Q514" s="26" t="e">
        <f>ROUND(O514,2)*P514</f>
        <v>#DIV/0!</v>
      </c>
      <c r="R514" s="93" t="e">
        <f>P514*dagenperjaar1</f>
        <v>#DIV/0!</v>
      </c>
      <c r="S514" s="27" t="e">
        <f>R514*ROUND(O514,2)</f>
        <v>#DIV/0!</v>
      </c>
    </row>
    <row r="515" spans="1:19" x14ac:dyDescent="0.2">
      <c r="A515" s="90" t="s">
        <v>557</v>
      </c>
      <c r="B515" s="91" t="s">
        <v>35</v>
      </c>
      <c r="C515" s="91" t="s">
        <v>744</v>
      </c>
      <c r="D515" s="91" t="s">
        <v>825</v>
      </c>
      <c r="E515" s="92" t="s">
        <v>551</v>
      </c>
      <c r="F515" s="91" t="s">
        <v>329</v>
      </c>
      <c r="G515" s="91" t="s">
        <v>279</v>
      </c>
      <c r="H515" s="91" t="s">
        <v>13</v>
      </c>
      <c r="I515" s="91" t="s">
        <v>235</v>
      </c>
      <c r="J515" s="92" t="s">
        <v>280</v>
      </c>
      <c r="K515" s="93">
        <v>1</v>
      </c>
      <c r="L515" s="93">
        <f>K515*VLOOKUP(H515,dagsoorttabel1,2,FALSE)</f>
        <v>0.2</v>
      </c>
      <c r="M515" s="94">
        <f>prodnorm100</f>
        <v>0</v>
      </c>
      <c r="N515" s="91" t="s">
        <v>101</v>
      </c>
      <c r="O515" s="26">
        <f>uurtarief100</f>
        <v>0</v>
      </c>
      <c r="P515" s="93" t="e">
        <f>IF(ISBLANK(M515),0,L515/ROUND(M515,4))</f>
        <v>#DIV/0!</v>
      </c>
      <c r="Q515" s="26" t="e">
        <f>ROUND(O515,2)*P515</f>
        <v>#DIV/0!</v>
      </c>
      <c r="R515" s="93" t="e">
        <f>P515*dagenperjaar1</f>
        <v>#DIV/0!</v>
      </c>
      <c r="S515" s="27" t="e">
        <f>R515*ROUND(O515,2)</f>
        <v>#DIV/0!</v>
      </c>
    </row>
    <row r="516" spans="1:19" x14ac:dyDescent="0.2">
      <c r="A516" s="90" t="s">
        <v>557</v>
      </c>
      <c r="B516" s="91" t="s">
        <v>35</v>
      </c>
      <c r="C516" s="91" t="s">
        <v>744</v>
      </c>
      <c r="D516" s="91" t="s">
        <v>826</v>
      </c>
      <c r="E516" s="92" t="s">
        <v>586</v>
      </c>
      <c r="F516" s="91" t="s">
        <v>329</v>
      </c>
      <c r="G516" s="91" t="s">
        <v>275</v>
      </c>
      <c r="H516" s="91" t="s">
        <v>13</v>
      </c>
      <c r="I516" s="91" t="s">
        <v>235</v>
      </c>
      <c r="J516" s="92" t="s">
        <v>276</v>
      </c>
      <c r="K516" s="93">
        <v>1.9000000000000001</v>
      </c>
      <c r="L516" s="93">
        <f>K516*VLOOKUP(H516,dagsoorttabel1,2,FALSE)</f>
        <v>0.38000000000000006</v>
      </c>
      <c r="M516" s="94">
        <f>prodnorm94</f>
        <v>0</v>
      </c>
      <c r="N516" s="91" t="s">
        <v>101</v>
      </c>
      <c r="O516" s="26">
        <f>uurtarief94</f>
        <v>0</v>
      </c>
      <c r="P516" s="93" t="e">
        <f>IF(ISBLANK(M516),0,L516/ROUND(M516,4))</f>
        <v>#DIV/0!</v>
      </c>
      <c r="Q516" s="26" t="e">
        <f>ROUND(O516,2)*P516</f>
        <v>#DIV/0!</v>
      </c>
      <c r="R516" s="93" t="e">
        <f>P516*dagenperjaar1</f>
        <v>#DIV/0!</v>
      </c>
      <c r="S516" s="27" t="e">
        <f>R516*ROUND(O516,2)</f>
        <v>#DIV/0!</v>
      </c>
    </row>
    <row r="517" spans="1:19" x14ac:dyDescent="0.2">
      <c r="A517" s="90" t="s">
        <v>557</v>
      </c>
      <c r="B517" s="91" t="s">
        <v>35</v>
      </c>
      <c r="C517" s="91" t="s">
        <v>744</v>
      </c>
      <c r="D517" s="91" t="s">
        <v>827</v>
      </c>
      <c r="E517" s="92" t="s">
        <v>828</v>
      </c>
      <c r="F517" s="91" t="s">
        <v>329</v>
      </c>
      <c r="G517" s="91" t="s">
        <v>275</v>
      </c>
      <c r="H517" s="91" t="s">
        <v>13</v>
      </c>
      <c r="I517" s="91" t="s">
        <v>235</v>
      </c>
      <c r="J517" s="92" t="s">
        <v>276</v>
      </c>
      <c r="K517" s="93">
        <v>1.9000000000000001</v>
      </c>
      <c r="L517" s="93">
        <f>K517*VLOOKUP(H517,dagsoorttabel1,2,FALSE)</f>
        <v>0.38000000000000006</v>
      </c>
      <c r="M517" s="94">
        <f>prodnorm94</f>
        <v>0</v>
      </c>
      <c r="N517" s="91" t="s">
        <v>101</v>
      </c>
      <c r="O517" s="26">
        <f>uurtarief94</f>
        <v>0</v>
      </c>
      <c r="P517" s="93" t="e">
        <f>IF(ISBLANK(M517),0,L517/ROUND(M517,4))</f>
        <v>#DIV/0!</v>
      </c>
      <c r="Q517" s="26" t="e">
        <f>ROUND(O517,2)*P517</f>
        <v>#DIV/0!</v>
      </c>
      <c r="R517" s="93" t="e">
        <f>P517*dagenperjaar1</f>
        <v>#DIV/0!</v>
      </c>
      <c r="S517" s="27" t="e">
        <f>R517*ROUND(O517,2)</f>
        <v>#DIV/0!</v>
      </c>
    </row>
    <row r="518" spans="1:19" x14ac:dyDescent="0.2">
      <c r="A518" s="90" t="s">
        <v>557</v>
      </c>
      <c r="B518" s="91" t="s">
        <v>35</v>
      </c>
      <c r="C518" s="91" t="s">
        <v>744</v>
      </c>
      <c r="D518" s="91" t="s">
        <v>829</v>
      </c>
      <c r="E518" s="92" t="s">
        <v>562</v>
      </c>
      <c r="F518" s="91" t="s">
        <v>329</v>
      </c>
      <c r="G518" s="91" t="s">
        <v>279</v>
      </c>
      <c r="H518" s="91" t="s">
        <v>13</v>
      </c>
      <c r="I518" s="91" t="s">
        <v>235</v>
      </c>
      <c r="J518" s="92" t="s">
        <v>280</v>
      </c>
      <c r="K518" s="93">
        <v>1</v>
      </c>
      <c r="L518" s="93">
        <f>K518*VLOOKUP(H518,dagsoorttabel1,2,FALSE)</f>
        <v>0.2</v>
      </c>
      <c r="M518" s="94">
        <f>prodnorm100</f>
        <v>0</v>
      </c>
      <c r="N518" s="91" t="s">
        <v>101</v>
      </c>
      <c r="O518" s="26">
        <f>uurtarief100</f>
        <v>0</v>
      </c>
      <c r="P518" s="93" t="e">
        <f>IF(ISBLANK(M518),0,L518/ROUND(M518,4))</f>
        <v>#DIV/0!</v>
      </c>
      <c r="Q518" s="26" t="e">
        <f>ROUND(O518,2)*P518</f>
        <v>#DIV/0!</v>
      </c>
      <c r="R518" s="93" t="e">
        <f>P518*dagenperjaar1</f>
        <v>#DIV/0!</v>
      </c>
      <c r="S518" s="27" t="e">
        <f>R518*ROUND(O518,2)</f>
        <v>#DIV/0!</v>
      </c>
    </row>
    <row r="519" spans="1:19" x14ac:dyDescent="0.2">
      <c r="A519" s="90" t="s">
        <v>557</v>
      </c>
      <c r="B519" s="91" t="s">
        <v>35</v>
      </c>
      <c r="C519" s="91" t="s">
        <v>744</v>
      </c>
      <c r="D519" s="91" t="s">
        <v>830</v>
      </c>
      <c r="E519" s="92" t="s">
        <v>362</v>
      </c>
      <c r="F519" s="91" t="s">
        <v>329</v>
      </c>
      <c r="G519" s="91" t="s">
        <v>277</v>
      </c>
      <c r="H519" s="91" t="s">
        <v>13</v>
      </c>
      <c r="I519" s="91" t="s">
        <v>235</v>
      </c>
      <c r="J519" s="92" t="s">
        <v>278</v>
      </c>
      <c r="K519" s="93">
        <v>7.9</v>
      </c>
      <c r="L519" s="93">
        <f>K519*VLOOKUP(H519,dagsoorttabel1,2,FALSE)</f>
        <v>1.58</v>
      </c>
      <c r="M519" s="94">
        <f>prodnorm97</f>
        <v>0</v>
      </c>
      <c r="N519" s="91" t="s">
        <v>101</v>
      </c>
      <c r="O519" s="26">
        <f>uurtarief97</f>
        <v>0</v>
      </c>
      <c r="P519" s="93" t="e">
        <f>IF(ISBLANK(M519),0,L519/ROUND(M519,4))</f>
        <v>#DIV/0!</v>
      </c>
      <c r="Q519" s="26" t="e">
        <f>ROUND(O519,2)*P519</f>
        <v>#DIV/0!</v>
      </c>
      <c r="R519" s="93" t="e">
        <f>P519*dagenperjaar1</f>
        <v>#DIV/0!</v>
      </c>
      <c r="S519" s="27" t="e">
        <f>R519*ROUND(O519,2)</f>
        <v>#DIV/0!</v>
      </c>
    </row>
    <row r="520" spans="1:19" x14ac:dyDescent="0.2">
      <c r="A520" s="90" t="s">
        <v>557</v>
      </c>
      <c r="B520" s="91" t="s">
        <v>35</v>
      </c>
      <c r="C520" s="91" t="s">
        <v>744</v>
      </c>
      <c r="D520" s="91" t="s">
        <v>831</v>
      </c>
      <c r="E520" s="92" t="s">
        <v>832</v>
      </c>
      <c r="F520" s="91" t="s">
        <v>329</v>
      </c>
      <c r="G520" s="91" t="s">
        <v>258</v>
      </c>
      <c r="H520" s="91" t="s">
        <v>13</v>
      </c>
      <c r="I520" s="91" t="s">
        <v>235</v>
      </c>
      <c r="J520" s="92" t="s">
        <v>259</v>
      </c>
      <c r="K520" s="93">
        <v>309.2</v>
      </c>
      <c r="L520" s="93">
        <f>K520*VLOOKUP(H520,dagsoorttabel1,2,FALSE)</f>
        <v>61.84</v>
      </c>
      <c r="M520" s="94">
        <f>prodnorm74</f>
        <v>0</v>
      </c>
      <c r="N520" s="91" t="s">
        <v>101</v>
      </c>
      <c r="O520" s="26">
        <f>uurtarief74</f>
        <v>0</v>
      </c>
      <c r="P520" s="93" t="e">
        <f>IF(ISBLANK(M520),0,L520/ROUND(M520,4))</f>
        <v>#DIV/0!</v>
      </c>
      <c r="Q520" s="26" t="e">
        <f>ROUND(O520,2)*P520</f>
        <v>#DIV/0!</v>
      </c>
      <c r="R520" s="93" t="e">
        <f>P520*dagenperjaar1</f>
        <v>#DIV/0!</v>
      </c>
      <c r="S520" s="27" t="e">
        <f>R520*ROUND(O520,2)</f>
        <v>#DIV/0!</v>
      </c>
    </row>
    <row r="521" spans="1:19" x14ac:dyDescent="0.2">
      <c r="A521" s="90" t="s">
        <v>557</v>
      </c>
      <c r="B521" s="91" t="s">
        <v>35</v>
      </c>
      <c r="C521" s="91" t="s">
        <v>744</v>
      </c>
      <c r="D521" s="91" t="s">
        <v>833</v>
      </c>
      <c r="E521" s="92" t="s">
        <v>559</v>
      </c>
      <c r="F521" s="91" t="s">
        <v>361</v>
      </c>
      <c r="G521" s="91" t="s">
        <v>298</v>
      </c>
      <c r="H521" s="91" t="s">
        <v>13</v>
      </c>
      <c r="I521" s="91" t="s">
        <v>235</v>
      </c>
      <c r="J521" s="92" t="s">
        <v>299</v>
      </c>
      <c r="K521" s="93">
        <v>3.9</v>
      </c>
      <c r="L521" s="93">
        <f>K521*VLOOKUP(H521,dagsoorttabel1,2,FALSE)</f>
        <v>0.78</v>
      </c>
      <c r="M521" s="94">
        <f>prodnorm124</f>
        <v>0</v>
      </c>
      <c r="N521" s="91" t="s">
        <v>101</v>
      </c>
      <c r="O521" s="26">
        <f>uurtarief124</f>
        <v>0</v>
      </c>
      <c r="P521" s="93" t="e">
        <f>IF(ISBLANK(M521),0,L521/ROUND(M521,4))</f>
        <v>#DIV/0!</v>
      </c>
      <c r="Q521" s="26" t="e">
        <f>ROUND(O521,2)*P521</f>
        <v>#DIV/0!</v>
      </c>
      <c r="R521" s="93" t="e">
        <f>P521*dagenperjaar1</f>
        <v>#DIV/0!</v>
      </c>
      <c r="S521" s="27" t="e">
        <f>R521*ROUND(O521,2)</f>
        <v>#DIV/0!</v>
      </c>
    </row>
    <row r="522" spans="1:19" x14ac:dyDescent="0.2">
      <c r="A522" s="90" t="s">
        <v>557</v>
      </c>
      <c r="B522" s="91" t="s">
        <v>35</v>
      </c>
      <c r="C522" s="91" t="s">
        <v>834</v>
      </c>
      <c r="D522" s="91" t="s">
        <v>835</v>
      </c>
      <c r="E522" s="92" t="s">
        <v>711</v>
      </c>
      <c r="F522" s="91" t="s">
        <v>387</v>
      </c>
      <c r="G522" s="91" t="s">
        <v>241</v>
      </c>
      <c r="H522" s="91" t="s">
        <v>9</v>
      </c>
      <c r="I522" s="91" t="s">
        <v>235</v>
      </c>
      <c r="J522" s="92" t="s">
        <v>243</v>
      </c>
      <c r="K522" s="93">
        <v>28.5</v>
      </c>
      <c r="L522" s="93">
        <f>K522*VLOOKUP(H522,dagsoorttabel1,2,FALSE)</f>
        <v>28.5</v>
      </c>
      <c r="M522" s="94">
        <f>prodnorm57</f>
        <v>0</v>
      </c>
      <c r="N522" s="91" t="s">
        <v>101</v>
      </c>
      <c r="O522" s="26">
        <f>uurtarief57</f>
        <v>0</v>
      </c>
      <c r="P522" s="93" t="e">
        <f>IF(ISBLANK(M522),0,L522/ROUND(M522,4))</f>
        <v>#DIV/0!</v>
      </c>
      <c r="Q522" s="26" t="e">
        <f>ROUND(O522,2)*P522</f>
        <v>#DIV/0!</v>
      </c>
      <c r="R522" s="93" t="e">
        <f>P522*dagenperjaar1</f>
        <v>#DIV/0!</v>
      </c>
      <c r="S522" s="27" t="e">
        <f>R522*ROUND(O522,2)</f>
        <v>#DIV/0!</v>
      </c>
    </row>
    <row r="523" spans="1:19" x14ac:dyDescent="0.2">
      <c r="A523" s="90" t="s">
        <v>557</v>
      </c>
      <c r="B523" s="91" t="s">
        <v>35</v>
      </c>
      <c r="C523" s="91" t="s">
        <v>834</v>
      </c>
      <c r="D523" s="91" t="s">
        <v>836</v>
      </c>
      <c r="E523" s="92" t="s">
        <v>713</v>
      </c>
      <c r="F523" s="91" t="s">
        <v>387</v>
      </c>
      <c r="G523" s="91" t="s">
        <v>241</v>
      </c>
      <c r="H523" s="91" t="s">
        <v>9</v>
      </c>
      <c r="I523" s="91" t="s">
        <v>235</v>
      </c>
      <c r="J523" s="92" t="s">
        <v>243</v>
      </c>
      <c r="K523" s="93">
        <v>23.6</v>
      </c>
      <c r="L523" s="93">
        <f>K523*VLOOKUP(H523,dagsoorttabel1,2,FALSE)</f>
        <v>23.6</v>
      </c>
      <c r="M523" s="94">
        <f>prodnorm57</f>
        <v>0</v>
      </c>
      <c r="N523" s="91" t="s">
        <v>101</v>
      </c>
      <c r="O523" s="26">
        <f>uurtarief57</f>
        <v>0</v>
      </c>
      <c r="P523" s="93" t="e">
        <f>IF(ISBLANK(M523),0,L523/ROUND(M523,4))</f>
        <v>#DIV/0!</v>
      </c>
      <c r="Q523" s="26" t="e">
        <f>ROUND(O523,2)*P523</f>
        <v>#DIV/0!</v>
      </c>
      <c r="R523" s="93" t="e">
        <f>P523*dagenperjaar1</f>
        <v>#DIV/0!</v>
      </c>
      <c r="S523" s="27" t="e">
        <f>R523*ROUND(O523,2)</f>
        <v>#DIV/0!</v>
      </c>
    </row>
    <row r="524" spans="1:19" x14ac:dyDescent="0.2">
      <c r="A524" s="90" t="s">
        <v>557</v>
      </c>
      <c r="B524" s="91" t="s">
        <v>35</v>
      </c>
      <c r="C524" s="91" t="s">
        <v>834</v>
      </c>
      <c r="D524" s="91" t="s">
        <v>837</v>
      </c>
      <c r="E524" s="92" t="s">
        <v>713</v>
      </c>
      <c r="F524" s="91" t="s">
        <v>387</v>
      </c>
      <c r="G524" s="91" t="s">
        <v>241</v>
      </c>
      <c r="H524" s="91" t="s">
        <v>9</v>
      </c>
      <c r="I524" s="91" t="s">
        <v>235</v>
      </c>
      <c r="J524" s="92" t="s">
        <v>243</v>
      </c>
      <c r="K524" s="93">
        <v>11.6</v>
      </c>
      <c r="L524" s="93">
        <f>K524*VLOOKUP(H524,dagsoorttabel1,2,FALSE)</f>
        <v>11.6</v>
      </c>
      <c r="M524" s="94">
        <f>prodnorm57</f>
        <v>0</v>
      </c>
      <c r="N524" s="91" t="s">
        <v>101</v>
      </c>
      <c r="O524" s="26">
        <f>uurtarief57</f>
        <v>0</v>
      </c>
      <c r="P524" s="93" t="e">
        <f>IF(ISBLANK(M524),0,L524/ROUND(M524,4))</f>
        <v>#DIV/0!</v>
      </c>
      <c r="Q524" s="26" t="e">
        <f>ROUND(O524,2)*P524</f>
        <v>#DIV/0!</v>
      </c>
      <c r="R524" s="93" t="e">
        <f>P524*dagenperjaar1</f>
        <v>#DIV/0!</v>
      </c>
      <c r="S524" s="27" t="e">
        <f>R524*ROUND(O524,2)</f>
        <v>#DIV/0!</v>
      </c>
    </row>
    <row r="525" spans="1:19" x14ac:dyDescent="0.2">
      <c r="A525" s="90" t="s">
        <v>557</v>
      </c>
      <c r="B525" s="91" t="s">
        <v>35</v>
      </c>
      <c r="C525" s="91" t="s">
        <v>834</v>
      </c>
      <c r="D525" s="91" t="s">
        <v>838</v>
      </c>
      <c r="E525" s="92" t="s">
        <v>713</v>
      </c>
      <c r="F525" s="91" t="s">
        <v>387</v>
      </c>
      <c r="G525" s="91" t="s">
        <v>241</v>
      </c>
      <c r="H525" s="91" t="s">
        <v>9</v>
      </c>
      <c r="I525" s="91" t="s">
        <v>235</v>
      </c>
      <c r="J525" s="92" t="s">
        <v>243</v>
      </c>
      <c r="K525" s="93">
        <v>11.6</v>
      </c>
      <c r="L525" s="93">
        <f>K525*VLOOKUP(H525,dagsoorttabel1,2,FALSE)</f>
        <v>11.6</v>
      </c>
      <c r="M525" s="94">
        <f>prodnorm57</f>
        <v>0</v>
      </c>
      <c r="N525" s="91" t="s">
        <v>101</v>
      </c>
      <c r="O525" s="26">
        <f>uurtarief57</f>
        <v>0</v>
      </c>
      <c r="P525" s="93" t="e">
        <f>IF(ISBLANK(M525),0,L525/ROUND(M525,4))</f>
        <v>#DIV/0!</v>
      </c>
      <c r="Q525" s="26" t="e">
        <f>ROUND(O525,2)*P525</f>
        <v>#DIV/0!</v>
      </c>
      <c r="R525" s="93" t="e">
        <f>P525*dagenperjaar1</f>
        <v>#DIV/0!</v>
      </c>
      <c r="S525" s="27" t="e">
        <f>R525*ROUND(O525,2)</f>
        <v>#DIV/0!</v>
      </c>
    </row>
    <row r="526" spans="1:19" x14ac:dyDescent="0.2">
      <c r="A526" s="90" t="s">
        <v>557</v>
      </c>
      <c r="B526" s="91" t="s">
        <v>35</v>
      </c>
      <c r="C526" s="91" t="s">
        <v>834</v>
      </c>
      <c r="D526" s="91" t="s">
        <v>839</v>
      </c>
      <c r="E526" s="92" t="s">
        <v>713</v>
      </c>
      <c r="F526" s="91" t="s">
        <v>387</v>
      </c>
      <c r="G526" s="91" t="s">
        <v>241</v>
      </c>
      <c r="H526" s="91" t="s">
        <v>9</v>
      </c>
      <c r="I526" s="91" t="s">
        <v>235</v>
      </c>
      <c r="J526" s="92" t="s">
        <v>243</v>
      </c>
      <c r="K526" s="93">
        <v>26.5</v>
      </c>
      <c r="L526" s="93">
        <f>K526*VLOOKUP(H526,dagsoorttabel1,2,FALSE)</f>
        <v>26.5</v>
      </c>
      <c r="M526" s="94">
        <f>prodnorm57</f>
        <v>0</v>
      </c>
      <c r="N526" s="91" t="s">
        <v>101</v>
      </c>
      <c r="O526" s="26">
        <f>uurtarief57</f>
        <v>0</v>
      </c>
      <c r="P526" s="93" t="e">
        <f>IF(ISBLANK(M526),0,L526/ROUND(M526,4))</f>
        <v>#DIV/0!</v>
      </c>
      <c r="Q526" s="26" t="e">
        <f>ROUND(O526,2)*P526</f>
        <v>#DIV/0!</v>
      </c>
      <c r="R526" s="93" t="e">
        <f>P526*dagenperjaar1</f>
        <v>#DIV/0!</v>
      </c>
      <c r="S526" s="27" t="e">
        <f>R526*ROUND(O526,2)</f>
        <v>#DIV/0!</v>
      </c>
    </row>
    <row r="527" spans="1:19" x14ac:dyDescent="0.2">
      <c r="A527" s="90" t="s">
        <v>557</v>
      </c>
      <c r="B527" s="91" t="s">
        <v>35</v>
      </c>
      <c r="C527" s="91" t="s">
        <v>834</v>
      </c>
      <c r="D527" s="91" t="s">
        <v>840</v>
      </c>
      <c r="E527" s="92" t="s">
        <v>560</v>
      </c>
      <c r="F527" s="91" t="s">
        <v>361</v>
      </c>
      <c r="G527" s="91" t="s">
        <v>283</v>
      </c>
      <c r="H527" s="91" t="s">
        <v>9</v>
      </c>
      <c r="I527" s="91" t="s">
        <v>235</v>
      </c>
      <c r="J527" s="92" t="s">
        <v>284</v>
      </c>
      <c r="K527" s="93">
        <v>56.2</v>
      </c>
      <c r="L527" s="93">
        <f>K527*VLOOKUP(H527,dagsoorttabel1,2,FALSE)</f>
        <v>56.2</v>
      </c>
      <c r="M527" s="94">
        <f>prodnorm108</f>
        <v>0</v>
      </c>
      <c r="N527" s="91" t="s">
        <v>101</v>
      </c>
      <c r="O527" s="26">
        <f>uurtarief108</f>
        <v>0</v>
      </c>
      <c r="P527" s="93" t="e">
        <f>IF(ISBLANK(M527),0,L527/ROUND(M527,4))</f>
        <v>#DIV/0!</v>
      </c>
      <c r="Q527" s="26" t="e">
        <f>ROUND(O527,2)*P527</f>
        <v>#DIV/0!</v>
      </c>
      <c r="R527" s="93" t="e">
        <f>P527*dagenperjaar1</f>
        <v>#DIV/0!</v>
      </c>
      <c r="S527" s="27" t="e">
        <f>R527*ROUND(O527,2)</f>
        <v>#DIV/0!</v>
      </c>
    </row>
    <row r="528" spans="1:19" x14ac:dyDescent="0.2">
      <c r="A528" s="90" t="s">
        <v>557</v>
      </c>
      <c r="B528" s="91" t="s">
        <v>35</v>
      </c>
      <c r="C528" s="91" t="s">
        <v>834</v>
      </c>
      <c r="D528" s="91" t="s">
        <v>841</v>
      </c>
      <c r="E528" s="92" t="s">
        <v>720</v>
      </c>
      <c r="F528" s="91" t="s">
        <v>387</v>
      </c>
      <c r="G528" s="91" t="s">
        <v>241</v>
      </c>
      <c r="H528" s="91" t="s">
        <v>9</v>
      </c>
      <c r="I528" s="91" t="s">
        <v>235</v>
      </c>
      <c r="J528" s="92" t="s">
        <v>243</v>
      </c>
      <c r="K528" s="93">
        <v>5.2</v>
      </c>
      <c r="L528" s="93">
        <f>K528*VLOOKUP(H528,dagsoorttabel1,2,FALSE)</f>
        <v>5.2</v>
      </c>
      <c r="M528" s="94">
        <f>prodnorm57</f>
        <v>0</v>
      </c>
      <c r="N528" s="91" t="s">
        <v>101</v>
      </c>
      <c r="O528" s="26">
        <f>uurtarief57</f>
        <v>0</v>
      </c>
      <c r="P528" s="93" t="e">
        <f>IF(ISBLANK(M528),0,L528/ROUND(M528,4))</f>
        <v>#DIV/0!</v>
      </c>
      <c r="Q528" s="26" t="e">
        <f>ROUND(O528,2)*P528</f>
        <v>#DIV/0!</v>
      </c>
      <c r="R528" s="93" t="e">
        <f>P528*dagenperjaar1</f>
        <v>#DIV/0!</v>
      </c>
      <c r="S528" s="27" t="e">
        <f>R528*ROUND(O528,2)</f>
        <v>#DIV/0!</v>
      </c>
    </row>
    <row r="529" spans="1:19" x14ac:dyDescent="0.2">
      <c r="A529" s="90" t="s">
        <v>557</v>
      </c>
      <c r="B529" s="91" t="s">
        <v>35</v>
      </c>
      <c r="C529" s="91" t="s">
        <v>834</v>
      </c>
      <c r="D529" s="91" t="s">
        <v>842</v>
      </c>
      <c r="E529" s="92" t="s">
        <v>722</v>
      </c>
      <c r="F529" s="91" t="s">
        <v>387</v>
      </c>
      <c r="G529" s="91" t="s">
        <v>237</v>
      </c>
      <c r="H529" s="91" t="s">
        <v>9</v>
      </c>
      <c r="I529" s="91" t="s">
        <v>235</v>
      </c>
      <c r="J529" s="92" t="s">
        <v>238</v>
      </c>
      <c r="K529" s="93">
        <v>3.3</v>
      </c>
      <c r="L529" s="93">
        <f>K529*VLOOKUP(H529,dagsoorttabel1,2,FALSE)</f>
        <v>3.3</v>
      </c>
      <c r="M529" s="94">
        <f>prodnorm52</f>
        <v>0</v>
      </c>
      <c r="N529" s="91" t="s">
        <v>101</v>
      </c>
      <c r="O529" s="26">
        <f>uurtarief52</f>
        <v>0</v>
      </c>
      <c r="P529" s="93" t="e">
        <f>IF(ISBLANK(M529),0,L529/ROUND(M529,4))</f>
        <v>#DIV/0!</v>
      </c>
      <c r="Q529" s="26" t="e">
        <f>ROUND(O529,2)*P529</f>
        <v>#DIV/0!</v>
      </c>
      <c r="R529" s="93" t="e">
        <f>P529*dagenperjaar1</f>
        <v>#DIV/0!</v>
      </c>
      <c r="S529" s="27" t="e">
        <f>R529*ROUND(O529,2)</f>
        <v>#DIV/0!</v>
      </c>
    </row>
    <row r="530" spans="1:19" x14ac:dyDescent="0.2">
      <c r="A530" s="90" t="s">
        <v>557</v>
      </c>
      <c r="B530" s="91" t="s">
        <v>35</v>
      </c>
      <c r="C530" s="91" t="s">
        <v>834</v>
      </c>
      <c r="D530" s="91" t="s">
        <v>843</v>
      </c>
      <c r="E530" s="92" t="s">
        <v>722</v>
      </c>
      <c r="F530" s="91" t="s">
        <v>387</v>
      </c>
      <c r="G530" s="91" t="s">
        <v>237</v>
      </c>
      <c r="H530" s="91" t="s">
        <v>9</v>
      </c>
      <c r="I530" s="91" t="s">
        <v>235</v>
      </c>
      <c r="J530" s="92" t="s">
        <v>238</v>
      </c>
      <c r="K530" s="93">
        <v>3.3</v>
      </c>
      <c r="L530" s="93">
        <f>K530*VLOOKUP(H530,dagsoorttabel1,2,FALSE)</f>
        <v>3.3</v>
      </c>
      <c r="M530" s="94">
        <f>prodnorm52</f>
        <v>0</v>
      </c>
      <c r="N530" s="91" t="s">
        <v>101</v>
      </c>
      <c r="O530" s="26">
        <f>uurtarief52</f>
        <v>0</v>
      </c>
      <c r="P530" s="93" t="e">
        <f>IF(ISBLANK(M530),0,L530/ROUND(M530,4))</f>
        <v>#DIV/0!</v>
      </c>
      <c r="Q530" s="26" t="e">
        <f>ROUND(O530,2)*P530</f>
        <v>#DIV/0!</v>
      </c>
      <c r="R530" s="93" t="e">
        <f>P530*dagenperjaar1</f>
        <v>#DIV/0!</v>
      </c>
      <c r="S530" s="27" t="e">
        <f>R530*ROUND(O530,2)</f>
        <v>#DIV/0!</v>
      </c>
    </row>
    <row r="531" spans="1:19" x14ac:dyDescent="0.2">
      <c r="A531" s="90" t="s">
        <v>557</v>
      </c>
      <c r="B531" s="91" t="s">
        <v>35</v>
      </c>
      <c r="C531" s="91" t="s">
        <v>834</v>
      </c>
      <c r="D531" s="91" t="s">
        <v>844</v>
      </c>
      <c r="E531" s="92" t="s">
        <v>720</v>
      </c>
      <c r="F531" s="91" t="s">
        <v>387</v>
      </c>
      <c r="G531" s="91" t="s">
        <v>241</v>
      </c>
      <c r="H531" s="91" t="s">
        <v>9</v>
      </c>
      <c r="I531" s="91" t="s">
        <v>235</v>
      </c>
      <c r="J531" s="92" t="s">
        <v>243</v>
      </c>
      <c r="K531" s="93">
        <v>5.2</v>
      </c>
      <c r="L531" s="93">
        <f>K531*VLOOKUP(H531,dagsoorttabel1,2,FALSE)</f>
        <v>5.2</v>
      </c>
      <c r="M531" s="94">
        <f>prodnorm57</f>
        <v>0</v>
      </c>
      <c r="N531" s="91" t="s">
        <v>101</v>
      </c>
      <c r="O531" s="26">
        <f>uurtarief57</f>
        <v>0</v>
      </c>
      <c r="P531" s="93" t="e">
        <f>IF(ISBLANK(M531),0,L531/ROUND(M531,4))</f>
        <v>#DIV/0!</v>
      </c>
      <c r="Q531" s="26" t="e">
        <f>ROUND(O531,2)*P531</f>
        <v>#DIV/0!</v>
      </c>
      <c r="R531" s="93" t="e">
        <f>P531*dagenperjaar1</f>
        <v>#DIV/0!</v>
      </c>
      <c r="S531" s="27" t="e">
        <f>R531*ROUND(O531,2)</f>
        <v>#DIV/0!</v>
      </c>
    </row>
    <row r="532" spans="1:19" ht="25.2" x14ac:dyDescent="0.2">
      <c r="A532" s="90" t="s">
        <v>557</v>
      </c>
      <c r="B532" s="91" t="s">
        <v>35</v>
      </c>
      <c r="C532" s="91" t="s">
        <v>834</v>
      </c>
      <c r="D532" s="91" t="s">
        <v>845</v>
      </c>
      <c r="E532" s="92" t="s">
        <v>410</v>
      </c>
      <c r="F532" s="91" t="s">
        <v>387</v>
      </c>
      <c r="G532" s="91" t="s">
        <v>248</v>
      </c>
      <c r="H532" s="91" t="s">
        <v>9</v>
      </c>
      <c r="I532" s="91" t="s">
        <v>235</v>
      </c>
      <c r="J532" s="92" t="s">
        <v>249</v>
      </c>
      <c r="K532" s="93">
        <v>15.2</v>
      </c>
      <c r="L532" s="93">
        <f>K532*VLOOKUP(H532,dagsoorttabel1,2,FALSE)</f>
        <v>15.2</v>
      </c>
      <c r="M532" s="94">
        <f>prodnorm63</f>
        <v>0</v>
      </c>
      <c r="N532" s="91" t="s">
        <v>101</v>
      </c>
      <c r="O532" s="26">
        <f>uurtarief63</f>
        <v>0</v>
      </c>
      <c r="P532" s="93" t="e">
        <f>IF(ISBLANK(M532),0,L532/ROUND(M532,4))</f>
        <v>#DIV/0!</v>
      </c>
      <c r="Q532" s="26" t="e">
        <f>ROUND(O532,2)*P532</f>
        <v>#DIV/0!</v>
      </c>
      <c r="R532" s="93" t="e">
        <f>P532*dagenperjaar1</f>
        <v>#DIV/0!</v>
      </c>
      <c r="S532" s="27" t="e">
        <f>R532*ROUND(O532,2)</f>
        <v>#DIV/0!</v>
      </c>
    </row>
    <row r="533" spans="1:19" ht="25.2" x14ac:dyDescent="0.2">
      <c r="A533" s="90" t="s">
        <v>557</v>
      </c>
      <c r="B533" s="91" t="s">
        <v>35</v>
      </c>
      <c r="C533" s="91" t="s">
        <v>834</v>
      </c>
      <c r="D533" s="91" t="s">
        <v>846</v>
      </c>
      <c r="E533" s="92" t="s">
        <v>410</v>
      </c>
      <c r="F533" s="91" t="s">
        <v>387</v>
      </c>
      <c r="G533" s="91" t="s">
        <v>248</v>
      </c>
      <c r="H533" s="91" t="s">
        <v>9</v>
      </c>
      <c r="I533" s="91" t="s">
        <v>235</v>
      </c>
      <c r="J533" s="92" t="s">
        <v>249</v>
      </c>
      <c r="K533" s="93">
        <v>7.8</v>
      </c>
      <c r="L533" s="93">
        <f>K533*VLOOKUP(H533,dagsoorttabel1,2,FALSE)</f>
        <v>7.8</v>
      </c>
      <c r="M533" s="94">
        <f>prodnorm63</f>
        <v>0</v>
      </c>
      <c r="N533" s="91" t="s">
        <v>101</v>
      </c>
      <c r="O533" s="26">
        <f>uurtarief63</f>
        <v>0</v>
      </c>
      <c r="P533" s="93" t="e">
        <f>IF(ISBLANK(M533),0,L533/ROUND(M533,4))</f>
        <v>#DIV/0!</v>
      </c>
      <c r="Q533" s="26" t="e">
        <f>ROUND(O533,2)*P533</f>
        <v>#DIV/0!</v>
      </c>
      <c r="R533" s="93" t="e">
        <f>P533*dagenperjaar1</f>
        <v>#DIV/0!</v>
      </c>
      <c r="S533" s="27" t="e">
        <f>R533*ROUND(O533,2)</f>
        <v>#DIV/0!</v>
      </c>
    </row>
    <row r="534" spans="1:19" ht="25.2" x14ac:dyDescent="0.2">
      <c r="A534" s="90" t="s">
        <v>557</v>
      </c>
      <c r="B534" s="91" t="s">
        <v>35</v>
      </c>
      <c r="C534" s="91" t="s">
        <v>834</v>
      </c>
      <c r="D534" s="91" t="s">
        <v>847</v>
      </c>
      <c r="E534" s="92" t="s">
        <v>410</v>
      </c>
      <c r="F534" s="91" t="s">
        <v>387</v>
      </c>
      <c r="G534" s="91" t="s">
        <v>248</v>
      </c>
      <c r="H534" s="91" t="s">
        <v>9</v>
      </c>
      <c r="I534" s="91" t="s">
        <v>235</v>
      </c>
      <c r="J534" s="92" t="s">
        <v>249</v>
      </c>
      <c r="K534" s="93">
        <v>7.8</v>
      </c>
      <c r="L534" s="93">
        <f>K534*VLOOKUP(H534,dagsoorttabel1,2,FALSE)</f>
        <v>7.8</v>
      </c>
      <c r="M534" s="94">
        <f>prodnorm63</f>
        <v>0</v>
      </c>
      <c r="N534" s="91" t="s">
        <v>101</v>
      </c>
      <c r="O534" s="26">
        <f>uurtarief63</f>
        <v>0</v>
      </c>
      <c r="P534" s="93" t="e">
        <f>IF(ISBLANK(M534),0,L534/ROUND(M534,4))</f>
        <v>#DIV/0!</v>
      </c>
      <c r="Q534" s="26" t="e">
        <f>ROUND(O534,2)*P534</f>
        <v>#DIV/0!</v>
      </c>
      <c r="R534" s="93" t="e">
        <f>P534*dagenperjaar1</f>
        <v>#DIV/0!</v>
      </c>
      <c r="S534" s="27" t="e">
        <f>R534*ROUND(O534,2)</f>
        <v>#DIV/0!</v>
      </c>
    </row>
    <row r="535" spans="1:19" x14ac:dyDescent="0.2">
      <c r="A535" s="90" t="s">
        <v>557</v>
      </c>
      <c r="B535" s="91" t="s">
        <v>35</v>
      </c>
      <c r="C535" s="91" t="s">
        <v>834</v>
      </c>
      <c r="D535" s="91" t="s">
        <v>848</v>
      </c>
      <c r="E535" s="92" t="s">
        <v>699</v>
      </c>
      <c r="F535" s="91" t="s">
        <v>329</v>
      </c>
      <c r="G535" s="91" t="s">
        <v>279</v>
      </c>
      <c r="H535" s="91" t="s">
        <v>9</v>
      </c>
      <c r="I535" s="91" t="s">
        <v>235</v>
      </c>
      <c r="J535" s="92" t="s">
        <v>280</v>
      </c>
      <c r="K535" s="93">
        <v>7.2</v>
      </c>
      <c r="L535" s="93">
        <f>K535*VLOOKUP(H535,dagsoorttabel1,2,FALSE)</f>
        <v>7.2</v>
      </c>
      <c r="M535" s="94">
        <f>prodnorm102</f>
        <v>0</v>
      </c>
      <c r="N535" s="91" t="s">
        <v>101</v>
      </c>
      <c r="O535" s="26">
        <f>uurtarief102</f>
        <v>0</v>
      </c>
      <c r="P535" s="93" t="e">
        <f>IF(ISBLANK(M535),0,L535/ROUND(M535,4))</f>
        <v>#DIV/0!</v>
      </c>
      <c r="Q535" s="26" t="e">
        <f>ROUND(O535,2)*P535</f>
        <v>#DIV/0!</v>
      </c>
      <c r="R535" s="93" t="e">
        <f>P535*dagenperjaar1</f>
        <v>#DIV/0!</v>
      </c>
      <c r="S535" s="27" t="e">
        <f>R535*ROUND(O535,2)</f>
        <v>#DIV/0!</v>
      </c>
    </row>
    <row r="536" spans="1:19" ht="25.2" x14ac:dyDescent="0.2">
      <c r="A536" s="90" t="s">
        <v>557</v>
      </c>
      <c r="B536" s="91" t="s">
        <v>35</v>
      </c>
      <c r="C536" s="91" t="s">
        <v>834</v>
      </c>
      <c r="D536" s="91" t="s">
        <v>849</v>
      </c>
      <c r="E536" s="92" t="s">
        <v>360</v>
      </c>
      <c r="F536" s="91" t="s">
        <v>361</v>
      </c>
      <c r="G536" s="91" t="s">
        <v>293</v>
      </c>
      <c r="H536" s="91" t="s">
        <v>13</v>
      </c>
      <c r="I536" s="91" t="s">
        <v>235</v>
      </c>
      <c r="J536" s="92" t="s">
        <v>294</v>
      </c>
      <c r="K536" s="93">
        <v>9</v>
      </c>
      <c r="L536" s="93">
        <f>K536*VLOOKUP(H536,dagsoorttabel1,2,FALSE)</f>
        <v>1.8</v>
      </c>
      <c r="M536" s="94">
        <f>prodnorm119</f>
        <v>0</v>
      </c>
      <c r="N536" s="91" t="s">
        <v>101</v>
      </c>
      <c r="O536" s="26">
        <f>uurtarief119</f>
        <v>0</v>
      </c>
      <c r="P536" s="93" t="e">
        <f>IF(ISBLANK(M536),0,L536/ROUND(M536,4))</f>
        <v>#DIV/0!</v>
      </c>
      <c r="Q536" s="26" t="e">
        <f>ROUND(O536,2)*P536</f>
        <v>#DIV/0!</v>
      </c>
      <c r="R536" s="93" t="e">
        <f>P536*dagenperjaar1</f>
        <v>#DIV/0!</v>
      </c>
      <c r="S536" s="27" t="e">
        <f>R536*ROUND(O536,2)</f>
        <v>#DIV/0!</v>
      </c>
    </row>
    <row r="537" spans="1:19" x14ac:dyDescent="0.2">
      <c r="A537" s="90" t="s">
        <v>557</v>
      </c>
      <c r="B537" s="91" t="s">
        <v>35</v>
      </c>
      <c r="C537" s="91" t="s">
        <v>834</v>
      </c>
      <c r="D537" s="91" t="s">
        <v>850</v>
      </c>
      <c r="E537" s="92" t="s">
        <v>711</v>
      </c>
      <c r="F537" s="91" t="s">
        <v>387</v>
      </c>
      <c r="G537" s="91" t="s">
        <v>241</v>
      </c>
      <c r="H537" s="91" t="s">
        <v>9</v>
      </c>
      <c r="I537" s="91" t="s">
        <v>235</v>
      </c>
      <c r="J537" s="92" t="s">
        <v>243</v>
      </c>
      <c r="K537" s="93">
        <v>20.9</v>
      </c>
      <c r="L537" s="93">
        <f>K537*VLOOKUP(H537,dagsoorttabel1,2,FALSE)</f>
        <v>20.9</v>
      </c>
      <c r="M537" s="94">
        <f>prodnorm57</f>
        <v>0</v>
      </c>
      <c r="N537" s="91" t="s">
        <v>101</v>
      </c>
      <c r="O537" s="26">
        <f>uurtarief57</f>
        <v>0</v>
      </c>
      <c r="P537" s="93" t="e">
        <f>IF(ISBLANK(M537),0,L537/ROUND(M537,4))</f>
        <v>#DIV/0!</v>
      </c>
      <c r="Q537" s="26" t="e">
        <f>ROUND(O537,2)*P537</f>
        <v>#DIV/0!</v>
      </c>
      <c r="R537" s="93" t="e">
        <f>P537*dagenperjaar1</f>
        <v>#DIV/0!</v>
      </c>
      <c r="S537" s="27" t="e">
        <f>R537*ROUND(O537,2)</f>
        <v>#DIV/0!</v>
      </c>
    </row>
    <row r="538" spans="1:19" x14ac:dyDescent="0.2">
      <c r="A538" s="90" t="s">
        <v>557</v>
      </c>
      <c r="B538" s="91" t="s">
        <v>35</v>
      </c>
      <c r="C538" s="91" t="s">
        <v>834</v>
      </c>
      <c r="D538" s="91" t="s">
        <v>851</v>
      </c>
      <c r="E538" s="92" t="s">
        <v>493</v>
      </c>
      <c r="F538" s="91" t="s">
        <v>361</v>
      </c>
      <c r="G538" s="91" t="s">
        <v>298</v>
      </c>
      <c r="H538" s="91" t="s">
        <v>9</v>
      </c>
      <c r="I538" s="91" t="s">
        <v>235</v>
      </c>
      <c r="J538" s="92" t="s">
        <v>299</v>
      </c>
      <c r="K538" s="93">
        <v>12</v>
      </c>
      <c r="L538" s="93">
        <f>K538*VLOOKUP(H538,dagsoorttabel1,2,FALSE)</f>
        <v>12</v>
      </c>
      <c r="M538" s="94">
        <f>prodnorm126</f>
        <v>0</v>
      </c>
      <c r="N538" s="91" t="s">
        <v>101</v>
      </c>
      <c r="O538" s="26">
        <f>uurtarief126</f>
        <v>0</v>
      </c>
      <c r="P538" s="93" t="e">
        <f>IF(ISBLANK(M538),0,L538/ROUND(M538,4))</f>
        <v>#DIV/0!</v>
      </c>
      <c r="Q538" s="26" t="e">
        <f>ROUND(O538,2)*P538</f>
        <v>#DIV/0!</v>
      </c>
      <c r="R538" s="93" t="e">
        <f>P538*dagenperjaar1</f>
        <v>#DIV/0!</v>
      </c>
      <c r="S538" s="27" t="e">
        <f>R538*ROUND(O538,2)</f>
        <v>#DIV/0!</v>
      </c>
    </row>
    <row r="539" spans="1:19" x14ac:dyDescent="0.2">
      <c r="A539" s="90" t="s">
        <v>557</v>
      </c>
      <c r="B539" s="91" t="s">
        <v>35</v>
      </c>
      <c r="C539" s="91" t="s">
        <v>834</v>
      </c>
      <c r="D539" s="91" t="s">
        <v>852</v>
      </c>
      <c r="E539" s="92" t="s">
        <v>318</v>
      </c>
      <c r="F539" s="91" t="s">
        <v>385</v>
      </c>
      <c r="G539" s="91" t="s">
        <v>298</v>
      </c>
      <c r="H539" s="91" t="s">
        <v>9</v>
      </c>
      <c r="I539" s="91" t="s">
        <v>235</v>
      </c>
      <c r="J539" s="92" t="s">
        <v>299</v>
      </c>
      <c r="K539" s="93">
        <v>8.8000000000000007</v>
      </c>
      <c r="L539" s="93">
        <f>K539*VLOOKUP(H539,dagsoorttabel1,2,FALSE)</f>
        <v>8.8000000000000007</v>
      </c>
      <c r="M539" s="94">
        <f>prodnorm126</f>
        <v>0</v>
      </c>
      <c r="N539" s="91" t="s">
        <v>101</v>
      </c>
      <c r="O539" s="26">
        <f>uurtarief126</f>
        <v>0</v>
      </c>
      <c r="P539" s="93" t="e">
        <f>IF(ISBLANK(M539),0,L539/ROUND(M539,4))</f>
        <v>#DIV/0!</v>
      </c>
      <c r="Q539" s="26" t="e">
        <f>ROUND(O539,2)*P539</f>
        <v>#DIV/0!</v>
      </c>
      <c r="R539" s="93" t="e">
        <f>P539*dagenperjaar1</f>
        <v>#DIV/0!</v>
      </c>
      <c r="S539" s="27" t="e">
        <f>R539*ROUND(O539,2)</f>
        <v>#DIV/0!</v>
      </c>
    </row>
    <row r="540" spans="1:19" x14ac:dyDescent="0.2">
      <c r="A540" s="90" t="s">
        <v>557</v>
      </c>
      <c r="B540" s="91" t="s">
        <v>35</v>
      </c>
      <c r="C540" s="91" t="s">
        <v>853</v>
      </c>
      <c r="D540" s="91" t="s">
        <v>854</v>
      </c>
      <c r="E540" s="92" t="s">
        <v>711</v>
      </c>
      <c r="F540" s="91" t="s">
        <v>387</v>
      </c>
      <c r="G540" s="91" t="s">
        <v>241</v>
      </c>
      <c r="H540" s="91" t="s">
        <v>9</v>
      </c>
      <c r="I540" s="91" t="s">
        <v>235</v>
      </c>
      <c r="J540" s="92" t="s">
        <v>243</v>
      </c>
      <c r="K540" s="93">
        <v>47.3</v>
      </c>
      <c r="L540" s="93">
        <f>K540*VLOOKUP(H540,dagsoorttabel1,2,FALSE)</f>
        <v>47.3</v>
      </c>
      <c r="M540" s="94">
        <f>prodnorm57</f>
        <v>0</v>
      </c>
      <c r="N540" s="91" t="s">
        <v>101</v>
      </c>
      <c r="O540" s="26">
        <f>uurtarief57</f>
        <v>0</v>
      </c>
      <c r="P540" s="93" t="e">
        <f>IF(ISBLANK(M540),0,L540/ROUND(M540,4))</f>
        <v>#DIV/0!</v>
      </c>
      <c r="Q540" s="26" t="e">
        <f>ROUND(O540,2)*P540</f>
        <v>#DIV/0!</v>
      </c>
      <c r="R540" s="93" t="e">
        <f>P540*dagenperjaar1</f>
        <v>#DIV/0!</v>
      </c>
      <c r="S540" s="27" t="e">
        <f>R540*ROUND(O540,2)</f>
        <v>#DIV/0!</v>
      </c>
    </row>
    <row r="541" spans="1:19" x14ac:dyDescent="0.2">
      <c r="A541" s="90" t="s">
        <v>557</v>
      </c>
      <c r="B541" s="91" t="s">
        <v>35</v>
      </c>
      <c r="C541" s="91" t="s">
        <v>853</v>
      </c>
      <c r="D541" s="91" t="s">
        <v>855</v>
      </c>
      <c r="E541" s="92" t="s">
        <v>713</v>
      </c>
      <c r="F541" s="91" t="s">
        <v>387</v>
      </c>
      <c r="G541" s="91" t="s">
        <v>241</v>
      </c>
      <c r="H541" s="91" t="s">
        <v>9</v>
      </c>
      <c r="I541" s="91" t="s">
        <v>235</v>
      </c>
      <c r="J541" s="92" t="s">
        <v>243</v>
      </c>
      <c r="K541" s="93">
        <v>23.6</v>
      </c>
      <c r="L541" s="93">
        <f>K541*VLOOKUP(H541,dagsoorttabel1,2,FALSE)</f>
        <v>23.6</v>
      </c>
      <c r="M541" s="94">
        <f>prodnorm57</f>
        <v>0</v>
      </c>
      <c r="N541" s="91" t="s">
        <v>101</v>
      </c>
      <c r="O541" s="26">
        <f>uurtarief57</f>
        <v>0</v>
      </c>
      <c r="P541" s="93" t="e">
        <f>IF(ISBLANK(M541),0,L541/ROUND(M541,4))</f>
        <v>#DIV/0!</v>
      </c>
      <c r="Q541" s="26" t="e">
        <f>ROUND(O541,2)*P541</f>
        <v>#DIV/0!</v>
      </c>
      <c r="R541" s="93" t="e">
        <f>P541*dagenperjaar1</f>
        <v>#DIV/0!</v>
      </c>
      <c r="S541" s="27" t="e">
        <f>R541*ROUND(O541,2)</f>
        <v>#DIV/0!</v>
      </c>
    </row>
    <row r="542" spans="1:19" x14ac:dyDescent="0.2">
      <c r="A542" s="90" t="s">
        <v>557</v>
      </c>
      <c r="B542" s="91" t="s">
        <v>35</v>
      </c>
      <c r="C542" s="91" t="s">
        <v>853</v>
      </c>
      <c r="D542" s="91" t="s">
        <v>856</v>
      </c>
      <c r="E542" s="92" t="s">
        <v>713</v>
      </c>
      <c r="F542" s="91" t="s">
        <v>387</v>
      </c>
      <c r="G542" s="91" t="s">
        <v>241</v>
      </c>
      <c r="H542" s="91" t="s">
        <v>9</v>
      </c>
      <c r="I542" s="91" t="s">
        <v>235</v>
      </c>
      <c r="J542" s="92" t="s">
        <v>243</v>
      </c>
      <c r="K542" s="93">
        <v>23.6</v>
      </c>
      <c r="L542" s="93">
        <f>K542*VLOOKUP(H542,dagsoorttabel1,2,FALSE)</f>
        <v>23.6</v>
      </c>
      <c r="M542" s="94">
        <f>prodnorm57</f>
        <v>0</v>
      </c>
      <c r="N542" s="91" t="s">
        <v>101</v>
      </c>
      <c r="O542" s="26">
        <f>uurtarief57</f>
        <v>0</v>
      </c>
      <c r="P542" s="93" t="e">
        <f>IF(ISBLANK(M542),0,L542/ROUND(M542,4))</f>
        <v>#DIV/0!</v>
      </c>
      <c r="Q542" s="26" t="e">
        <f>ROUND(O542,2)*P542</f>
        <v>#DIV/0!</v>
      </c>
      <c r="R542" s="93" t="e">
        <f>P542*dagenperjaar1</f>
        <v>#DIV/0!</v>
      </c>
      <c r="S542" s="27" t="e">
        <f>R542*ROUND(O542,2)</f>
        <v>#DIV/0!</v>
      </c>
    </row>
    <row r="543" spans="1:19" x14ac:dyDescent="0.2">
      <c r="A543" s="90" t="s">
        <v>557</v>
      </c>
      <c r="B543" s="91" t="s">
        <v>35</v>
      </c>
      <c r="C543" s="91" t="s">
        <v>853</v>
      </c>
      <c r="D543" s="91" t="s">
        <v>857</v>
      </c>
      <c r="E543" s="92" t="s">
        <v>713</v>
      </c>
      <c r="F543" s="91" t="s">
        <v>387</v>
      </c>
      <c r="G543" s="91" t="s">
        <v>241</v>
      </c>
      <c r="H543" s="91" t="s">
        <v>9</v>
      </c>
      <c r="I543" s="91" t="s">
        <v>235</v>
      </c>
      <c r="J543" s="92" t="s">
        <v>243</v>
      </c>
      <c r="K543" s="93">
        <v>27</v>
      </c>
      <c r="L543" s="93">
        <f>K543*VLOOKUP(H543,dagsoorttabel1,2,FALSE)</f>
        <v>27</v>
      </c>
      <c r="M543" s="94">
        <f>prodnorm57</f>
        <v>0</v>
      </c>
      <c r="N543" s="91" t="s">
        <v>101</v>
      </c>
      <c r="O543" s="26">
        <f>uurtarief57</f>
        <v>0</v>
      </c>
      <c r="P543" s="93" t="e">
        <f>IF(ISBLANK(M543),0,L543/ROUND(M543,4))</f>
        <v>#DIV/0!</v>
      </c>
      <c r="Q543" s="26" t="e">
        <f>ROUND(O543,2)*P543</f>
        <v>#DIV/0!</v>
      </c>
      <c r="R543" s="93" t="e">
        <f>P543*dagenperjaar1</f>
        <v>#DIV/0!</v>
      </c>
      <c r="S543" s="27" t="e">
        <f>R543*ROUND(O543,2)</f>
        <v>#DIV/0!</v>
      </c>
    </row>
    <row r="544" spans="1:19" x14ac:dyDescent="0.2">
      <c r="A544" s="90" t="s">
        <v>557</v>
      </c>
      <c r="B544" s="91" t="s">
        <v>35</v>
      </c>
      <c r="C544" s="91" t="s">
        <v>853</v>
      </c>
      <c r="D544" s="91" t="s">
        <v>858</v>
      </c>
      <c r="E544" s="92" t="s">
        <v>560</v>
      </c>
      <c r="F544" s="91" t="s">
        <v>361</v>
      </c>
      <c r="G544" s="91" t="s">
        <v>283</v>
      </c>
      <c r="H544" s="91" t="s">
        <v>9</v>
      </c>
      <c r="I544" s="91" t="s">
        <v>235</v>
      </c>
      <c r="J544" s="92" t="s">
        <v>284</v>
      </c>
      <c r="K544" s="93">
        <v>58.3</v>
      </c>
      <c r="L544" s="93">
        <f>K544*VLOOKUP(H544,dagsoorttabel1,2,FALSE)</f>
        <v>58.3</v>
      </c>
      <c r="M544" s="94">
        <f>prodnorm108</f>
        <v>0</v>
      </c>
      <c r="N544" s="91" t="s">
        <v>101</v>
      </c>
      <c r="O544" s="26">
        <f>uurtarief108</f>
        <v>0</v>
      </c>
      <c r="P544" s="93" t="e">
        <f>IF(ISBLANK(M544),0,L544/ROUND(M544,4))</f>
        <v>#DIV/0!</v>
      </c>
      <c r="Q544" s="26" t="e">
        <f>ROUND(O544,2)*P544</f>
        <v>#DIV/0!</v>
      </c>
      <c r="R544" s="93" t="e">
        <f>P544*dagenperjaar1</f>
        <v>#DIV/0!</v>
      </c>
      <c r="S544" s="27" t="e">
        <f>R544*ROUND(O544,2)</f>
        <v>#DIV/0!</v>
      </c>
    </row>
    <row r="545" spans="1:19" x14ac:dyDescent="0.2">
      <c r="A545" s="90" t="s">
        <v>557</v>
      </c>
      <c r="B545" s="91" t="s">
        <v>35</v>
      </c>
      <c r="C545" s="91" t="s">
        <v>853</v>
      </c>
      <c r="D545" s="91" t="s">
        <v>859</v>
      </c>
      <c r="E545" s="92" t="s">
        <v>720</v>
      </c>
      <c r="F545" s="91" t="s">
        <v>387</v>
      </c>
      <c r="G545" s="91" t="s">
        <v>241</v>
      </c>
      <c r="H545" s="91" t="s">
        <v>9</v>
      </c>
      <c r="I545" s="91" t="s">
        <v>235</v>
      </c>
      <c r="J545" s="92" t="s">
        <v>243</v>
      </c>
      <c r="K545" s="93">
        <v>5.0999999999999996</v>
      </c>
      <c r="L545" s="93">
        <f>K545*VLOOKUP(H545,dagsoorttabel1,2,FALSE)</f>
        <v>5.0999999999999996</v>
      </c>
      <c r="M545" s="94">
        <f>prodnorm57</f>
        <v>0</v>
      </c>
      <c r="N545" s="91" t="s">
        <v>101</v>
      </c>
      <c r="O545" s="26">
        <f>uurtarief57</f>
        <v>0</v>
      </c>
      <c r="P545" s="93" t="e">
        <f>IF(ISBLANK(M545),0,L545/ROUND(M545,4))</f>
        <v>#DIV/0!</v>
      </c>
      <c r="Q545" s="26" t="e">
        <f>ROUND(O545,2)*P545</f>
        <v>#DIV/0!</v>
      </c>
      <c r="R545" s="93" t="e">
        <f>P545*dagenperjaar1</f>
        <v>#DIV/0!</v>
      </c>
      <c r="S545" s="27" t="e">
        <f>R545*ROUND(O545,2)</f>
        <v>#DIV/0!</v>
      </c>
    </row>
    <row r="546" spans="1:19" x14ac:dyDescent="0.2">
      <c r="A546" s="90" t="s">
        <v>557</v>
      </c>
      <c r="B546" s="91" t="s">
        <v>35</v>
      </c>
      <c r="C546" s="91" t="s">
        <v>853</v>
      </c>
      <c r="D546" s="91" t="s">
        <v>860</v>
      </c>
      <c r="E546" s="92" t="s">
        <v>722</v>
      </c>
      <c r="F546" s="91" t="s">
        <v>387</v>
      </c>
      <c r="G546" s="91" t="s">
        <v>237</v>
      </c>
      <c r="H546" s="91" t="s">
        <v>9</v>
      </c>
      <c r="I546" s="91" t="s">
        <v>235</v>
      </c>
      <c r="J546" s="92" t="s">
        <v>238</v>
      </c>
      <c r="K546" s="93">
        <v>3.3</v>
      </c>
      <c r="L546" s="93">
        <f>K546*VLOOKUP(H546,dagsoorttabel1,2,FALSE)</f>
        <v>3.3</v>
      </c>
      <c r="M546" s="94">
        <f>prodnorm52</f>
        <v>0</v>
      </c>
      <c r="N546" s="91" t="s">
        <v>101</v>
      </c>
      <c r="O546" s="26">
        <f>uurtarief52</f>
        <v>0</v>
      </c>
      <c r="P546" s="93" t="e">
        <f>IF(ISBLANK(M546),0,L546/ROUND(M546,4))</f>
        <v>#DIV/0!</v>
      </c>
      <c r="Q546" s="26" t="e">
        <f>ROUND(O546,2)*P546</f>
        <v>#DIV/0!</v>
      </c>
      <c r="R546" s="93" t="e">
        <f>P546*dagenperjaar1</f>
        <v>#DIV/0!</v>
      </c>
      <c r="S546" s="27" t="e">
        <f>R546*ROUND(O546,2)</f>
        <v>#DIV/0!</v>
      </c>
    </row>
    <row r="547" spans="1:19" x14ac:dyDescent="0.2">
      <c r="A547" s="90" t="s">
        <v>557</v>
      </c>
      <c r="B547" s="91" t="s">
        <v>35</v>
      </c>
      <c r="C547" s="91" t="s">
        <v>853</v>
      </c>
      <c r="D547" s="91" t="s">
        <v>861</v>
      </c>
      <c r="E547" s="92" t="s">
        <v>722</v>
      </c>
      <c r="F547" s="91" t="s">
        <v>387</v>
      </c>
      <c r="G547" s="91" t="s">
        <v>237</v>
      </c>
      <c r="H547" s="91" t="s">
        <v>9</v>
      </c>
      <c r="I547" s="91" t="s">
        <v>235</v>
      </c>
      <c r="J547" s="92" t="s">
        <v>238</v>
      </c>
      <c r="K547" s="93">
        <v>3.3</v>
      </c>
      <c r="L547" s="93">
        <f>K547*VLOOKUP(H547,dagsoorttabel1,2,FALSE)</f>
        <v>3.3</v>
      </c>
      <c r="M547" s="94">
        <f>prodnorm52</f>
        <v>0</v>
      </c>
      <c r="N547" s="91" t="s">
        <v>101</v>
      </c>
      <c r="O547" s="26">
        <f>uurtarief52</f>
        <v>0</v>
      </c>
      <c r="P547" s="93" t="e">
        <f>IF(ISBLANK(M547),0,L547/ROUND(M547,4))</f>
        <v>#DIV/0!</v>
      </c>
      <c r="Q547" s="26" t="e">
        <f>ROUND(O547,2)*P547</f>
        <v>#DIV/0!</v>
      </c>
      <c r="R547" s="93" t="e">
        <f>P547*dagenperjaar1</f>
        <v>#DIV/0!</v>
      </c>
      <c r="S547" s="27" t="e">
        <f>R547*ROUND(O547,2)</f>
        <v>#DIV/0!</v>
      </c>
    </row>
    <row r="548" spans="1:19" x14ac:dyDescent="0.2">
      <c r="A548" s="90" t="s">
        <v>557</v>
      </c>
      <c r="B548" s="91" t="s">
        <v>35</v>
      </c>
      <c r="C548" s="91" t="s">
        <v>853</v>
      </c>
      <c r="D548" s="91" t="s">
        <v>862</v>
      </c>
      <c r="E548" s="92" t="s">
        <v>720</v>
      </c>
      <c r="F548" s="91" t="s">
        <v>387</v>
      </c>
      <c r="G548" s="91" t="s">
        <v>241</v>
      </c>
      <c r="H548" s="91" t="s">
        <v>9</v>
      </c>
      <c r="I548" s="91" t="s">
        <v>235</v>
      </c>
      <c r="J548" s="92" t="s">
        <v>243</v>
      </c>
      <c r="K548" s="93">
        <v>5.0999999999999996</v>
      </c>
      <c r="L548" s="93">
        <f>K548*VLOOKUP(H548,dagsoorttabel1,2,FALSE)</f>
        <v>5.0999999999999996</v>
      </c>
      <c r="M548" s="94">
        <f>prodnorm57</f>
        <v>0</v>
      </c>
      <c r="N548" s="91" t="s">
        <v>101</v>
      </c>
      <c r="O548" s="26">
        <f>uurtarief57</f>
        <v>0</v>
      </c>
      <c r="P548" s="93" t="e">
        <f>IF(ISBLANK(M548),0,L548/ROUND(M548,4))</f>
        <v>#DIV/0!</v>
      </c>
      <c r="Q548" s="26" t="e">
        <f>ROUND(O548,2)*P548</f>
        <v>#DIV/0!</v>
      </c>
      <c r="R548" s="93" t="e">
        <f>P548*dagenperjaar1</f>
        <v>#DIV/0!</v>
      </c>
      <c r="S548" s="27" t="e">
        <f>R548*ROUND(O548,2)</f>
        <v>#DIV/0!</v>
      </c>
    </row>
    <row r="549" spans="1:19" x14ac:dyDescent="0.2">
      <c r="A549" s="90" t="s">
        <v>557</v>
      </c>
      <c r="B549" s="91" t="s">
        <v>35</v>
      </c>
      <c r="C549" s="91" t="s">
        <v>853</v>
      </c>
      <c r="D549" s="91" t="s">
        <v>863</v>
      </c>
      <c r="E549" s="92" t="s">
        <v>410</v>
      </c>
      <c r="F549" s="91" t="s">
        <v>387</v>
      </c>
      <c r="G549" s="91" t="s">
        <v>241</v>
      </c>
      <c r="H549" s="91" t="s">
        <v>9</v>
      </c>
      <c r="I549" s="91" t="s">
        <v>235</v>
      </c>
      <c r="J549" s="92" t="s">
        <v>243</v>
      </c>
      <c r="K549" s="93">
        <v>15.2</v>
      </c>
      <c r="L549" s="93">
        <f>K549*VLOOKUP(H549,dagsoorttabel1,2,FALSE)</f>
        <v>15.2</v>
      </c>
      <c r="M549" s="94">
        <f>prodnorm57</f>
        <v>0</v>
      </c>
      <c r="N549" s="91" t="s">
        <v>101</v>
      </c>
      <c r="O549" s="26">
        <f>uurtarief57</f>
        <v>0</v>
      </c>
      <c r="P549" s="93" t="e">
        <f>IF(ISBLANK(M549),0,L549/ROUND(M549,4))</f>
        <v>#DIV/0!</v>
      </c>
      <c r="Q549" s="26" t="e">
        <f>ROUND(O549,2)*P549</f>
        <v>#DIV/0!</v>
      </c>
      <c r="R549" s="93" t="e">
        <f>P549*dagenperjaar1</f>
        <v>#DIV/0!</v>
      </c>
      <c r="S549" s="27" t="e">
        <f>R549*ROUND(O549,2)</f>
        <v>#DIV/0!</v>
      </c>
    </row>
    <row r="550" spans="1:19" x14ac:dyDescent="0.2">
      <c r="A550" s="90" t="s">
        <v>557</v>
      </c>
      <c r="B550" s="91" t="s">
        <v>35</v>
      </c>
      <c r="C550" s="91" t="s">
        <v>853</v>
      </c>
      <c r="D550" s="91" t="s">
        <v>864</v>
      </c>
      <c r="E550" s="92" t="s">
        <v>410</v>
      </c>
      <c r="F550" s="91" t="s">
        <v>387</v>
      </c>
      <c r="G550" s="91" t="s">
        <v>241</v>
      </c>
      <c r="H550" s="91" t="s">
        <v>9</v>
      </c>
      <c r="I550" s="91" t="s">
        <v>235</v>
      </c>
      <c r="J550" s="92" t="s">
        <v>243</v>
      </c>
      <c r="K550" s="93">
        <v>16.100000000000001</v>
      </c>
      <c r="L550" s="93">
        <f>K550*VLOOKUP(H550,dagsoorttabel1,2,FALSE)</f>
        <v>16.100000000000001</v>
      </c>
      <c r="M550" s="94">
        <f>prodnorm57</f>
        <v>0</v>
      </c>
      <c r="N550" s="91" t="s">
        <v>101</v>
      </c>
      <c r="O550" s="26">
        <f>uurtarief57</f>
        <v>0</v>
      </c>
      <c r="P550" s="93" t="e">
        <f>IF(ISBLANK(M550),0,L550/ROUND(M550,4))</f>
        <v>#DIV/0!</v>
      </c>
      <c r="Q550" s="26" t="e">
        <f>ROUND(O550,2)*P550</f>
        <v>#DIV/0!</v>
      </c>
      <c r="R550" s="93" t="e">
        <f>P550*dagenperjaar1</f>
        <v>#DIV/0!</v>
      </c>
      <c r="S550" s="27" t="e">
        <f>R550*ROUND(O550,2)</f>
        <v>#DIV/0!</v>
      </c>
    </row>
    <row r="551" spans="1:19" x14ac:dyDescent="0.2">
      <c r="A551" s="90" t="s">
        <v>557</v>
      </c>
      <c r="B551" s="91" t="s">
        <v>35</v>
      </c>
      <c r="C551" s="91" t="s">
        <v>853</v>
      </c>
      <c r="D551" s="91" t="s">
        <v>865</v>
      </c>
      <c r="E551" s="92" t="s">
        <v>699</v>
      </c>
      <c r="F551" s="91" t="s">
        <v>329</v>
      </c>
      <c r="G551" s="91" t="s">
        <v>279</v>
      </c>
      <c r="H551" s="91" t="s">
        <v>9</v>
      </c>
      <c r="I551" s="91" t="s">
        <v>235</v>
      </c>
      <c r="J551" s="92" t="s">
        <v>280</v>
      </c>
      <c r="K551" s="93">
        <v>7.2</v>
      </c>
      <c r="L551" s="93">
        <f>K551*VLOOKUP(H551,dagsoorttabel1,2,FALSE)</f>
        <v>7.2</v>
      </c>
      <c r="M551" s="94">
        <f>prodnorm102</f>
        <v>0</v>
      </c>
      <c r="N551" s="91" t="s">
        <v>101</v>
      </c>
      <c r="O551" s="26">
        <f>uurtarief102</f>
        <v>0</v>
      </c>
      <c r="P551" s="93" t="e">
        <f>IF(ISBLANK(M551),0,L551/ROUND(M551,4))</f>
        <v>#DIV/0!</v>
      </c>
      <c r="Q551" s="26" t="e">
        <f>ROUND(O551,2)*P551</f>
        <v>#DIV/0!</v>
      </c>
      <c r="R551" s="93" t="e">
        <f>P551*dagenperjaar1</f>
        <v>#DIV/0!</v>
      </c>
      <c r="S551" s="27" t="e">
        <f>R551*ROUND(O551,2)</f>
        <v>#DIV/0!</v>
      </c>
    </row>
    <row r="552" spans="1:19" ht="25.2" x14ac:dyDescent="0.2">
      <c r="A552" s="90" t="s">
        <v>557</v>
      </c>
      <c r="B552" s="91" t="s">
        <v>35</v>
      </c>
      <c r="C552" s="91" t="s">
        <v>853</v>
      </c>
      <c r="D552" s="91" t="s">
        <v>866</v>
      </c>
      <c r="E552" s="92" t="s">
        <v>360</v>
      </c>
      <c r="F552" s="91" t="s">
        <v>361</v>
      </c>
      <c r="G552" s="91" t="s">
        <v>293</v>
      </c>
      <c r="H552" s="91" t="s">
        <v>13</v>
      </c>
      <c r="I552" s="91" t="s">
        <v>235</v>
      </c>
      <c r="J552" s="92" t="s">
        <v>294</v>
      </c>
      <c r="K552" s="93">
        <v>9</v>
      </c>
      <c r="L552" s="93">
        <f>K552*VLOOKUP(H552,dagsoorttabel1,2,FALSE)</f>
        <v>1.8</v>
      </c>
      <c r="M552" s="94">
        <f>prodnorm119</f>
        <v>0</v>
      </c>
      <c r="N552" s="91" t="s">
        <v>101</v>
      </c>
      <c r="O552" s="26">
        <f>uurtarief119</f>
        <v>0</v>
      </c>
      <c r="P552" s="93" t="e">
        <f>IF(ISBLANK(M552),0,L552/ROUND(M552,4))</f>
        <v>#DIV/0!</v>
      </c>
      <c r="Q552" s="26" t="e">
        <f>ROUND(O552,2)*P552</f>
        <v>#DIV/0!</v>
      </c>
      <c r="R552" s="93" t="e">
        <f>P552*dagenperjaar1</f>
        <v>#DIV/0!</v>
      </c>
      <c r="S552" s="27" t="e">
        <f>R552*ROUND(O552,2)</f>
        <v>#DIV/0!</v>
      </c>
    </row>
    <row r="553" spans="1:19" x14ac:dyDescent="0.2">
      <c r="A553" s="90" t="s">
        <v>557</v>
      </c>
      <c r="B553" s="91" t="s">
        <v>35</v>
      </c>
      <c r="C553" s="91" t="s">
        <v>853</v>
      </c>
      <c r="D553" s="91" t="s">
        <v>867</v>
      </c>
      <c r="E553" s="92" t="s">
        <v>493</v>
      </c>
      <c r="F553" s="91" t="s">
        <v>361</v>
      </c>
      <c r="G553" s="91" t="s">
        <v>298</v>
      </c>
      <c r="H553" s="91" t="s">
        <v>9</v>
      </c>
      <c r="I553" s="91" t="s">
        <v>235</v>
      </c>
      <c r="J553" s="92" t="s">
        <v>299</v>
      </c>
      <c r="K553" s="93">
        <v>12.1</v>
      </c>
      <c r="L553" s="93">
        <f>K553*VLOOKUP(H553,dagsoorttabel1,2,FALSE)</f>
        <v>12.1</v>
      </c>
      <c r="M553" s="94">
        <f>prodnorm126</f>
        <v>0</v>
      </c>
      <c r="N553" s="91" t="s">
        <v>101</v>
      </c>
      <c r="O553" s="26">
        <f>uurtarief126</f>
        <v>0</v>
      </c>
      <c r="P553" s="93" t="e">
        <f>IF(ISBLANK(M553),0,L553/ROUND(M553,4))</f>
        <v>#DIV/0!</v>
      </c>
      <c r="Q553" s="26" t="e">
        <f>ROUND(O553,2)*P553</f>
        <v>#DIV/0!</v>
      </c>
      <c r="R553" s="93" t="e">
        <f>P553*dagenperjaar1</f>
        <v>#DIV/0!</v>
      </c>
      <c r="S553" s="27" t="e">
        <f>R553*ROUND(O553,2)</f>
        <v>#DIV/0!</v>
      </c>
    </row>
    <row r="554" spans="1:19" x14ac:dyDescent="0.2">
      <c r="A554" s="90" t="s">
        <v>557</v>
      </c>
      <c r="B554" s="91" t="s">
        <v>868</v>
      </c>
      <c r="C554" s="91" t="s">
        <v>313</v>
      </c>
      <c r="D554" s="91" t="s">
        <v>869</v>
      </c>
      <c r="E554" s="92" t="s">
        <v>870</v>
      </c>
      <c r="F554" s="91" t="s">
        <v>871</v>
      </c>
      <c r="G554" s="91" t="s">
        <v>298</v>
      </c>
      <c r="H554" s="91" t="s">
        <v>21</v>
      </c>
      <c r="I554" s="91" t="s">
        <v>235</v>
      </c>
      <c r="J554" s="92" t="s">
        <v>299</v>
      </c>
      <c r="K554" s="93">
        <v>33.1</v>
      </c>
      <c r="L554" s="93">
        <f>K554*VLOOKUP(H554,dagsoorttabel1,2,FALSE)</f>
        <v>0.12730769230769232</v>
      </c>
      <c r="M554" s="94">
        <f>prodnorm123</f>
        <v>0</v>
      </c>
      <c r="N554" s="91" t="s">
        <v>101</v>
      </c>
      <c r="O554" s="26">
        <f>uurtarief123</f>
        <v>0</v>
      </c>
      <c r="P554" s="93" t="e">
        <f>IF(ISBLANK(M554),0,L554/ROUND(M554,4))</f>
        <v>#DIV/0!</v>
      </c>
      <c r="Q554" s="26" t="e">
        <f>ROUND(O554,2)*P554</f>
        <v>#DIV/0!</v>
      </c>
      <c r="R554" s="93" t="e">
        <f>P554*dagenperjaar1</f>
        <v>#DIV/0!</v>
      </c>
      <c r="S554" s="27" t="e">
        <f>R554*ROUND(O554,2)</f>
        <v>#DIV/0!</v>
      </c>
    </row>
    <row r="555" spans="1:19" x14ac:dyDescent="0.2">
      <c r="A555" s="96" t="s">
        <v>557</v>
      </c>
      <c r="B555" s="97" t="s">
        <v>868</v>
      </c>
      <c r="C555" s="97" t="s">
        <v>343</v>
      </c>
      <c r="D555" s="97" t="s">
        <v>872</v>
      </c>
      <c r="E555" s="98" t="s">
        <v>870</v>
      </c>
      <c r="F555" s="97" t="s">
        <v>871</v>
      </c>
      <c r="G555" s="97" t="s">
        <v>298</v>
      </c>
      <c r="H555" s="97" t="s">
        <v>21</v>
      </c>
      <c r="I555" s="97" t="s">
        <v>235</v>
      </c>
      <c r="J555" s="98" t="s">
        <v>299</v>
      </c>
      <c r="K555" s="99">
        <v>33.9</v>
      </c>
      <c r="L555" s="99">
        <f>K555*VLOOKUP(H555,dagsoorttabel1,2,FALSE)</f>
        <v>0.13038461538461538</v>
      </c>
      <c r="M555" s="100">
        <f>prodnorm123</f>
        <v>0</v>
      </c>
      <c r="N555" s="97" t="s">
        <v>101</v>
      </c>
      <c r="O555" s="36">
        <f>uurtarief123</f>
        <v>0</v>
      </c>
      <c r="P555" s="99" t="e">
        <f>IF(ISBLANK(M555),0,L555/ROUND(M555,4))</f>
        <v>#DIV/0!</v>
      </c>
      <c r="Q555" s="36" t="e">
        <f>ROUND(O555,2)*P555</f>
        <v>#DIV/0!</v>
      </c>
      <c r="R555" s="99" t="e">
        <f>P555*dagenperjaar1</f>
        <v>#DIV/0!</v>
      </c>
      <c r="S555" s="37" t="e">
        <f>R555*ROUND(O555,2)</f>
        <v>#DIV/0!</v>
      </c>
    </row>
    <row r="556" spans="1:19" x14ac:dyDescent="0.2">
      <c r="A556" s="101" t="s">
        <v>356</v>
      </c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6" t="e">
        <f>IF(_xlfn.SINGLE(object13_urenjaar1)&gt;0,_xlfn.SINGLE(object13_prijsjaar1)/_xlfn.SINGLE(object13_urenjaar1),0)</f>
        <v>#DIV/0!</v>
      </c>
      <c r="P556" s="75" t="e">
        <f>SUM(P318:P555)</f>
        <v>#DIV/0!</v>
      </c>
      <c r="Q556" s="76" t="e">
        <f>SUM(Q318:Q555)</f>
        <v>#DIV/0!</v>
      </c>
      <c r="R556" s="75" t="e">
        <f>SUM(R318:R555)</f>
        <v>#DIV/0!</v>
      </c>
      <c r="S556" s="77" t="e">
        <f>SUM(S318:S555)</f>
        <v>#DIV/0!</v>
      </c>
    </row>
    <row r="557" spans="1:19" x14ac:dyDescent="0.2">
      <c r="A557" s="82" t="s">
        <v>873</v>
      </c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72"/>
    </row>
    <row r="558" spans="1:19" x14ac:dyDescent="0.2">
      <c r="A558" s="83" t="s">
        <v>874</v>
      </c>
      <c r="B558" s="84" t="s">
        <v>35</v>
      </c>
      <c r="C558" s="84" t="s">
        <v>313</v>
      </c>
      <c r="D558" s="84" t="s">
        <v>314</v>
      </c>
      <c r="E558" s="85" t="s">
        <v>553</v>
      </c>
      <c r="F558" s="84" t="s">
        <v>329</v>
      </c>
      <c r="G558" s="84" t="s">
        <v>252</v>
      </c>
      <c r="H558" s="84" t="s">
        <v>21</v>
      </c>
      <c r="I558" s="84" t="s">
        <v>235</v>
      </c>
      <c r="J558" s="85" t="s">
        <v>253</v>
      </c>
      <c r="K558" s="86">
        <v>116.47</v>
      </c>
      <c r="L558" s="86">
        <f>K558*VLOOKUP(H558,dagsoorttabel1,2,FALSE)</f>
        <v>0.44796153846153847</v>
      </c>
      <c r="M558" s="87">
        <f>prodnorm67</f>
        <v>0</v>
      </c>
      <c r="N558" s="84" t="s">
        <v>101</v>
      </c>
      <c r="O558" s="88">
        <f>uurtarief67</f>
        <v>0</v>
      </c>
      <c r="P558" s="86" t="e">
        <f>IF(ISBLANK(M558),0,L558/ROUND(M558,4))</f>
        <v>#DIV/0!</v>
      </c>
      <c r="Q558" s="88" t="e">
        <f>ROUND(O558,2)*P558</f>
        <v>#DIV/0!</v>
      </c>
      <c r="R558" s="86" t="e">
        <f>P558*dagenperjaar1</f>
        <v>#DIV/0!</v>
      </c>
      <c r="S558" s="89" t="e">
        <f>R558*ROUND(O558,2)</f>
        <v>#DIV/0!</v>
      </c>
    </row>
    <row r="559" spans="1:19" ht="25.2" x14ac:dyDescent="0.2">
      <c r="A559" s="90" t="s">
        <v>874</v>
      </c>
      <c r="B559" s="91" t="s">
        <v>35</v>
      </c>
      <c r="C559" s="91" t="s">
        <v>313</v>
      </c>
      <c r="D559" s="91" t="s">
        <v>317</v>
      </c>
      <c r="E559" s="92" t="s">
        <v>369</v>
      </c>
      <c r="F559" s="91" t="s">
        <v>329</v>
      </c>
      <c r="G559" s="91" t="s">
        <v>293</v>
      </c>
      <c r="H559" s="91" t="s">
        <v>21</v>
      </c>
      <c r="I559" s="91" t="s">
        <v>235</v>
      </c>
      <c r="J559" s="92" t="s">
        <v>294</v>
      </c>
      <c r="K559" s="93">
        <v>18.77</v>
      </c>
      <c r="L559" s="93">
        <f>K559*VLOOKUP(H559,dagsoorttabel1,2,FALSE)</f>
        <v>7.2192307692307695E-2</v>
      </c>
      <c r="M559" s="94">
        <f>prodnorm118</f>
        <v>0</v>
      </c>
      <c r="N559" s="91" t="s">
        <v>101</v>
      </c>
      <c r="O559" s="26">
        <f>uurtarief118</f>
        <v>0</v>
      </c>
      <c r="P559" s="93" t="e">
        <f>IF(ISBLANK(M559),0,L559/ROUND(M559,4))</f>
        <v>#DIV/0!</v>
      </c>
      <c r="Q559" s="26" t="e">
        <f>ROUND(O559,2)*P559</f>
        <v>#DIV/0!</v>
      </c>
      <c r="R559" s="93" t="e">
        <f>P559*dagenperjaar1</f>
        <v>#DIV/0!</v>
      </c>
      <c r="S559" s="27" t="e">
        <f>R559*ROUND(O559,2)</f>
        <v>#DIV/0!</v>
      </c>
    </row>
    <row r="560" spans="1:19" x14ac:dyDescent="0.2">
      <c r="A560" s="90" t="s">
        <v>874</v>
      </c>
      <c r="B560" s="91" t="s">
        <v>35</v>
      </c>
      <c r="C560" s="91" t="s">
        <v>313</v>
      </c>
      <c r="D560" s="91" t="s">
        <v>320</v>
      </c>
      <c r="E560" s="92" t="s">
        <v>875</v>
      </c>
      <c r="F560" s="91" t="s">
        <v>427</v>
      </c>
      <c r="G560" s="91" t="s">
        <v>277</v>
      </c>
      <c r="H560" s="91" t="s">
        <v>13</v>
      </c>
      <c r="I560" s="91" t="s">
        <v>235</v>
      </c>
      <c r="J560" s="92" t="s">
        <v>278</v>
      </c>
      <c r="K560" s="93">
        <v>6.68</v>
      </c>
      <c r="L560" s="93">
        <f>K560*VLOOKUP(H560,dagsoorttabel1,2,FALSE)</f>
        <v>1.3360000000000001</v>
      </c>
      <c r="M560" s="94">
        <f>prodnorm97</f>
        <v>0</v>
      </c>
      <c r="N560" s="91" t="s">
        <v>101</v>
      </c>
      <c r="O560" s="26">
        <f>uurtarief97</f>
        <v>0</v>
      </c>
      <c r="P560" s="93" t="e">
        <f>IF(ISBLANK(M560),0,L560/ROUND(M560,4))</f>
        <v>#DIV/0!</v>
      </c>
      <c r="Q560" s="26" t="e">
        <f>ROUND(O560,2)*P560</f>
        <v>#DIV/0!</v>
      </c>
      <c r="R560" s="93" t="e">
        <f>P560*dagenperjaar1</f>
        <v>#DIV/0!</v>
      </c>
      <c r="S560" s="27" t="e">
        <f>R560*ROUND(O560,2)</f>
        <v>#DIV/0!</v>
      </c>
    </row>
    <row r="561" spans="1:19" x14ac:dyDescent="0.2">
      <c r="A561" s="90" t="s">
        <v>874</v>
      </c>
      <c r="B561" s="91" t="s">
        <v>35</v>
      </c>
      <c r="C561" s="91" t="s">
        <v>313</v>
      </c>
      <c r="D561" s="91" t="s">
        <v>521</v>
      </c>
      <c r="E561" s="92" t="s">
        <v>876</v>
      </c>
      <c r="F561" s="91" t="s">
        <v>427</v>
      </c>
      <c r="G561" s="91" t="s">
        <v>275</v>
      </c>
      <c r="H561" s="91" t="s">
        <v>13</v>
      </c>
      <c r="I561" s="91" t="s">
        <v>235</v>
      </c>
      <c r="J561" s="92" t="s">
        <v>276</v>
      </c>
      <c r="K561" s="93">
        <v>2</v>
      </c>
      <c r="L561" s="93">
        <f>K561*VLOOKUP(H561,dagsoorttabel1,2,FALSE)</f>
        <v>0.4</v>
      </c>
      <c r="M561" s="94">
        <f>prodnorm94</f>
        <v>0</v>
      </c>
      <c r="N561" s="91" t="s">
        <v>101</v>
      </c>
      <c r="O561" s="26">
        <f>uurtarief94</f>
        <v>0</v>
      </c>
      <c r="P561" s="93" t="e">
        <f>IF(ISBLANK(M561),0,L561/ROUND(M561,4))</f>
        <v>#DIV/0!</v>
      </c>
      <c r="Q561" s="26" t="e">
        <f>ROUND(O561,2)*P561</f>
        <v>#DIV/0!</v>
      </c>
      <c r="R561" s="93" t="e">
        <f>P561*dagenperjaar1</f>
        <v>#DIV/0!</v>
      </c>
      <c r="S561" s="27" t="e">
        <f>R561*ROUND(O561,2)</f>
        <v>#DIV/0!</v>
      </c>
    </row>
    <row r="562" spans="1:19" x14ac:dyDescent="0.2">
      <c r="A562" s="90" t="s">
        <v>874</v>
      </c>
      <c r="B562" s="91" t="s">
        <v>35</v>
      </c>
      <c r="C562" s="91" t="s">
        <v>313</v>
      </c>
      <c r="D562" s="91" t="s">
        <v>877</v>
      </c>
      <c r="E562" s="92" t="s">
        <v>878</v>
      </c>
      <c r="F562" s="91" t="s">
        <v>427</v>
      </c>
      <c r="G562" s="91" t="s">
        <v>279</v>
      </c>
      <c r="H562" s="91" t="s">
        <v>13</v>
      </c>
      <c r="I562" s="91" t="s">
        <v>235</v>
      </c>
      <c r="J562" s="92" t="s">
        <v>280</v>
      </c>
      <c r="K562" s="93">
        <v>1.2</v>
      </c>
      <c r="L562" s="93">
        <f>K562*VLOOKUP(H562,dagsoorttabel1,2,FALSE)</f>
        <v>0.24</v>
      </c>
      <c r="M562" s="94">
        <f>prodnorm100</f>
        <v>0</v>
      </c>
      <c r="N562" s="91" t="s">
        <v>101</v>
      </c>
      <c r="O562" s="26">
        <f>uurtarief100</f>
        <v>0</v>
      </c>
      <c r="P562" s="93" t="e">
        <f>IF(ISBLANK(M562),0,L562/ROUND(M562,4))</f>
        <v>#DIV/0!</v>
      </c>
      <c r="Q562" s="26" t="e">
        <f>ROUND(O562,2)*P562</f>
        <v>#DIV/0!</v>
      </c>
      <c r="R562" s="93" t="e">
        <f>P562*dagenperjaar1</f>
        <v>#DIV/0!</v>
      </c>
      <c r="S562" s="27" t="e">
        <f>R562*ROUND(O562,2)</f>
        <v>#DIV/0!</v>
      </c>
    </row>
    <row r="563" spans="1:19" x14ac:dyDescent="0.2">
      <c r="A563" s="90" t="s">
        <v>874</v>
      </c>
      <c r="B563" s="91" t="s">
        <v>35</v>
      </c>
      <c r="C563" s="91" t="s">
        <v>313</v>
      </c>
      <c r="D563" s="91" t="s">
        <v>322</v>
      </c>
      <c r="E563" s="92" t="s">
        <v>879</v>
      </c>
      <c r="F563" s="91" t="s">
        <v>427</v>
      </c>
      <c r="G563" s="91" t="s">
        <v>277</v>
      </c>
      <c r="H563" s="91" t="s">
        <v>13</v>
      </c>
      <c r="I563" s="91" t="s">
        <v>235</v>
      </c>
      <c r="J563" s="92" t="s">
        <v>278</v>
      </c>
      <c r="K563" s="93">
        <v>12.739999999999998</v>
      </c>
      <c r="L563" s="93">
        <f>K563*VLOOKUP(H563,dagsoorttabel1,2,FALSE)</f>
        <v>2.548</v>
      </c>
      <c r="M563" s="94">
        <f>prodnorm97</f>
        <v>0</v>
      </c>
      <c r="N563" s="91" t="s">
        <v>101</v>
      </c>
      <c r="O563" s="26">
        <f>uurtarief97</f>
        <v>0</v>
      </c>
      <c r="P563" s="93" t="e">
        <f>IF(ISBLANK(M563),0,L563/ROUND(M563,4))</f>
        <v>#DIV/0!</v>
      </c>
      <c r="Q563" s="26" t="e">
        <f>ROUND(O563,2)*P563</f>
        <v>#DIV/0!</v>
      </c>
      <c r="R563" s="93" t="e">
        <f>P563*dagenperjaar1</f>
        <v>#DIV/0!</v>
      </c>
      <c r="S563" s="27" t="e">
        <f>R563*ROUND(O563,2)</f>
        <v>#DIV/0!</v>
      </c>
    </row>
    <row r="564" spans="1:19" x14ac:dyDescent="0.2">
      <c r="A564" s="90" t="s">
        <v>874</v>
      </c>
      <c r="B564" s="91" t="s">
        <v>35</v>
      </c>
      <c r="C564" s="91" t="s">
        <v>313</v>
      </c>
      <c r="D564" s="91" t="s">
        <v>880</v>
      </c>
      <c r="E564" s="92" t="s">
        <v>876</v>
      </c>
      <c r="F564" s="91" t="s">
        <v>427</v>
      </c>
      <c r="G564" s="91" t="s">
        <v>275</v>
      </c>
      <c r="H564" s="91" t="s">
        <v>13</v>
      </c>
      <c r="I564" s="91" t="s">
        <v>235</v>
      </c>
      <c r="J564" s="92" t="s">
        <v>276</v>
      </c>
      <c r="K564" s="93">
        <v>7</v>
      </c>
      <c r="L564" s="93">
        <f>K564*VLOOKUP(H564,dagsoorttabel1,2,FALSE)</f>
        <v>1.4000000000000001</v>
      </c>
      <c r="M564" s="94">
        <f>prodnorm94</f>
        <v>0</v>
      </c>
      <c r="N564" s="91" t="s">
        <v>101</v>
      </c>
      <c r="O564" s="26">
        <f>uurtarief94</f>
        <v>0</v>
      </c>
      <c r="P564" s="93" t="e">
        <f>IF(ISBLANK(M564),0,L564/ROUND(M564,4))</f>
        <v>#DIV/0!</v>
      </c>
      <c r="Q564" s="26" t="e">
        <f>ROUND(O564,2)*P564</f>
        <v>#DIV/0!</v>
      </c>
      <c r="R564" s="93" t="e">
        <f>P564*dagenperjaar1</f>
        <v>#DIV/0!</v>
      </c>
      <c r="S564" s="27" t="e">
        <f>R564*ROUND(O564,2)</f>
        <v>#DIV/0!</v>
      </c>
    </row>
    <row r="565" spans="1:19" x14ac:dyDescent="0.2">
      <c r="A565" s="90" t="s">
        <v>874</v>
      </c>
      <c r="B565" s="91" t="s">
        <v>35</v>
      </c>
      <c r="C565" s="91" t="s">
        <v>313</v>
      </c>
      <c r="D565" s="91" t="s">
        <v>881</v>
      </c>
      <c r="E565" s="92" t="s">
        <v>878</v>
      </c>
      <c r="F565" s="91" t="s">
        <v>427</v>
      </c>
      <c r="G565" s="91" t="s">
        <v>279</v>
      </c>
      <c r="H565" s="91" t="s">
        <v>13</v>
      </c>
      <c r="I565" s="91" t="s">
        <v>235</v>
      </c>
      <c r="J565" s="92" t="s">
        <v>280</v>
      </c>
      <c r="K565" s="93">
        <v>3</v>
      </c>
      <c r="L565" s="93">
        <f>K565*VLOOKUP(H565,dagsoorttabel1,2,FALSE)</f>
        <v>0.60000000000000009</v>
      </c>
      <c r="M565" s="94">
        <f>prodnorm100</f>
        <v>0</v>
      </c>
      <c r="N565" s="91" t="s">
        <v>101</v>
      </c>
      <c r="O565" s="26">
        <f>uurtarief100</f>
        <v>0</v>
      </c>
      <c r="P565" s="93" t="e">
        <f>IF(ISBLANK(M565),0,L565/ROUND(M565,4))</f>
        <v>#DIV/0!</v>
      </c>
      <c r="Q565" s="26" t="e">
        <f>ROUND(O565,2)*P565</f>
        <v>#DIV/0!</v>
      </c>
      <c r="R565" s="93" t="e">
        <f>P565*dagenperjaar1</f>
        <v>#DIV/0!</v>
      </c>
      <c r="S565" s="27" t="e">
        <f>R565*ROUND(O565,2)</f>
        <v>#DIV/0!</v>
      </c>
    </row>
    <row r="566" spans="1:19" x14ac:dyDescent="0.2">
      <c r="A566" s="90" t="s">
        <v>874</v>
      </c>
      <c r="B566" s="91" t="s">
        <v>35</v>
      </c>
      <c r="C566" s="91" t="s">
        <v>313</v>
      </c>
      <c r="D566" s="91" t="s">
        <v>324</v>
      </c>
      <c r="E566" s="92" t="s">
        <v>321</v>
      </c>
      <c r="F566" s="91" t="s">
        <v>508</v>
      </c>
      <c r="G566" s="91" t="s">
        <v>283</v>
      </c>
      <c r="H566" s="91" t="s">
        <v>13</v>
      </c>
      <c r="I566" s="91" t="s">
        <v>235</v>
      </c>
      <c r="J566" s="92" t="s">
        <v>284</v>
      </c>
      <c r="K566" s="93">
        <v>12.870000000000001</v>
      </c>
      <c r="L566" s="93">
        <f>K566*VLOOKUP(H566,dagsoorttabel1,2,FALSE)</f>
        <v>2.5740000000000003</v>
      </c>
      <c r="M566" s="94">
        <f>prodnorm106</f>
        <v>0</v>
      </c>
      <c r="N566" s="91" t="s">
        <v>101</v>
      </c>
      <c r="O566" s="26">
        <f>uurtarief106</f>
        <v>0</v>
      </c>
      <c r="P566" s="93" t="e">
        <f>IF(ISBLANK(M566),0,L566/ROUND(M566,4))</f>
        <v>#DIV/0!</v>
      </c>
      <c r="Q566" s="26" t="e">
        <f>ROUND(O566,2)*P566</f>
        <v>#DIV/0!</v>
      </c>
      <c r="R566" s="93" t="e">
        <f>P566*dagenperjaar1</f>
        <v>#DIV/0!</v>
      </c>
      <c r="S566" s="27" t="e">
        <f>R566*ROUND(O566,2)</f>
        <v>#DIV/0!</v>
      </c>
    </row>
    <row r="567" spans="1:19" x14ac:dyDescent="0.2">
      <c r="A567" s="90" t="s">
        <v>874</v>
      </c>
      <c r="B567" s="91" t="s">
        <v>35</v>
      </c>
      <c r="C567" s="91" t="s">
        <v>313</v>
      </c>
      <c r="D567" s="91" t="s">
        <v>325</v>
      </c>
      <c r="E567" s="92" t="s">
        <v>882</v>
      </c>
      <c r="F567" s="91" t="s">
        <v>508</v>
      </c>
      <c r="G567" s="91" t="s">
        <v>270</v>
      </c>
      <c r="H567" s="91" t="s">
        <v>13</v>
      </c>
      <c r="I567" s="91" t="s">
        <v>235</v>
      </c>
      <c r="J567" s="92" t="s">
        <v>271</v>
      </c>
      <c r="K567" s="93">
        <v>30</v>
      </c>
      <c r="L567" s="93">
        <f>K567*VLOOKUP(H567,dagsoorttabel1,2,FALSE)</f>
        <v>6</v>
      </c>
      <c r="M567" s="94">
        <f>prodnorm89</f>
        <v>0</v>
      </c>
      <c r="N567" s="91" t="s">
        <v>101</v>
      </c>
      <c r="O567" s="26">
        <f>uurtarief89</f>
        <v>0</v>
      </c>
      <c r="P567" s="93" t="e">
        <f>IF(ISBLANK(M567),0,L567/ROUND(M567,4))</f>
        <v>#DIV/0!</v>
      </c>
      <c r="Q567" s="26" t="e">
        <f>ROUND(O567,2)*P567</f>
        <v>#DIV/0!</v>
      </c>
      <c r="R567" s="93" t="e">
        <f>P567*dagenperjaar1</f>
        <v>#DIV/0!</v>
      </c>
      <c r="S567" s="27" t="e">
        <f>R567*ROUND(O567,2)</f>
        <v>#DIV/0!</v>
      </c>
    </row>
    <row r="568" spans="1:19" x14ac:dyDescent="0.2">
      <c r="A568" s="90" t="s">
        <v>874</v>
      </c>
      <c r="B568" s="91" t="s">
        <v>35</v>
      </c>
      <c r="C568" s="91" t="s">
        <v>313</v>
      </c>
      <c r="D568" s="91" t="s">
        <v>883</v>
      </c>
      <c r="E568" s="92" t="s">
        <v>375</v>
      </c>
      <c r="F568" s="91" t="s">
        <v>508</v>
      </c>
      <c r="G568" s="91" t="s">
        <v>268</v>
      </c>
      <c r="H568" s="91" t="s">
        <v>13</v>
      </c>
      <c r="I568" s="91" t="s">
        <v>235</v>
      </c>
      <c r="J568" s="92" t="s">
        <v>269</v>
      </c>
      <c r="K568" s="93">
        <v>5.8199999999999994</v>
      </c>
      <c r="L568" s="93">
        <f>K568*VLOOKUP(H568,dagsoorttabel1,2,FALSE)</f>
        <v>1.1639999999999999</v>
      </c>
      <c r="M568" s="94">
        <f>prodnorm86</f>
        <v>0</v>
      </c>
      <c r="N568" s="91" t="s">
        <v>101</v>
      </c>
      <c r="O568" s="26">
        <f>uurtarief86</f>
        <v>0</v>
      </c>
      <c r="P568" s="93" t="e">
        <f>IF(ISBLANK(M568),0,L568/ROUND(M568,4))</f>
        <v>#DIV/0!</v>
      </c>
      <c r="Q568" s="26" t="e">
        <f>ROUND(O568,2)*P568</f>
        <v>#DIV/0!</v>
      </c>
      <c r="R568" s="93" t="e">
        <f>P568*dagenperjaar1</f>
        <v>#DIV/0!</v>
      </c>
      <c r="S568" s="27" t="e">
        <f>R568*ROUND(O568,2)</f>
        <v>#DIV/0!</v>
      </c>
    </row>
    <row r="569" spans="1:19" x14ac:dyDescent="0.2">
      <c r="A569" s="90" t="s">
        <v>874</v>
      </c>
      <c r="B569" s="91" t="s">
        <v>35</v>
      </c>
      <c r="C569" s="91" t="s">
        <v>313</v>
      </c>
      <c r="D569" s="91" t="s">
        <v>327</v>
      </c>
      <c r="E569" s="92" t="s">
        <v>323</v>
      </c>
      <c r="F569" s="91" t="s">
        <v>508</v>
      </c>
      <c r="G569" s="91" t="s">
        <v>239</v>
      </c>
      <c r="H569" s="91" t="s">
        <v>13</v>
      </c>
      <c r="I569" s="91" t="s">
        <v>235</v>
      </c>
      <c r="J569" s="92" t="s">
        <v>240</v>
      </c>
      <c r="K569" s="93">
        <v>12.16</v>
      </c>
      <c r="L569" s="93">
        <f>K569*VLOOKUP(H569,dagsoorttabel1,2,FALSE)</f>
        <v>2.4320000000000004</v>
      </c>
      <c r="M569" s="94">
        <f>prodnorm53</f>
        <v>0</v>
      </c>
      <c r="N569" s="91" t="s">
        <v>101</v>
      </c>
      <c r="O569" s="26">
        <f>uurtarief53</f>
        <v>0</v>
      </c>
      <c r="P569" s="93" t="e">
        <f>IF(ISBLANK(M569),0,L569/ROUND(M569,4))</f>
        <v>#DIV/0!</v>
      </c>
      <c r="Q569" s="26" t="e">
        <f>ROUND(O569,2)*P569</f>
        <v>#DIV/0!</v>
      </c>
      <c r="R569" s="93" t="e">
        <f>P569*dagenperjaar1</f>
        <v>#DIV/0!</v>
      </c>
      <c r="S569" s="27" t="e">
        <f>R569*ROUND(O569,2)</f>
        <v>#DIV/0!</v>
      </c>
    </row>
    <row r="570" spans="1:19" x14ac:dyDescent="0.2">
      <c r="A570" s="90" t="s">
        <v>874</v>
      </c>
      <c r="B570" s="91" t="s">
        <v>35</v>
      </c>
      <c r="C570" s="91" t="s">
        <v>313</v>
      </c>
      <c r="D570" s="91" t="s">
        <v>330</v>
      </c>
      <c r="E570" s="92" t="s">
        <v>884</v>
      </c>
      <c r="F570" s="91" t="s">
        <v>414</v>
      </c>
      <c r="G570" s="91" t="s">
        <v>277</v>
      </c>
      <c r="H570" s="91" t="s">
        <v>13</v>
      </c>
      <c r="I570" s="91" t="s">
        <v>235</v>
      </c>
      <c r="J570" s="92" t="s">
        <v>278</v>
      </c>
      <c r="K570" s="93">
        <v>11.629999999999999</v>
      </c>
      <c r="L570" s="93">
        <f>K570*VLOOKUP(H570,dagsoorttabel1,2,FALSE)</f>
        <v>2.3260000000000001</v>
      </c>
      <c r="M570" s="94">
        <f>prodnorm97</f>
        <v>0</v>
      </c>
      <c r="N570" s="91" t="s">
        <v>101</v>
      </c>
      <c r="O570" s="26">
        <f>uurtarief97</f>
        <v>0</v>
      </c>
      <c r="P570" s="93" t="e">
        <f>IF(ISBLANK(M570),0,L570/ROUND(M570,4))</f>
        <v>#DIV/0!</v>
      </c>
      <c r="Q570" s="26" t="e">
        <f>ROUND(O570,2)*P570</f>
        <v>#DIV/0!</v>
      </c>
      <c r="R570" s="93" t="e">
        <f>P570*dagenperjaar1</f>
        <v>#DIV/0!</v>
      </c>
      <c r="S570" s="27" t="e">
        <f>R570*ROUND(O570,2)</f>
        <v>#DIV/0!</v>
      </c>
    </row>
    <row r="571" spans="1:19" x14ac:dyDescent="0.2">
      <c r="A571" s="96" t="s">
        <v>874</v>
      </c>
      <c r="B571" s="97" t="s">
        <v>35</v>
      </c>
      <c r="C571" s="97" t="s">
        <v>313</v>
      </c>
      <c r="D571" s="97" t="s">
        <v>332</v>
      </c>
      <c r="E571" s="98" t="s">
        <v>333</v>
      </c>
      <c r="F571" s="97" t="s">
        <v>427</v>
      </c>
      <c r="G571" s="97" t="s">
        <v>279</v>
      </c>
      <c r="H571" s="97" t="s">
        <v>13</v>
      </c>
      <c r="I571" s="97" t="s">
        <v>235</v>
      </c>
      <c r="J571" s="98" t="s">
        <v>280</v>
      </c>
      <c r="K571" s="99">
        <v>1.37</v>
      </c>
      <c r="L571" s="99">
        <f>K571*VLOOKUP(H571,dagsoorttabel1,2,FALSE)</f>
        <v>0.27400000000000002</v>
      </c>
      <c r="M571" s="100">
        <f>prodnorm100</f>
        <v>0</v>
      </c>
      <c r="N571" s="97" t="s">
        <v>101</v>
      </c>
      <c r="O571" s="36">
        <f>uurtarief100</f>
        <v>0</v>
      </c>
      <c r="P571" s="99" t="e">
        <f>IF(ISBLANK(M571),0,L571/ROUND(M571,4))</f>
        <v>#DIV/0!</v>
      </c>
      <c r="Q571" s="36" t="e">
        <f>ROUND(O571,2)*P571</f>
        <v>#DIV/0!</v>
      </c>
      <c r="R571" s="99" t="e">
        <f>P571*dagenperjaar1</f>
        <v>#DIV/0!</v>
      </c>
      <c r="S571" s="37" t="e">
        <f>R571*ROUND(O571,2)</f>
        <v>#DIV/0!</v>
      </c>
    </row>
    <row r="572" spans="1:19" x14ac:dyDescent="0.2">
      <c r="A572" s="101" t="s">
        <v>356</v>
      </c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6" t="e">
        <f>IF(_xlfn.SINGLE(object14_urenjaar1)&gt;0,_xlfn.SINGLE(object14_prijsjaar1)/_xlfn.SINGLE(object14_urenjaar1),0)</f>
        <v>#DIV/0!</v>
      </c>
      <c r="P572" s="75" t="e">
        <f>SUM(P558:P571)</f>
        <v>#DIV/0!</v>
      </c>
      <c r="Q572" s="76" t="e">
        <f>SUM(Q558:Q571)</f>
        <v>#DIV/0!</v>
      </c>
      <c r="R572" s="75" t="e">
        <f>SUM(R558:R571)</f>
        <v>#DIV/0!</v>
      </c>
      <c r="S572" s="77" t="e">
        <f>SUM(S558:S571)</f>
        <v>#DIV/0!</v>
      </c>
    </row>
    <row r="573" spans="1:19" x14ac:dyDescent="0.2">
      <c r="A573" s="82" t="s">
        <v>885</v>
      </c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72"/>
    </row>
    <row r="574" spans="1:19" x14ac:dyDescent="0.2">
      <c r="A574" s="83" t="s">
        <v>886</v>
      </c>
      <c r="B574" s="84" t="s">
        <v>35</v>
      </c>
      <c r="C574" s="84" t="s">
        <v>313</v>
      </c>
      <c r="D574" s="84" t="s">
        <v>314</v>
      </c>
      <c r="E574" s="85" t="s">
        <v>367</v>
      </c>
      <c r="F574" s="84" t="s">
        <v>316</v>
      </c>
      <c r="G574" s="84" t="s">
        <v>283</v>
      </c>
      <c r="H574" s="84" t="s">
        <v>13</v>
      </c>
      <c r="I574" s="84" t="s">
        <v>235</v>
      </c>
      <c r="J574" s="85" t="s">
        <v>284</v>
      </c>
      <c r="K574" s="86">
        <v>26</v>
      </c>
      <c r="L574" s="86">
        <f>K574*VLOOKUP(H574,dagsoorttabel1,2,FALSE)</f>
        <v>5.2</v>
      </c>
      <c r="M574" s="87">
        <f>prodnorm106</f>
        <v>0</v>
      </c>
      <c r="N574" s="84" t="s">
        <v>101</v>
      </c>
      <c r="O574" s="88">
        <f>uurtarief106</f>
        <v>0</v>
      </c>
      <c r="P574" s="86" t="e">
        <f>IF(ISBLANK(M574),0,L574/ROUND(M574,4))</f>
        <v>#DIV/0!</v>
      </c>
      <c r="Q574" s="88" t="e">
        <f>ROUND(O574,2)*P574</f>
        <v>#DIV/0!</v>
      </c>
      <c r="R574" s="86" t="e">
        <f>P574*dagenperjaar1</f>
        <v>#DIV/0!</v>
      </c>
      <c r="S574" s="89" t="e">
        <f>R574*ROUND(O574,2)</f>
        <v>#DIV/0!</v>
      </c>
    </row>
    <row r="575" spans="1:19" x14ac:dyDescent="0.2">
      <c r="A575" s="90" t="s">
        <v>886</v>
      </c>
      <c r="B575" s="91" t="s">
        <v>35</v>
      </c>
      <c r="C575" s="91" t="s">
        <v>313</v>
      </c>
      <c r="D575" s="91" t="s">
        <v>317</v>
      </c>
      <c r="E575" s="92" t="s">
        <v>887</v>
      </c>
      <c r="F575" s="91" t="s">
        <v>329</v>
      </c>
      <c r="G575" s="91" t="s">
        <v>279</v>
      </c>
      <c r="H575" s="91" t="s">
        <v>13</v>
      </c>
      <c r="I575" s="91" t="s">
        <v>235</v>
      </c>
      <c r="J575" s="92" t="s">
        <v>280</v>
      </c>
      <c r="K575" s="93">
        <v>8.4</v>
      </c>
      <c r="L575" s="93">
        <f>K575*VLOOKUP(H575,dagsoorttabel1,2,FALSE)</f>
        <v>1.6800000000000002</v>
      </c>
      <c r="M575" s="94">
        <f>prodnorm100</f>
        <v>0</v>
      </c>
      <c r="N575" s="91" t="s">
        <v>101</v>
      </c>
      <c r="O575" s="26">
        <f>uurtarief100</f>
        <v>0</v>
      </c>
      <c r="P575" s="93" t="e">
        <f>IF(ISBLANK(M575),0,L575/ROUND(M575,4))</f>
        <v>#DIV/0!</v>
      </c>
      <c r="Q575" s="26" t="e">
        <f>ROUND(O575,2)*P575</f>
        <v>#DIV/0!</v>
      </c>
      <c r="R575" s="93" t="e">
        <f>P575*dagenperjaar1</f>
        <v>#DIV/0!</v>
      </c>
      <c r="S575" s="27" t="e">
        <f>R575*ROUND(O575,2)</f>
        <v>#DIV/0!</v>
      </c>
    </row>
    <row r="576" spans="1:19" x14ac:dyDescent="0.2">
      <c r="A576" s="90" t="s">
        <v>886</v>
      </c>
      <c r="B576" s="91" t="s">
        <v>35</v>
      </c>
      <c r="C576" s="91" t="s">
        <v>313</v>
      </c>
      <c r="D576" s="91" t="s">
        <v>320</v>
      </c>
      <c r="E576" s="92" t="s">
        <v>323</v>
      </c>
      <c r="F576" s="91" t="s">
        <v>347</v>
      </c>
      <c r="G576" s="91" t="s">
        <v>239</v>
      </c>
      <c r="H576" s="91" t="s">
        <v>13</v>
      </c>
      <c r="I576" s="91" t="s">
        <v>235</v>
      </c>
      <c r="J576" s="92" t="s">
        <v>240</v>
      </c>
      <c r="K576" s="93">
        <v>8.3000000000000007</v>
      </c>
      <c r="L576" s="93">
        <f>K576*VLOOKUP(H576,dagsoorttabel1,2,FALSE)</f>
        <v>1.6600000000000001</v>
      </c>
      <c r="M576" s="94">
        <f>prodnorm53</f>
        <v>0</v>
      </c>
      <c r="N576" s="91" t="s">
        <v>101</v>
      </c>
      <c r="O576" s="26">
        <f>uurtarief53</f>
        <v>0</v>
      </c>
      <c r="P576" s="93" t="e">
        <f>IF(ISBLANK(M576),0,L576/ROUND(M576,4))</f>
        <v>#DIV/0!</v>
      </c>
      <c r="Q576" s="26" t="e">
        <f>ROUND(O576,2)*P576</f>
        <v>#DIV/0!</v>
      </c>
      <c r="R576" s="93" t="e">
        <f>P576*dagenperjaar1</f>
        <v>#DIV/0!</v>
      </c>
      <c r="S576" s="27" t="e">
        <f>R576*ROUND(O576,2)</f>
        <v>#DIV/0!</v>
      </c>
    </row>
    <row r="577" spans="1:19" x14ac:dyDescent="0.2">
      <c r="A577" s="90" t="s">
        <v>886</v>
      </c>
      <c r="B577" s="91" t="s">
        <v>35</v>
      </c>
      <c r="C577" s="91" t="s">
        <v>313</v>
      </c>
      <c r="D577" s="91" t="s">
        <v>322</v>
      </c>
      <c r="E577" s="92" t="s">
        <v>349</v>
      </c>
      <c r="F577" s="91" t="s">
        <v>347</v>
      </c>
      <c r="G577" s="91" t="s">
        <v>268</v>
      </c>
      <c r="H577" s="91" t="s">
        <v>13</v>
      </c>
      <c r="I577" s="91" t="s">
        <v>235</v>
      </c>
      <c r="J577" s="92" t="s">
        <v>269</v>
      </c>
      <c r="K577" s="93">
        <v>3.7</v>
      </c>
      <c r="L577" s="93">
        <f>K577*VLOOKUP(H577,dagsoorttabel1,2,FALSE)</f>
        <v>0.7400000000000001</v>
      </c>
      <c r="M577" s="94">
        <f>prodnorm86</f>
        <v>0</v>
      </c>
      <c r="N577" s="91" t="s">
        <v>101</v>
      </c>
      <c r="O577" s="26">
        <f>uurtarief86</f>
        <v>0</v>
      </c>
      <c r="P577" s="93" t="e">
        <f>IF(ISBLANK(M577),0,L577/ROUND(M577,4))</f>
        <v>#DIV/0!</v>
      </c>
      <c r="Q577" s="26" t="e">
        <f>ROUND(O577,2)*P577</f>
        <v>#DIV/0!</v>
      </c>
      <c r="R577" s="93" t="e">
        <f>P577*dagenperjaar1</f>
        <v>#DIV/0!</v>
      </c>
      <c r="S577" s="27" t="e">
        <f>R577*ROUND(O577,2)</f>
        <v>#DIV/0!</v>
      </c>
    </row>
    <row r="578" spans="1:19" x14ac:dyDescent="0.2">
      <c r="A578" s="90" t="s">
        <v>886</v>
      </c>
      <c r="B578" s="91" t="s">
        <v>35</v>
      </c>
      <c r="C578" s="91" t="s">
        <v>313</v>
      </c>
      <c r="D578" s="91" t="s">
        <v>324</v>
      </c>
      <c r="E578" s="92" t="s">
        <v>403</v>
      </c>
      <c r="F578" s="91" t="s">
        <v>347</v>
      </c>
      <c r="G578" s="91" t="s">
        <v>270</v>
      </c>
      <c r="H578" s="91" t="s">
        <v>13</v>
      </c>
      <c r="I578" s="91" t="s">
        <v>235</v>
      </c>
      <c r="J578" s="92" t="s">
        <v>271</v>
      </c>
      <c r="K578" s="93">
        <v>33</v>
      </c>
      <c r="L578" s="93">
        <f>K578*VLOOKUP(H578,dagsoorttabel1,2,FALSE)</f>
        <v>6.6000000000000005</v>
      </c>
      <c r="M578" s="94">
        <f>prodnorm89</f>
        <v>0</v>
      </c>
      <c r="N578" s="91" t="s">
        <v>101</v>
      </c>
      <c r="O578" s="26">
        <f>uurtarief89</f>
        <v>0</v>
      </c>
      <c r="P578" s="93" t="e">
        <f>IF(ISBLANK(M578),0,L578/ROUND(M578,4))</f>
        <v>#DIV/0!</v>
      </c>
      <c r="Q578" s="26" t="e">
        <f>ROUND(O578,2)*P578</f>
        <v>#DIV/0!</v>
      </c>
      <c r="R578" s="93" t="e">
        <f>P578*dagenperjaar1</f>
        <v>#DIV/0!</v>
      </c>
      <c r="S578" s="27" t="e">
        <f>R578*ROUND(O578,2)</f>
        <v>#DIV/0!</v>
      </c>
    </row>
    <row r="579" spans="1:19" x14ac:dyDescent="0.2">
      <c r="A579" s="90" t="s">
        <v>886</v>
      </c>
      <c r="B579" s="91" t="s">
        <v>35</v>
      </c>
      <c r="C579" s="91" t="s">
        <v>313</v>
      </c>
      <c r="D579" s="91" t="s">
        <v>325</v>
      </c>
      <c r="E579" s="92" t="s">
        <v>326</v>
      </c>
      <c r="F579" s="91" t="s">
        <v>347</v>
      </c>
      <c r="G579" s="91" t="s">
        <v>260</v>
      </c>
      <c r="H579" s="91" t="s">
        <v>13</v>
      </c>
      <c r="I579" s="91" t="s">
        <v>235</v>
      </c>
      <c r="J579" s="92" t="s">
        <v>261</v>
      </c>
      <c r="K579" s="93">
        <v>31</v>
      </c>
      <c r="L579" s="93">
        <f>K579*VLOOKUP(H579,dagsoorttabel1,2,FALSE)</f>
        <v>6.2</v>
      </c>
      <c r="M579" s="94">
        <f>prodnorm75</f>
        <v>0</v>
      </c>
      <c r="N579" s="91" t="s">
        <v>101</v>
      </c>
      <c r="O579" s="26">
        <f>uurtarief75</f>
        <v>0</v>
      </c>
      <c r="P579" s="93" t="e">
        <f>IF(ISBLANK(M579),0,L579/ROUND(M579,4))</f>
        <v>#DIV/0!</v>
      </c>
      <c r="Q579" s="26" t="e">
        <f>ROUND(O579,2)*P579</f>
        <v>#DIV/0!</v>
      </c>
      <c r="R579" s="93" t="e">
        <f>P579*dagenperjaar1</f>
        <v>#DIV/0!</v>
      </c>
      <c r="S579" s="27" t="e">
        <f>R579*ROUND(O579,2)</f>
        <v>#DIV/0!</v>
      </c>
    </row>
    <row r="580" spans="1:19" x14ac:dyDescent="0.2">
      <c r="A580" s="90" t="s">
        <v>886</v>
      </c>
      <c r="B580" s="91" t="s">
        <v>35</v>
      </c>
      <c r="C580" s="91" t="s">
        <v>313</v>
      </c>
      <c r="D580" s="91" t="s">
        <v>327</v>
      </c>
      <c r="E580" s="92" t="s">
        <v>351</v>
      </c>
      <c r="F580" s="91" t="s">
        <v>316</v>
      </c>
      <c r="G580" s="91" t="s">
        <v>352</v>
      </c>
      <c r="H580" s="91"/>
      <c r="I580" s="91"/>
      <c r="J580" s="91"/>
      <c r="K580" s="93">
        <v>13.5</v>
      </c>
      <c r="L580" s="93"/>
      <c r="M580" s="94"/>
      <c r="N580" s="91"/>
      <c r="O580" s="26"/>
      <c r="P580" s="93"/>
      <c r="Q580" s="26"/>
      <c r="R580" s="95"/>
      <c r="S580" s="27"/>
    </row>
    <row r="581" spans="1:19" x14ac:dyDescent="0.2">
      <c r="A581" s="90" t="s">
        <v>886</v>
      </c>
      <c r="B581" s="91" t="s">
        <v>35</v>
      </c>
      <c r="C581" s="91" t="s">
        <v>313</v>
      </c>
      <c r="D581" s="91" t="s">
        <v>330</v>
      </c>
      <c r="E581" s="92" t="s">
        <v>363</v>
      </c>
      <c r="F581" s="91" t="s">
        <v>329</v>
      </c>
      <c r="G581" s="91" t="s">
        <v>277</v>
      </c>
      <c r="H581" s="91" t="s">
        <v>13</v>
      </c>
      <c r="I581" s="91" t="s">
        <v>235</v>
      </c>
      <c r="J581" s="92" t="s">
        <v>278</v>
      </c>
      <c r="K581" s="93">
        <v>9.4</v>
      </c>
      <c r="L581" s="93">
        <f>K581*VLOOKUP(H581,dagsoorttabel1,2,FALSE)</f>
        <v>1.8800000000000001</v>
      </c>
      <c r="M581" s="94">
        <f>prodnorm97</f>
        <v>0</v>
      </c>
      <c r="N581" s="91" t="s">
        <v>101</v>
      </c>
      <c r="O581" s="26">
        <f>uurtarief97</f>
        <v>0</v>
      </c>
      <c r="P581" s="93" t="e">
        <f>IF(ISBLANK(M581),0,L581/ROUND(M581,4))</f>
        <v>#DIV/0!</v>
      </c>
      <c r="Q581" s="26" t="e">
        <f>ROUND(O581,2)*P581</f>
        <v>#DIV/0!</v>
      </c>
      <c r="R581" s="93" t="e">
        <f>P581*dagenperjaar1</f>
        <v>#DIV/0!</v>
      </c>
      <c r="S581" s="27" t="e">
        <f>R581*ROUND(O581,2)</f>
        <v>#DIV/0!</v>
      </c>
    </row>
    <row r="582" spans="1:19" x14ac:dyDescent="0.2">
      <c r="A582" s="90" t="s">
        <v>886</v>
      </c>
      <c r="B582" s="91" t="s">
        <v>35</v>
      </c>
      <c r="C582" s="91" t="s">
        <v>313</v>
      </c>
      <c r="D582" s="91" t="s">
        <v>332</v>
      </c>
      <c r="E582" s="92" t="s">
        <v>586</v>
      </c>
      <c r="F582" s="91" t="s">
        <v>329</v>
      </c>
      <c r="G582" s="91" t="s">
        <v>275</v>
      </c>
      <c r="H582" s="91" t="s">
        <v>13</v>
      </c>
      <c r="I582" s="91" t="s">
        <v>235</v>
      </c>
      <c r="J582" s="92" t="s">
        <v>276</v>
      </c>
      <c r="K582" s="93">
        <v>10.5</v>
      </c>
      <c r="L582" s="93">
        <f>K582*VLOOKUP(H582,dagsoorttabel1,2,FALSE)</f>
        <v>2.1</v>
      </c>
      <c r="M582" s="94">
        <f>prodnorm94</f>
        <v>0</v>
      </c>
      <c r="N582" s="91" t="s">
        <v>101</v>
      </c>
      <c r="O582" s="26">
        <f>uurtarief94</f>
        <v>0</v>
      </c>
      <c r="P582" s="93" t="e">
        <f>IF(ISBLANK(M582),0,L582/ROUND(M582,4))</f>
        <v>#DIV/0!</v>
      </c>
      <c r="Q582" s="26" t="e">
        <f>ROUND(O582,2)*P582</f>
        <v>#DIV/0!</v>
      </c>
      <c r="R582" s="93" t="e">
        <f>P582*dagenperjaar1</f>
        <v>#DIV/0!</v>
      </c>
      <c r="S582" s="27" t="e">
        <f>R582*ROUND(O582,2)</f>
        <v>#DIV/0!</v>
      </c>
    </row>
    <row r="583" spans="1:19" x14ac:dyDescent="0.2">
      <c r="A583" s="90" t="s">
        <v>886</v>
      </c>
      <c r="B583" s="91" t="s">
        <v>35</v>
      </c>
      <c r="C583" s="91" t="s">
        <v>313</v>
      </c>
      <c r="D583" s="91" t="s">
        <v>334</v>
      </c>
      <c r="E583" s="92" t="s">
        <v>362</v>
      </c>
      <c r="F583" s="91" t="s">
        <v>329</v>
      </c>
      <c r="G583" s="91" t="s">
        <v>277</v>
      </c>
      <c r="H583" s="91" t="s">
        <v>13</v>
      </c>
      <c r="I583" s="91" t="s">
        <v>235</v>
      </c>
      <c r="J583" s="92" t="s">
        <v>278</v>
      </c>
      <c r="K583" s="93">
        <v>7.5</v>
      </c>
      <c r="L583" s="93">
        <f>K583*VLOOKUP(H583,dagsoorttabel1,2,FALSE)</f>
        <v>1.5</v>
      </c>
      <c r="M583" s="94">
        <f>prodnorm97</f>
        <v>0</v>
      </c>
      <c r="N583" s="91" t="s">
        <v>101</v>
      </c>
      <c r="O583" s="26">
        <f>uurtarief97</f>
        <v>0</v>
      </c>
      <c r="P583" s="93" t="e">
        <f>IF(ISBLANK(M583),0,L583/ROUND(M583,4))</f>
        <v>#DIV/0!</v>
      </c>
      <c r="Q583" s="26" t="e">
        <f>ROUND(O583,2)*P583</f>
        <v>#DIV/0!</v>
      </c>
      <c r="R583" s="93" t="e">
        <f>P583*dagenperjaar1</f>
        <v>#DIV/0!</v>
      </c>
      <c r="S583" s="27" t="e">
        <f>R583*ROUND(O583,2)</f>
        <v>#DIV/0!</v>
      </c>
    </row>
    <row r="584" spans="1:19" x14ac:dyDescent="0.2">
      <c r="A584" s="90" t="s">
        <v>886</v>
      </c>
      <c r="B584" s="91" t="s">
        <v>35</v>
      </c>
      <c r="C584" s="91" t="s">
        <v>313</v>
      </c>
      <c r="D584" s="91" t="s">
        <v>336</v>
      </c>
      <c r="E584" s="92" t="s">
        <v>828</v>
      </c>
      <c r="F584" s="91" t="s">
        <v>329</v>
      </c>
      <c r="G584" s="91" t="s">
        <v>275</v>
      </c>
      <c r="H584" s="91" t="s">
        <v>13</v>
      </c>
      <c r="I584" s="91" t="s">
        <v>235</v>
      </c>
      <c r="J584" s="92" t="s">
        <v>276</v>
      </c>
      <c r="K584" s="93">
        <v>2.7</v>
      </c>
      <c r="L584" s="93">
        <f>K584*VLOOKUP(H584,dagsoorttabel1,2,FALSE)</f>
        <v>0.54</v>
      </c>
      <c r="M584" s="94">
        <f>prodnorm94</f>
        <v>0</v>
      </c>
      <c r="N584" s="91" t="s">
        <v>101</v>
      </c>
      <c r="O584" s="26">
        <f>uurtarief94</f>
        <v>0</v>
      </c>
      <c r="P584" s="93" t="e">
        <f>IF(ISBLANK(M584),0,L584/ROUND(M584,4))</f>
        <v>#DIV/0!</v>
      </c>
      <c r="Q584" s="26" t="e">
        <f>ROUND(O584,2)*P584</f>
        <v>#DIV/0!</v>
      </c>
      <c r="R584" s="93" t="e">
        <f>P584*dagenperjaar1</f>
        <v>#DIV/0!</v>
      </c>
      <c r="S584" s="27" t="e">
        <f>R584*ROUND(O584,2)</f>
        <v>#DIV/0!</v>
      </c>
    </row>
    <row r="585" spans="1:19" x14ac:dyDescent="0.2">
      <c r="A585" s="90" t="s">
        <v>886</v>
      </c>
      <c r="B585" s="91" t="s">
        <v>35</v>
      </c>
      <c r="C585" s="91" t="s">
        <v>313</v>
      </c>
      <c r="D585" s="91" t="s">
        <v>338</v>
      </c>
      <c r="E585" s="92" t="s">
        <v>340</v>
      </c>
      <c r="F585" s="91" t="s">
        <v>329</v>
      </c>
      <c r="G585" s="91" t="s">
        <v>252</v>
      </c>
      <c r="H585" s="91" t="s">
        <v>21</v>
      </c>
      <c r="I585" s="91" t="s">
        <v>235</v>
      </c>
      <c r="J585" s="92" t="s">
        <v>253</v>
      </c>
      <c r="K585" s="93">
        <v>140</v>
      </c>
      <c r="L585" s="93">
        <f>K585*VLOOKUP(H585,dagsoorttabel1,2,FALSE)</f>
        <v>0.53846153846153855</v>
      </c>
      <c r="M585" s="94">
        <f>prodnorm67</f>
        <v>0</v>
      </c>
      <c r="N585" s="91" t="s">
        <v>101</v>
      </c>
      <c r="O585" s="26">
        <f>uurtarief67</f>
        <v>0</v>
      </c>
      <c r="P585" s="93" t="e">
        <f>IF(ISBLANK(M585),0,L585/ROUND(M585,4))</f>
        <v>#DIV/0!</v>
      </c>
      <c r="Q585" s="26" t="e">
        <f>ROUND(O585,2)*P585</f>
        <v>#DIV/0!</v>
      </c>
      <c r="R585" s="93" t="e">
        <f>P585*dagenperjaar1</f>
        <v>#DIV/0!</v>
      </c>
      <c r="S585" s="27" t="e">
        <f>R585*ROUND(O585,2)</f>
        <v>#DIV/0!</v>
      </c>
    </row>
    <row r="586" spans="1:19" x14ac:dyDescent="0.2">
      <c r="A586" s="90" t="s">
        <v>886</v>
      </c>
      <c r="B586" s="91" t="s">
        <v>35</v>
      </c>
      <c r="C586" s="91" t="s">
        <v>313</v>
      </c>
      <c r="D586" s="91" t="s">
        <v>339</v>
      </c>
      <c r="E586" s="92" t="s">
        <v>318</v>
      </c>
      <c r="F586" s="91" t="s">
        <v>319</v>
      </c>
      <c r="G586" s="91" t="s">
        <v>298</v>
      </c>
      <c r="H586" s="91" t="s">
        <v>13</v>
      </c>
      <c r="I586" s="91" t="s">
        <v>235</v>
      </c>
      <c r="J586" s="92" t="s">
        <v>299</v>
      </c>
      <c r="K586" s="93">
        <v>7</v>
      </c>
      <c r="L586" s="93">
        <f>K586*VLOOKUP(H586,dagsoorttabel1,2,FALSE)</f>
        <v>1.4000000000000001</v>
      </c>
      <c r="M586" s="94">
        <f>prodnorm124</f>
        <v>0</v>
      </c>
      <c r="N586" s="91" t="s">
        <v>101</v>
      </c>
      <c r="O586" s="26">
        <f>uurtarief124</f>
        <v>0</v>
      </c>
      <c r="P586" s="93" t="e">
        <f>IF(ISBLANK(M586),0,L586/ROUND(M586,4))</f>
        <v>#DIV/0!</v>
      </c>
      <c r="Q586" s="26" t="e">
        <f>ROUND(O586,2)*P586</f>
        <v>#DIV/0!</v>
      </c>
      <c r="R586" s="93" t="e">
        <f>P586*dagenperjaar1</f>
        <v>#DIV/0!</v>
      </c>
      <c r="S586" s="27" t="e">
        <f>R586*ROUND(O586,2)</f>
        <v>#DIV/0!</v>
      </c>
    </row>
    <row r="587" spans="1:19" x14ac:dyDescent="0.2">
      <c r="A587" s="96" t="s">
        <v>886</v>
      </c>
      <c r="B587" s="97" t="s">
        <v>35</v>
      </c>
      <c r="C587" s="97" t="s">
        <v>343</v>
      </c>
      <c r="D587" s="97" t="s">
        <v>888</v>
      </c>
      <c r="E587" s="98" t="s">
        <v>889</v>
      </c>
      <c r="F587" s="97" t="s">
        <v>390</v>
      </c>
      <c r="G587" s="97" t="s">
        <v>283</v>
      </c>
      <c r="H587" s="97" t="s">
        <v>13</v>
      </c>
      <c r="I587" s="97" t="s">
        <v>235</v>
      </c>
      <c r="J587" s="98" t="s">
        <v>284</v>
      </c>
      <c r="K587" s="99">
        <v>49</v>
      </c>
      <c r="L587" s="99">
        <f>K587*VLOOKUP(H587,dagsoorttabel1,2,FALSE)</f>
        <v>9.8000000000000007</v>
      </c>
      <c r="M587" s="100">
        <f>prodnorm106</f>
        <v>0</v>
      </c>
      <c r="N587" s="97" t="s">
        <v>101</v>
      </c>
      <c r="O587" s="36">
        <f>uurtarief106</f>
        <v>0</v>
      </c>
      <c r="P587" s="99" t="e">
        <f>IF(ISBLANK(M587),0,L587/ROUND(M587,4))</f>
        <v>#DIV/0!</v>
      </c>
      <c r="Q587" s="36" t="e">
        <f>ROUND(O587,2)*P587</f>
        <v>#DIV/0!</v>
      </c>
      <c r="R587" s="99" t="e">
        <f>P587*dagenperjaar1</f>
        <v>#DIV/0!</v>
      </c>
      <c r="S587" s="37" t="e">
        <f>R587*ROUND(O587,2)</f>
        <v>#DIV/0!</v>
      </c>
    </row>
    <row r="588" spans="1:19" x14ac:dyDescent="0.2">
      <c r="A588" s="101" t="s">
        <v>356</v>
      </c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6" t="e">
        <f>IF(_xlfn.SINGLE(object15_urenjaar1)&gt;0,_xlfn.SINGLE(object15_prijsjaar1)/_xlfn.SINGLE(object15_urenjaar1),0)</f>
        <v>#DIV/0!</v>
      </c>
      <c r="P588" s="75" t="e">
        <f>SUM(P574:P587)</f>
        <v>#DIV/0!</v>
      </c>
      <c r="Q588" s="76" t="e">
        <f>SUM(Q574:Q587)</f>
        <v>#DIV/0!</v>
      </c>
      <c r="R588" s="75" t="e">
        <f>SUM(R574:R587)</f>
        <v>#DIV/0!</v>
      </c>
      <c r="S588" s="77" t="e">
        <f>SUM(S574:S587)</f>
        <v>#DIV/0!</v>
      </c>
    </row>
    <row r="589" spans="1:19" x14ac:dyDescent="0.2">
      <c r="A589" s="82" t="s">
        <v>890</v>
      </c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72"/>
    </row>
    <row r="590" spans="1:19" x14ac:dyDescent="0.2">
      <c r="A590" s="83" t="s">
        <v>891</v>
      </c>
      <c r="B590" s="84" t="s">
        <v>35</v>
      </c>
      <c r="C590" s="84" t="s">
        <v>313</v>
      </c>
      <c r="D590" s="84" t="s">
        <v>314</v>
      </c>
      <c r="E590" s="85" t="s">
        <v>315</v>
      </c>
      <c r="F590" s="84" t="s">
        <v>387</v>
      </c>
      <c r="G590" s="84" t="s">
        <v>289</v>
      </c>
      <c r="H590" s="84" t="s">
        <v>12</v>
      </c>
      <c r="I590" s="84" t="s">
        <v>235</v>
      </c>
      <c r="J590" s="85" t="s">
        <v>290</v>
      </c>
      <c r="K590" s="86">
        <v>24.4</v>
      </c>
      <c r="L590" s="86">
        <f>K590*VLOOKUP(H590,dagsoorttabel1,2,FALSE)</f>
        <v>9.76</v>
      </c>
      <c r="M590" s="87">
        <f>prodnorm114</f>
        <v>0</v>
      </c>
      <c r="N590" s="84" t="s">
        <v>101</v>
      </c>
      <c r="O590" s="88">
        <f>uurtarief114</f>
        <v>0</v>
      </c>
      <c r="P590" s="86" t="e">
        <f>IF(ISBLANK(M590),0,L590/ROUND(M590,4))</f>
        <v>#DIV/0!</v>
      </c>
      <c r="Q590" s="88" t="e">
        <f>ROUND(O590,2)*P590</f>
        <v>#DIV/0!</v>
      </c>
      <c r="R590" s="86" t="e">
        <f>P590*dagenperjaar1</f>
        <v>#DIV/0!</v>
      </c>
      <c r="S590" s="89" t="e">
        <f>R590*ROUND(O590,2)</f>
        <v>#DIV/0!</v>
      </c>
    </row>
    <row r="591" spans="1:19" x14ac:dyDescent="0.2">
      <c r="A591" s="90" t="s">
        <v>891</v>
      </c>
      <c r="B591" s="91" t="s">
        <v>35</v>
      </c>
      <c r="C591" s="91" t="s">
        <v>313</v>
      </c>
      <c r="D591" s="91" t="s">
        <v>359</v>
      </c>
      <c r="E591" s="92" t="s">
        <v>318</v>
      </c>
      <c r="F591" s="91" t="s">
        <v>390</v>
      </c>
      <c r="G591" s="91" t="s">
        <v>298</v>
      </c>
      <c r="H591" s="91" t="s">
        <v>12</v>
      </c>
      <c r="I591" s="91" t="s">
        <v>235</v>
      </c>
      <c r="J591" s="92" t="s">
        <v>299</v>
      </c>
      <c r="K591" s="93">
        <v>17.5</v>
      </c>
      <c r="L591" s="93">
        <f>K591*VLOOKUP(H591,dagsoorttabel1,2,FALSE)</f>
        <v>7</v>
      </c>
      <c r="M591" s="94">
        <f>prodnorm125</f>
        <v>0</v>
      </c>
      <c r="N591" s="91" t="s">
        <v>101</v>
      </c>
      <c r="O591" s="26">
        <f>uurtarief125</f>
        <v>0</v>
      </c>
      <c r="P591" s="93" t="e">
        <f>IF(ISBLANK(M591),0,L591/ROUND(M591,4))</f>
        <v>#DIV/0!</v>
      </c>
      <c r="Q591" s="26" t="e">
        <f>ROUND(O591,2)*P591</f>
        <v>#DIV/0!</v>
      </c>
      <c r="R591" s="93" t="e">
        <f>P591*dagenperjaar1</f>
        <v>#DIV/0!</v>
      </c>
      <c r="S591" s="27" t="e">
        <f>R591*ROUND(O591,2)</f>
        <v>#DIV/0!</v>
      </c>
    </row>
    <row r="592" spans="1:19" x14ac:dyDescent="0.2">
      <c r="A592" s="90" t="s">
        <v>891</v>
      </c>
      <c r="B592" s="91" t="s">
        <v>35</v>
      </c>
      <c r="C592" s="91" t="s">
        <v>313</v>
      </c>
      <c r="D592" s="91" t="s">
        <v>317</v>
      </c>
      <c r="E592" s="92" t="s">
        <v>367</v>
      </c>
      <c r="F592" s="91" t="s">
        <v>329</v>
      </c>
      <c r="G592" s="91" t="s">
        <v>283</v>
      </c>
      <c r="H592" s="91" t="s">
        <v>12</v>
      </c>
      <c r="I592" s="91" t="s">
        <v>235</v>
      </c>
      <c r="J592" s="92" t="s">
        <v>284</v>
      </c>
      <c r="K592" s="93">
        <v>58.2</v>
      </c>
      <c r="L592" s="93">
        <f>K592*VLOOKUP(H592,dagsoorttabel1,2,FALSE)</f>
        <v>23.28</v>
      </c>
      <c r="M592" s="94">
        <f>prodnorm107</f>
        <v>0</v>
      </c>
      <c r="N592" s="91" t="s">
        <v>101</v>
      </c>
      <c r="O592" s="26">
        <f>uurtarief107</f>
        <v>0</v>
      </c>
      <c r="P592" s="93" t="e">
        <f>IF(ISBLANK(M592),0,L592/ROUND(M592,4))</f>
        <v>#DIV/0!</v>
      </c>
      <c r="Q592" s="26" t="e">
        <f>ROUND(O592,2)*P592</f>
        <v>#DIV/0!</v>
      </c>
      <c r="R592" s="93" t="e">
        <f>P592*dagenperjaar1</f>
        <v>#DIV/0!</v>
      </c>
      <c r="S592" s="27" t="e">
        <f>R592*ROUND(O592,2)</f>
        <v>#DIV/0!</v>
      </c>
    </row>
    <row r="593" spans="1:19" x14ac:dyDescent="0.2">
      <c r="A593" s="90" t="s">
        <v>891</v>
      </c>
      <c r="B593" s="91" t="s">
        <v>35</v>
      </c>
      <c r="C593" s="91" t="s">
        <v>313</v>
      </c>
      <c r="D593" s="91" t="s">
        <v>892</v>
      </c>
      <c r="E593" s="92" t="s">
        <v>318</v>
      </c>
      <c r="F593" s="91" t="s">
        <v>319</v>
      </c>
      <c r="G593" s="91" t="s">
        <v>298</v>
      </c>
      <c r="H593" s="91" t="s">
        <v>12</v>
      </c>
      <c r="I593" s="91" t="s">
        <v>235</v>
      </c>
      <c r="J593" s="92" t="s">
        <v>299</v>
      </c>
      <c r="K593" s="93">
        <v>4.25</v>
      </c>
      <c r="L593" s="93">
        <f>K593*VLOOKUP(H593,dagsoorttabel1,2,FALSE)</f>
        <v>1.7000000000000002</v>
      </c>
      <c r="M593" s="94">
        <f>prodnorm125</f>
        <v>0</v>
      </c>
      <c r="N593" s="91" t="s">
        <v>101</v>
      </c>
      <c r="O593" s="26">
        <f>uurtarief125</f>
        <v>0</v>
      </c>
      <c r="P593" s="93" t="e">
        <f>IF(ISBLANK(M593),0,L593/ROUND(M593,4))</f>
        <v>#DIV/0!</v>
      </c>
      <c r="Q593" s="26" t="e">
        <f>ROUND(O593,2)*P593</f>
        <v>#DIV/0!</v>
      </c>
      <c r="R593" s="93" t="e">
        <f>P593*dagenperjaar1</f>
        <v>#DIV/0!</v>
      </c>
      <c r="S593" s="27" t="e">
        <f>R593*ROUND(O593,2)</f>
        <v>#DIV/0!</v>
      </c>
    </row>
    <row r="594" spans="1:19" x14ac:dyDescent="0.2">
      <c r="A594" s="90" t="s">
        <v>891</v>
      </c>
      <c r="B594" s="91" t="s">
        <v>35</v>
      </c>
      <c r="C594" s="91" t="s">
        <v>313</v>
      </c>
      <c r="D594" s="91" t="s">
        <v>320</v>
      </c>
      <c r="E594" s="92" t="s">
        <v>893</v>
      </c>
      <c r="F594" s="91" t="s">
        <v>387</v>
      </c>
      <c r="G594" s="91" t="s">
        <v>241</v>
      </c>
      <c r="H594" s="91" t="s">
        <v>13</v>
      </c>
      <c r="I594" s="91" t="s">
        <v>235</v>
      </c>
      <c r="J594" s="92" t="s">
        <v>242</v>
      </c>
      <c r="K594" s="93">
        <v>13</v>
      </c>
      <c r="L594" s="93">
        <f>K594*VLOOKUP(H594,dagsoorttabel1,2,FALSE)</f>
        <v>2.6</v>
      </c>
      <c r="M594" s="94">
        <f>prodnorm56</f>
        <v>0</v>
      </c>
      <c r="N594" s="91" t="s">
        <v>101</v>
      </c>
      <c r="O594" s="26">
        <f>uurtarief56</f>
        <v>0</v>
      </c>
      <c r="P594" s="93" t="e">
        <f>IF(ISBLANK(M594),0,L594/ROUND(M594,4))</f>
        <v>#DIV/0!</v>
      </c>
      <c r="Q594" s="26" t="e">
        <f>ROUND(O594,2)*P594</f>
        <v>#DIV/0!</v>
      </c>
      <c r="R594" s="93" t="e">
        <f>P594*dagenperjaar1</f>
        <v>#DIV/0!</v>
      </c>
      <c r="S594" s="27" t="e">
        <f>R594*ROUND(O594,2)</f>
        <v>#DIV/0!</v>
      </c>
    </row>
    <row r="595" spans="1:19" x14ac:dyDescent="0.2">
      <c r="A595" s="90" t="s">
        <v>891</v>
      </c>
      <c r="B595" s="91" t="s">
        <v>35</v>
      </c>
      <c r="C595" s="91" t="s">
        <v>313</v>
      </c>
      <c r="D595" s="91" t="s">
        <v>322</v>
      </c>
      <c r="E595" s="92" t="s">
        <v>555</v>
      </c>
      <c r="F595" s="91" t="s">
        <v>387</v>
      </c>
      <c r="G595" s="91" t="s">
        <v>241</v>
      </c>
      <c r="H595" s="91" t="s">
        <v>13</v>
      </c>
      <c r="I595" s="91" t="s">
        <v>235</v>
      </c>
      <c r="J595" s="92" t="s">
        <v>242</v>
      </c>
      <c r="K595" s="93">
        <v>20.6</v>
      </c>
      <c r="L595" s="93">
        <f>K595*VLOOKUP(H595,dagsoorttabel1,2,FALSE)</f>
        <v>4.12</v>
      </c>
      <c r="M595" s="94">
        <f>prodnorm56</f>
        <v>0</v>
      </c>
      <c r="N595" s="91" t="s">
        <v>101</v>
      </c>
      <c r="O595" s="26">
        <f>uurtarief56</f>
        <v>0</v>
      </c>
      <c r="P595" s="93" t="e">
        <f>IF(ISBLANK(M595),0,L595/ROUND(M595,4))</f>
        <v>#DIV/0!</v>
      </c>
      <c r="Q595" s="26" t="e">
        <f>ROUND(O595,2)*P595</f>
        <v>#DIV/0!</v>
      </c>
      <c r="R595" s="93" t="e">
        <f>P595*dagenperjaar1</f>
        <v>#DIV/0!</v>
      </c>
      <c r="S595" s="27" t="e">
        <f>R595*ROUND(O595,2)</f>
        <v>#DIV/0!</v>
      </c>
    </row>
    <row r="596" spans="1:19" x14ac:dyDescent="0.2">
      <c r="A596" s="90" t="s">
        <v>891</v>
      </c>
      <c r="B596" s="91" t="s">
        <v>35</v>
      </c>
      <c r="C596" s="91" t="s">
        <v>313</v>
      </c>
      <c r="D596" s="91" t="s">
        <v>324</v>
      </c>
      <c r="E596" s="92" t="s">
        <v>624</v>
      </c>
      <c r="F596" s="91" t="s">
        <v>329</v>
      </c>
      <c r="G596" s="91" t="s">
        <v>234</v>
      </c>
      <c r="H596" s="91" t="s">
        <v>21</v>
      </c>
      <c r="I596" s="91" t="s">
        <v>235</v>
      </c>
      <c r="J596" s="92" t="s">
        <v>236</v>
      </c>
      <c r="K596" s="93">
        <v>11.2</v>
      </c>
      <c r="L596" s="93">
        <f>K596*VLOOKUP(H596,dagsoorttabel1,2,FALSE)</f>
        <v>4.3076923076923075E-2</v>
      </c>
      <c r="M596" s="94">
        <f>prodnorm50</f>
        <v>0</v>
      </c>
      <c r="N596" s="91" t="s">
        <v>101</v>
      </c>
      <c r="O596" s="26">
        <f>uurtarief50</f>
        <v>0</v>
      </c>
      <c r="P596" s="93" t="e">
        <f>IF(ISBLANK(M596),0,L596/ROUND(M596,4))</f>
        <v>#DIV/0!</v>
      </c>
      <c r="Q596" s="26" t="e">
        <f>ROUND(O596,2)*P596</f>
        <v>#DIV/0!</v>
      </c>
      <c r="R596" s="93" t="e">
        <f>P596*dagenperjaar1</f>
        <v>#DIV/0!</v>
      </c>
      <c r="S596" s="27" t="e">
        <f>R596*ROUND(O596,2)</f>
        <v>#DIV/0!</v>
      </c>
    </row>
    <row r="597" spans="1:19" x14ac:dyDescent="0.2">
      <c r="A597" s="90" t="s">
        <v>891</v>
      </c>
      <c r="B597" s="91" t="s">
        <v>35</v>
      </c>
      <c r="C597" s="91" t="s">
        <v>313</v>
      </c>
      <c r="D597" s="91" t="s">
        <v>325</v>
      </c>
      <c r="E597" s="92" t="s">
        <v>894</v>
      </c>
      <c r="F597" s="91" t="s">
        <v>347</v>
      </c>
      <c r="G597" s="91" t="s">
        <v>262</v>
      </c>
      <c r="H597" s="91" t="s">
        <v>13</v>
      </c>
      <c r="I597" s="91" t="s">
        <v>235</v>
      </c>
      <c r="J597" s="92" t="s">
        <v>263</v>
      </c>
      <c r="K597" s="93">
        <v>67.990000000000009</v>
      </c>
      <c r="L597" s="93">
        <f>K597*VLOOKUP(H597,dagsoorttabel1,2,FALSE)</f>
        <v>13.598000000000003</v>
      </c>
      <c r="M597" s="94">
        <f>prodnorm78</f>
        <v>0</v>
      </c>
      <c r="N597" s="91" t="s">
        <v>101</v>
      </c>
      <c r="O597" s="26">
        <f>uurtarief78</f>
        <v>0</v>
      </c>
      <c r="P597" s="93" t="e">
        <f>IF(ISBLANK(M597),0,L597/ROUND(M597,4))</f>
        <v>#DIV/0!</v>
      </c>
      <c r="Q597" s="26" t="e">
        <f>ROUND(O597,2)*P597</f>
        <v>#DIV/0!</v>
      </c>
      <c r="R597" s="93" t="e">
        <f>P597*dagenperjaar1</f>
        <v>#DIV/0!</v>
      </c>
      <c r="S597" s="27" t="e">
        <f>R597*ROUND(O597,2)</f>
        <v>#DIV/0!</v>
      </c>
    </row>
    <row r="598" spans="1:19" x14ac:dyDescent="0.2">
      <c r="A598" s="90" t="s">
        <v>891</v>
      </c>
      <c r="B598" s="91" t="s">
        <v>35</v>
      </c>
      <c r="C598" s="91" t="s">
        <v>313</v>
      </c>
      <c r="D598" s="91" t="s">
        <v>327</v>
      </c>
      <c r="E598" s="92" t="s">
        <v>349</v>
      </c>
      <c r="F598" s="91" t="s">
        <v>347</v>
      </c>
      <c r="G598" s="91" t="s">
        <v>268</v>
      </c>
      <c r="H598" s="91" t="s">
        <v>13</v>
      </c>
      <c r="I598" s="91" t="s">
        <v>235</v>
      </c>
      <c r="J598" s="92" t="s">
        <v>269</v>
      </c>
      <c r="K598" s="93">
        <v>8.99</v>
      </c>
      <c r="L598" s="93">
        <f>K598*VLOOKUP(H598,dagsoorttabel1,2,FALSE)</f>
        <v>1.798</v>
      </c>
      <c r="M598" s="94">
        <f>prodnorm86</f>
        <v>0</v>
      </c>
      <c r="N598" s="91" t="s">
        <v>101</v>
      </c>
      <c r="O598" s="26">
        <f>uurtarief86</f>
        <v>0</v>
      </c>
      <c r="P598" s="93" t="e">
        <f>IF(ISBLANK(M598),0,L598/ROUND(M598,4))</f>
        <v>#DIV/0!</v>
      </c>
      <c r="Q598" s="26" t="e">
        <f>ROUND(O598,2)*P598</f>
        <v>#DIV/0!</v>
      </c>
      <c r="R598" s="93" t="e">
        <f>P598*dagenperjaar1</f>
        <v>#DIV/0!</v>
      </c>
      <c r="S598" s="27" t="e">
        <f>R598*ROUND(O598,2)</f>
        <v>#DIV/0!</v>
      </c>
    </row>
    <row r="599" spans="1:19" x14ac:dyDescent="0.2">
      <c r="A599" s="90" t="s">
        <v>891</v>
      </c>
      <c r="B599" s="91" t="s">
        <v>35</v>
      </c>
      <c r="C599" s="91" t="s">
        <v>313</v>
      </c>
      <c r="D599" s="91" t="s">
        <v>330</v>
      </c>
      <c r="E599" s="92" t="s">
        <v>895</v>
      </c>
      <c r="F599" s="91" t="s">
        <v>387</v>
      </c>
      <c r="G599" s="91" t="s">
        <v>241</v>
      </c>
      <c r="H599" s="91" t="s">
        <v>13</v>
      </c>
      <c r="I599" s="91" t="s">
        <v>235</v>
      </c>
      <c r="J599" s="92" t="s">
        <v>242</v>
      </c>
      <c r="K599" s="93">
        <v>28.3</v>
      </c>
      <c r="L599" s="93">
        <f>K599*VLOOKUP(H599,dagsoorttabel1,2,FALSE)</f>
        <v>5.66</v>
      </c>
      <c r="M599" s="94">
        <f>prodnorm56</f>
        <v>0</v>
      </c>
      <c r="N599" s="91" t="s">
        <v>101</v>
      </c>
      <c r="O599" s="26">
        <f>uurtarief56</f>
        <v>0</v>
      </c>
      <c r="P599" s="93" t="e">
        <f>IF(ISBLANK(M599),0,L599/ROUND(M599,4))</f>
        <v>#DIV/0!</v>
      </c>
      <c r="Q599" s="26" t="e">
        <f>ROUND(O599,2)*P599</f>
        <v>#DIV/0!</v>
      </c>
      <c r="R599" s="93" t="e">
        <f>P599*dagenperjaar1</f>
        <v>#DIV/0!</v>
      </c>
      <c r="S599" s="27" t="e">
        <f>R599*ROUND(O599,2)</f>
        <v>#DIV/0!</v>
      </c>
    </row>
    <row r="600" spans="1:19" x14ac:dyDescent="0.2">
      <c r="A600" s="90" t="s">
        <v>891</v>
      </c>
      <c r="B600" s="91" t="s">
        <v>35</v>
      </c>
      <c r="C600" s="91" t="s">
        <v>313</v>
      </c>
      <c r="D600" s="91" t="s">
        <v>332</v>
      </c>
      <c r="E600" s="92" t="s">
        <v>895</v>
      </c>
      <c r="F600" s="91" t="s">
        <v>387</v>
      </c>
      <c r="G600" s="91" t="s">
        <v>241</v>
      </c>
      <c r="H600" s="91" t="s">
        <v>13</v>
      </c>
      <c r="I600" s="91" t="s">
        <v>235</v>
      </c>
      <c r="J600" s="92" t="s">
        <v>242</v>
      </c>
      <c r="K600" s="93">
        <v>34</v>
      </c>
      <c r="L600" s="93">
        <f>K600*VLOOKUP(H600,dagsoorttabel1,2,FALSE)</f>
        <v>6.8000000000000007</v>
      </c>
      <c r="M600" s="94">
        <f>prodnorm56</f>
        <v>0</v>
      </c>
      <c r="N600" s="91" t="s">
        <v>101</v>
      </c>
      <c r="O600" s="26">
        <f>uurtarief56</f>
        <v>0</v>
      </c>
      <c r="P600" s="93" t="e">
        <f>IF(ISBLANK(M600),0,L600/ROUND(M600,4))</f>
        <v>#DIV/0!</v>
      </c>
      <c r="Q600" s="26" t="e">
        <f>ROUND(O600,2)*P600</f>
        <v>#DIV/0!</v>
      </c>
      <c r="R600" s="93" t="e">
        <f>P600*dagenperjaar1</f>
        <v>#DIV/0!</v>
      </c>
      <c r="S600" s="27" t="e">
        <f>R600*ROUND(O600,2)</f>
        <v>#DIV/0!</v>
      </c>
    </row>
    <row r="601" spans="1:19" x14ac:dyDescent="0.2">
      <c r="A601" s="90" t="s">
        <v>891</v>
      </c>
      <c r="B601" s="91" t="s">
        <v>35</v>
      </c>
      <c r="C601" s="91" t="s">
        <v>313</v>
      </c>
      <c r="D601" s="91" t="s">
        <v>334</v>
      </c>
      <c r="E601" s="92" t="s">
        <v>362</v>
      </c>
      <c r="F601" s="91" t="s">
        <v>329</v>
      </c>
      <c r="G601" s="91" t="s">
        <v>277</v>
      </c>
      <c r="H601" s="91" t="s">
        <v>12</v>
      </c>
      <c r="I601" s="91" t="s">
        <v>235</v>
      </c>
      <c r="J601" s="92" t="s">
        <v>278</v>
      </c>
      <c r="K601" s="93">
        <v>11.32</v>
      </c>
      <c r="L601" s="93">
        <f>K601*VLOOKUP(H601,dagsoorttabel1,2,FALSE)</f>
        <v>4.5280000000000005</v>
      </c>
      <c r="M601" s="94">
        <f>prodnorm98</f>
        <v>0</v>
      </c>
      <c r="N601" s="91" t="s">
        <v>101</v>
      </c>
      <c r="O601" s="26">
        <f>uurtarief98</f>
        <v>0</v>
      </c>
      <c r="P601" s="93" t="e">
        <f>IF(ISBLANK(M601),0,L601/ROUND(M601,4))</f>
        <v>#DIV/0!</v>
      </c>
      <c r="Q601" s="26" t="e">
        <f>ROUND(O601,2)*P601</f>
        <v>#DIV/0!</v>
      </c>
      <c r="R601" s="93" t="e">
        <f>P601*dagenperjaar1</f>
        <v>#DIV/0!</v>
      </c>
      <c r="S601" s="27" t="e">
        <f>R601*ROUND(O601,2)</f>
        <v>#DIV/0!</v>
      </c>
    </row>
    <row r="602" spans="1:19" x14ac:dyDescent="0.2">
      <c r="A602" s="90" t="s">
        <v>891</v>
      </c>
      <c r="B602" s="91" t="s">
        <v>35</v>
      </c>
      <c r="C602" s="91" t="s">
        <v>313</v>
      </c>
      <c r="D602" s="91" t="s">
        <v>336</v>
      </c>
      <c r="E602" s="92" t="s">
        <v>331</v>
      </c>
      <c r="F602" s="91" t="s">
        <v>329</v>
      </c>
      <c r="G602" s="91" t="s">
        <v>279</v>
      </c>
      <c r="H602" s="91" t="s">
        <v>12</v>
      </c>
      <c r="I602" s="91" t="s">
        <v>235</v>
      </c>
      <c r="J602" s="92" t="s">
        <v>280</v>
      </c>
      <c r="K602" s="93">
        <v>9.3000000000000007</v>
      </c>
      <c r="L602" s="93">
        <f>K602*VLOOKUP(H602,dagsoorttabel1,2,FALSE)</f>
        <v>3.7200000000000006</v>
      </c>
      <c r="M602" s="94">
        <f>prodnorm101</f>
        <v>0</v>
      </c>
      <c r="N602" s="91" t="s">
        <v>101</v>
      </c>
      <c r="O602" s="26">
        <f>uurtarief101</f>
        <v>0</v>
      </c>
      <c r="P602" s="93" t="e">
        <f>IF(ISBLANK(M602),0,L602/ROUND(M602,4))</f>
        <v>#DIV/0!</v>
      </c>
      <c r="Q602" s="26" t="e">
        <f>ROUND(O602,2)*P602</f>
        <v>#DIV/0!</v>
      </c>
      <c r="R602" s="93" t="e">
        <f>P602*dagenperjaar1</f>
        <v>#DIV/0!</v>
      </c>
      <c r="S602" s="27" t="e">
        <f>R602*ROUND(O602,2)</f>
        <v>#DIV/0!</v>
      </c>
    </row>
    <row r="603" spans="1:19" x14ac:dyDescent="0.2">
      <c r="A603" s="90" t="s">
        <v>891</v>
      </c>
      <c r="B603" s="91" t="s">
        <v>35</v>
      </c>
      <c r="C603" s="91" t="s">
        <v>313</v>
      </c>
      <c r="D603" s="91" t="s">
        <v>338</v>
      </c>
      <c r="E603" s="92" t="s">
        <v>365</v>
      </c>
      <c r="F603" s="91" t="s">
        <v>329</v>
      </c>
      <c r="G603" s="91" t="s">
        <v>279</v>
      </c>
      <c r="H603" s="91" t="s">
        <v>12</v>
      </c>
      <c r="I603" s="91" t="s">
        <v>235</v>
      </c>
      <c r="J603" s="92" t="s">
        <v>280</v>
      </c>
      <c r="K603" s="93">
        <v>4.78</v>
      </c>
      <c r="L603" s="93">
        <f>K603*VLOOKUP(H603,dagsoorttabel1,2,FALSE)</f>
        <v>1.9120000000000001</v>
      </c>
      <c r="M603" s="94">
        <f>prodnorm101</f>
        <v>0</v>
      </c>
      <c r="N603" s="91" t="s">
        <v>101</v>
      </c>
      <c r="O603" s="26">
        <f>uurtarief101</f>
        <v>0</v>
      </c>
      <c r="P603" s="93" t="e">
        <f>IF(ISBLANK(M603),0,L603/ROUND(M603,4))</f>
        <v>#DIV/0!</v>
      </c>
      <c r="Q603" s="26" t="e">
        <f>ROUND(O603,2)*P603</f>
        <v>#DIV/0!</v>
      </c>
      <c r="R603" s="93" t="e">
        <f>P603*dagenperjaar1</f>
        <v>#DIV/0!</v>
      </c>
      <c r="S603" s="27" t="e">
        <f>R603*ROUND(O603,2)</f>
        <v>#DIV/0!</v>
      </c>
    </row>
    <row r="604" spans="1:19" x14ac:dyDescent="0.2">
      <c r="A604" s="90" t="s">
        <v>891</v>
      </c>
      <c r="B604" s="91" t="s">
        <v>35</v>
      </c>
      <c r="C604" s="91" t="s">
        <v>313</v>
      </c>
      <c r="D604" s="91" t="s">
        <v>339</v>
      </c>
      <c r="E604" s="92" t="s">
        <v>363</v>
      </c>
      <c r="F604" s="91" t="s">
        <v>329</v>
      </c>
      <c r="G604" s="91" t="s">
        <v>277</v>
      </c>
      <c r="H604" s="91" t="s">
        <v>12</v>
      </c>
      <c r="I604" s="91" t="s">
        <v>235</v>
      </c>
      <c r="J604" s="92" t="s">
        <v>278</v>
      </c>
      <c r="K604" s="93">
        <v>35.1</v>
      </c>
      <c r="L604" s="93">
        <f>K604*VLOOKUP(H604,dagsoorttabel1,2,FALSE)</f>
        <v>14.040000000000001</v>
      </c>
      <c r="M604" s="94">
        <f>prodnorm98</f>
        <v>0</v>
      </c>
      <c r="N604" s="91" t="s">
        <v>101</v>
      </c>
      <c r="O604" s="26">
        <f>uurtarief98</f>
        <v>0</v>
      </c>
      <c r="P604" s="93" t="e">
        <f>IF(ISBLANK(M604),0,L604/ROUND(M604,4))</f>
        <v>#DIV/0!</v>
      </c>
      <c r="Q604" s="26" t="e">
        <f>ROUND(O604,2)*P604</f>
        <v>#DIV/0!</v>
      </c>
      <c r="R604" s="93" t="e">
        <f>P604*dagenperjaar1</f>
        <v>#DIV/0!</v>
      </c>
      <c r="S604" s="27" t="e">
        <f>R604*ROUND(O604,2)</f>
        <v>#DIV/0!</v>
      </c>
    </row>
    <row r="605" spans="1:19" x14ac:dyDescent="0.2">
      <c r="A605" s="90" t="s">
        <v>891</v>
      </c>
      <c r="B605" s="91" t="s">
        <v>35</v>
      </c>
      <c r="C605" s="91" t="s">
        <v>313</v>
      </c>
      <c r="D605" s="91" t="s">
        <v>341</v>
      </c>
      <c r="E605" s="92" t="s">
        <v>896</v>
      </c>
      <c r="F605" s="91" t="s">
        <v>329</v>
      </c>
      <c r="G605" s="91" t="s">
        <v>277</v>
      </c>
      <c r="H605" s="91" t="s">
        <v>13</v>
      </c>
      <c r="I605" s="91" t="s">
        <v>235</v>
      </c>
      <c r="J605" s="92" t="s">
        <v>278</v>
      </c>
      <c r="K605" s="93">
        <v>44.9</v>
      </c>
      <c r="L605" s="93">
        <f>K605*VLOOKUP(H605,dagsoorttabel1,2,FALSE)</f>
        <v>8.98</v>
      </c>
      <c r="M605" s="94">
        <f>prodnorm97</f>
        <v>0</v>
      </c>
      <c r="N605" s="91" t="s">
        <v>101</v>
      </c>
      <c r="O605" s="26">
        <f>uurtarief97</f>
        <v>0</v>
      </c>
      <c r="P605" s="93" t="e">
        <f>IF(ISBLANK(M605),0,L605/ROUND(M605,4))</f>
        <v>#DIV/0!</v>
      </c>
      <c r="Q605" s="26" t="e">
        <f>ROUND(O605,2)*P605</f>
        <v>#DIV/0!</v>
      </c>
      <c r="R605" s="93" t="e">
        <f>P605*dagenperjaar1</f>
        <v>#DIV/0!</v>
      </c>
      <c r="S605" s="27" t="e">
        <f>R605*ROUND(O605,2)</f>
        <v>#DIV/0!</v>
      </c>
    </row>
    <row r="606" spans="1:19" x14ac:dyDescent="0.2">
      <c r="A606" s="90" t="s">
        <v>891</v>
      </c>
      <c r="B606" s="91" t="s">
        <v>35</v>
      </c>
      <c r="C606" s="91" t="s">
        <v>313</v>
      </c>
      <c r="D606" s="91" t="s">
        <v>372</v>
      </c>
      <c r="E606" s="92" t="s">
        <v>897</v>
      </c>
      <c r="F606" s="91" t="s">
        <v>387</v>
      </c>
      <c r="G606" s="91" t="s">
        <v>289</v>
      </c>
      <c r="H606" s="91" t="s">
        <v>12</v>
      </c>
      <c r="I606" s="91" t="s">
        <v>235</v>
      </c>
      <c r="J606" s="92" t="s">
        <v>290</v>
      </c>
      <c r="K606" s="93">
        <v>8.9</v>
      </c>
      <c r="L606" s="93">
        <f>K606*VLOOKUP(H606,dagsoorttabel1,2,FALSE)</f>
        <v>3.5600000000000005</v>
      </c>
      <c r="M606" s="94">
        <f>prodnorm114</f>
        <v>0</v>
      </c>
      <c r="N606" s="91" t="s">
        <v>101</v>
      </c>
      <c r="O606" s="26">
        <f>uurtarief114</f>
        <v>0</v>
      </c>
      <c r="P606" s="93" t="e">
        <f>IF(ISBLANK(M606),0,L606/ROUND(M606,4))</f>
        <v>#DIV/0!</v>
      </c>
      <c r="Q606" s="26" t="e">
        <f>ROUND(O606,2)*P606</f>
        <v>#DIV/0!</v>
      </c>
      <c r="R606" s="93" t="e">
        <f>P606*dagenperjaar1</f>
        <v>#DIV/0!</v>
      </c>
      <c r="S606" s="27" t="e">
        <f>R606*ROUND(O606,2)</f>
        <v>#DIV/0!</v>
      </c>
    </row>
    <row r="607" spans="1:19" x14ac:dyDescent="0.2">
      <c r="A607" s="90" t="s">
        <v>891</v>
      </c>
      <c r="B607" s="91" t="s">
        <v>35</v>
      </c>
      <c r="C607" s="91" t="s">
        <v>313</v>
      </c>
      <c r="D607" s="91" t="s">
        <v>391</v>
      </c>
      <c r="E607" s="92" t="s">
        <v>896</v>
      </c>
      <c r="F607" s="91" t="s">
        <v>329</v>
      </c>
      <c r="G607" s="91" t="s">
        <v>277</v>
      </c>
      <c r="H607" s="91" t="s">
        <v>13</v>
      </c>
      <c r="I607" s="91" t="s">
        <v>235</v>
      </c>
      <c r="J607" s="92" t="s">
        <v>278</v>
      </c>
      <c r="K607" s="93">
        <v>17.2</v>
      </c>
      <c r="L607" s="93">
        <f>K607*VLOOKUP(H607,dagsoorttabel1,2,FALSE)</f>
        <v>3.44</v>
      </c>
      <c r="M607" s="94">
        <f>prodnorm97</f>
        <v>0</v>
      </c>
      <c r="N607" s="91" t="s">
        <v>101</v>
      </c>
      <c r="O607" s="26">
        <f>uurtarief97</f>
        <v>0</v>
      </c>
      <c r="P607" s="93" t="e">
        <f>IF(ISBLANK(M607),0,L607/ROUND(M607,4))</f>
        <v>#DIV/0!</v>
      </c>
      <c r="Q607" s="26" t="e">
        <f>ROUND(O607,2)*P607</f>
        <v>#DIV/0!</v>
      </c>
      <c r="R607" s="93" t="e">
        <f>P607*dagenperjaar1</f>
        <v>#DIV/0!</v>
      </c>
      <c r="S607" s="27" t="e">
        <f>R607*ROUND(O607,2)</f>
        <v>#DIV/0!</v>
      </c>
    </row>
    <row r="608" spans="1:19" ht="25.2" x14ac:dyDescent="0.2">
      <c r="A608" s="90" t="s">
        <v>891</v>
      </c>
      <c r="B608" s="91" t="s">
        <v>35</v>
      </c>
      <c r="C608" s="91" t="s">
        <v>313</v>
      </c>
      <c r="D608" s="91" t="s">
        <v>392</v>
      </c>
      <c r="E608" s="92" t="s">
        <v>369</v>
      </c>
      <c r="F608" s="91" t="s">
        <v>329</v>
      </c>
      <c r="G608" s="91" t="s">
        <v>293</v>
      </c>
      <c r="H608" s="91" t="s">
        <v>21</v>
      </c>
      <c r="I608" s="91" t="s">
        <v>235</v>
      </c>
      <c r="J608" s="92" t="s">
        <v>294</v>
      </c>
      <c r="K608" s="93">
        <v>7.9</v>
      </c>
      <c r="L608" s="93">
        <f>K608*VLOOKUP(H608,dagsoorttabel1,2,FALSE)</f>
        <v>3.0384615384615388E-2</v>
      </c>
      <c r="M608" s="94">
        <f>prodnorm118</f>
        <v>0</v>
      </c>
      <c r="N608" s="91" t="s">
        <v>101</v>
      </c>
      <c r="O608" s="26">
        <f>uurtarief118</f>
        <v>0</v>
      </c>
      <c r="P608" s="93" t="e">
        <f>IF(ISBLANK(M608),0,L608/ROUND(M608,4))</f>
        <v>#DIV/0!</v>
      </c>
      <c r="Q608" s="26" t="e">
        <f>ROUND(O608,2)*P608</f>
        <v>#DIV/0!</v>
      </c>
      <c r="R608" s="93" t="e">
        <f>P608*dagenperjaar1</f>
        <v>#DIV/0!</v>
      </c>
      <c r="S608" s="27" t="e">
        <f>R608*ROUND(O608,2)</f>
        <v>#DIV/0!</v>
      </c>
    </row>
    <row r="609" spans="1:19" x14ac:dyDescent="0.2">
      <c r="A609" s="90" t="s">
        <v>891</v>
      </c>
      <c r="B609" s="91" t="s">
        <v>35</v>
      </c>
      <c r="C609" s="91" t="s">
        <v>313</v>
      </c>
      <c r="D609" s="91" t="s">
        <v>393</v>
      </c>
      <c r="E609" s="92" t="s">
        <v>354</v>
      </c>
      <c r="F609" s="91" t="s">
        <v>316</v>
      </c>
      <c r="G609" s="91" t="s">
        <v>352</v>
      </c>
      <c r="H609" s="91"/>
      <c r="I609" s="91"/>
      <c r="J609" s="91"/>
      <c r="K609" s="93">
        <v>5.0999999999999996</v>
      </c>
      <c r="L609" s="93"/>
      <c r="M609" s="94"/>
      <c r="N609" s="91"/>
      <c r="O609" s="26"/>
      <c r="P609" s="93"/>
      <c r="Q609" s="26"/>
      <c r="R609" s="95"/>
      <c r="S609" s="27"/>
    </row>
    <row r="610" spans="1:19" x14ac:dyDescent="0.2">
      <c r="A610" s="90" t="s">
        <v>891</v>
      </c>
      <c r="B610" s="91" t="s">
        <v>35</v>
      </c>
      <c r="C610" s="91" t="s">
        <v>313</v>
      </c>
      <c r="D610" s="91" t="s">
        <v>394</v>
      </c>
      <c r="E610" s="92" t="s">
        <v>354</v>
      </c>
      <c r="F610" s="91" t="s">
        <v>316</v>
      </c>
      <c r="G610" s="91" t="s">
        <v>352</v>
      </c>
      <c r="H610" s="91"/>
      <c r="I610" s="91"/>
      <c r="J610" s="91"/>
      <c r="K610" s="93">
        <v>23.2</v>
      </c>
      <c r="L610" s="93"/>
      <c r="M610" s="94"/>
      <c r="N610" s="91"/>
      <c r="O610" s="26"/>
      <c r="P610" s="93"/>
      <c r="Q610" s="26"/>
      <c r="R610" s="95"/>
      <c r="S610" s="27"/>
    </row>
    <row r="611" spans="1:19" x14ac:dyDescent="0.2">
      <c r="A611" s="90" t="s">
        <v>891</v>
      </c>
      <c r="B611" s="91" t="s">
        <v>35</v>
      </c>
      <c r="C611" s="91" t="s">
        <v>313</v>
      </c>
      <c r="D611" s="91" t="s">
        <v>395</v>
      </c>
      <c r="E611" s="92" t="s">
        <v>342</v>
      </c>
      <c r="F611" s="91" t="s">
        <v>329</v>
      </c>
      <c r="G611" s="91" t="s">
        <v>252</v>
      </c>
      <c r="H611" s="91" t="s">
        <v>21</v>
      </c>
      <c r="I611" s="91" t="s">
        <v>235</v>
      </c>
      <c r="J611" s="92" t="s">
        <v>253</v>
      </c>
      <c r="K611" s="93">
        <v>107.9</v>
      </c>
      <c r="L611" s="93">
        <f>K611*VLOOKUP(H611,dagsoorttabel1,2,FALSE)</f>
        <v>0.41500000000000004</v>
      </c>
      <c r="M611" s="94">
        <f>prodnorm67</f>
        <v>0</v>
      </c>
      <c r="N611" s="91" t="s">
        <v>101</v>
      </c>
      <c r="O611" s="26">
        <f>uurtarief67</f>
        <v>0</v>
      </c>
      <c r="P611" s="93" t="e">
        <f>IF(ISBLANK(M611),0,L611/ROUND(M611,4))</f>
        <v>#DIV/0!</v>
      </c>
      <c r="Q611" s="26" t="e">
        <f>ROUND(O611,2)*P611</f>
        <v>#DIV/0!</v>
      </c>
      <c r="R611" s="93" t="e">
        <f>P611*dagenperjaar1</f>
        <v>#DIV/0!</v>
      </c>
      <c r="S611" s="27" t="e">
        <f>R611*ROUND(O611,2)</f>
        <v>#DIV/0!</v>
      </c>
    </row>
    <row r="612" spans="1:19" x14ac:dyDescent="0.2">
      <c r="A612" s="90" t="s">
        <v>891</v>
      </c>
      <c r="B612" s="91" t="s">
        <v>35</v>
      </c>
      <c r="C612" s="91" t="s">
        <v>313</v>
      </c>
      <c r="D612" s="91" t="s">
        <v>397</v>
      </c>
      <c r="E612" s="92" t="s">
        <v>553</v>
      </c>
      <c r="F612" s="91" t="s">
        <v>329</v>
      </c>
      <c r="G612" s="91" t="s">
        <v>252</v>
      </c>
      <c r="H612" s="91" t="s">
        <v>21</v>
      </c>
      <c r="I612" s="91" t="s">
        <v>235</v>
      </c>
      <c r="J612" s="92" t="s">
        <v>253</v>
      </c>
      <c r="K612" s="93">
        <v>292.5</v>
      </c>
      <c r="L612" s="93">
        <f>K612*VLOOKUP(H612,dagsoorttabel1,2,FALSE)</f>
        <v>1.125</v>
      </c>
      <c r="M612" s="94">
        <f>prodnorm67</f>
        <v>0</v>
      </c>
      <c r="N612" s="91" t="s">
        <v>101</v>
      </c>
      <c r="O612" s="26">
        <f>uurtarief67</f>
        <v>0</v>
      </c>
      <c r="P612" s="93" t="e">
        <f>IF(ISBLANK(M612),0,L612/ROUND(M612,4))</f>
        <v>#DIV/0!</v>
      </c>
      <c r="Q612" s="26" t="e">
        <f>ROUND(O612,2)*P612</f>
        <v>#DIV/0!</v>
      </c>
      <c r="R612" s="93" t="e">
        <f>P612*dagenperjaar1</f>
        <v>#DIV/0!</v>
      </c>
      <c r="S612" s="27" t="e">
        <f>R612*ROUND(O612,2)</f>
        <v>#DIV/0!</v>
      </c>
    </row>
    <row r="613" spans="1:19" x14ac:dyDescent="0.2">
      <c r="A613" s="90" t="s">
        <v>891</v>
      </c>
      <c r="B613" s="91" t="s">
        <v>35</v>
      </c>
      <c r="C613" s="91" t="s">
        <v>343</v>
      </c>
      <c r="D613" s="91" t="s">
        <v>344</v>
      </c>
      <c r="E613" s="92" t="s">
        <v>898</v>
      </c>
      <c r="F613" s="91" t="s">
        <v>329</v>
      </c>
      <c r="G613" s="91" t="s">
        <v>283</v>
      </c>
      <c r="H613" s="91" t="s">
        <v>12</v>
      </c>
      <c r="I613" s="91" t="s">
        <v>235</v>
      </c>
      <c r="J613" s="92" t="s">
        <v>284</v>
      </c>
      <c r="K613" s="93">
        <v>10</v>
      </c>
      <c r="L613" s="93">
        <f>K613*VLOOKUP(H613,dagsoorttabel1,2,FALSE)</f>
        <v>4</v>
      </c>
      <c r="M613" s="94">
        <f>prodnorm107</f>
        <v>0</v>
      </c>
      <c r="N613" s="91" t="s">
        <v>101</v>
      </c>
      <c r="O613" s="26">
        <f>uurtarief107</f>
        <v>0</v>
      </c>
      <c r="P613" s="93" t="e">
        <f>IF(ISBLANK(M613),0,L613/ROUND(M613,4))</f>
        <v>#DIV/0!</v>
      </c>
      <c r="Q613" s="26" t="e">
        <f>ROUND(O613,2)*P613</f>
        <v>#DIV/0!</v>
      </c>
      <c r="R613" s="93" t="e">
        <f>P613*dagenperjaar1</f>
        <v>#DIV/0!</v>
      </c>
      <c r="S613" s="27" t="e">
        <f>R613*ROUND(O613,2)</f>
        <v>#DIV/0!</v>
      </c>
    </row>
    <row r="614" spans="1:19" x14ac:dyDescent="0.2">
      <c r="A614" s="90" t="s">
        <v>891</v>
      </c>
      <c r="B614" s="91" t="s">
        <v>35</v>
      </c>
      <c r="C614" s="91" t="s">
        <v>343</v>
      </c>
      <c r="D614" s="91" t="s">
        <v>345</v>
      </c>
      <c r="E614" s="92" t="s">
        <v>551</v>
      </c>
      <c r="F614" s="91" t="s">
        <v>329</v>
      </c>
      <c r="G614" s="91" t="s">
        <v>279</v>
      </c>
      <c r="H614" s="91" t="s">
        <v>12</v>
      </c>
      <c r="I614" s="91" t="s">
        <v>235</v>
      </c>
      <c r="J614" s="92" t="s">
        <v>280</v>
      </c>
      <c r="K614" s="93">
        <v>9.6999999999999993</v>
      </c>
      <c r="L614" s="93">
        <f>K614*VLOOKUP(H614,dagsoorttabel1,2,FALSE)</f>
        <v>3.88</v>
      </c>
      <c r="M614" s="94">
        <f>prodnorm101</f>
        <v>0</v>
      </c>
      <c r="N614" s="91" t="s">
        <v>101</v>
      </c>
      <c r="O614" s="26">
        <f>uurtarief101</f>
        <v>0</v>
      </c>
      <c r="P614" s="93" t="e">
        <f>IF(ISBLANK(M614),0,L614/ROUND(M614,4))</f>
        <v>#DIV/0!</v>
      </c>
      <c r="Q614" s="26" t="e">
        <f>ROUND(O614,2)*P614</f>
        <v>#DIV/0!</v>
      </c>
      <c r="R614" s="93" t="e">
        <f>P614*dagenperjaar1</f>
        <v>#DIV/0!</v>
      </c>
      <c r="S614" s="27" t="e">
        <f>R614*ROUND(O614,2)</f>
        <v>#DIV/0!</v>
      </c>
    </row>
    <row r="615" spans="1:19" x14ac:dyDescent="0.2">
      <c r="A615" s="90" t="s">
        <v>891</v>
      </c>
      <c r="B615" s="91" t="s">
        <v>35</v>
      </c>
      <c r="C615" s="91" t="s">
        <v>343</v>
      </c>
      <c r="D615" s="91" t="s">
        <v>348</v>
      </c>
      <c r="E615" s="92" t="s">
        <v>367</v>
      </c>
      <c r="F615" s="91" t="s">
        <v>329</v>
      </c>
      <c r="G615" s="91" t="s">
        <v>283</v>
      </c>
      <c r="H615" s="91" t="s">
        <v>12</v>
      </c>
      <c r="I615" s="91" t="s">
        <v>235</v>
      </c>
      <c r="J615" s="92" t="s">
        <v>284</v>
      </c>
      <c r="K615" s="93">
        <v>37</v>
      </c>
      <c r="L615" s="93">
        <f>K615*VLOOKUP(H615,dagsoorttabel1,2,FALSE)</f>
        <v>14.8</v>
      </c>
      <c r="M615" s="94">
        <f>prodnorm107</f>
        <v>0</v>
      </c>
      <c r="N615" s="91" t="s">
        <v>101</v>
      </c>
      <c r="O615" s="26">
        <f>uurtarief107</f>
        <v>0</v>
      </c>
      <c r="P615" s="93" t="e">
        <f>IF(ISBLANK(M615),0,L615/ROUND(M615,4))</f>
        <v>#DIV/0!</v>
      </c>
      <c r="Q615" s="26" t="e">
        <f>ROUND(O615,2)*P615</f>
        <v>#DIV/0!</v>
      </c>
      <c r="R615" s="93" t="e">
        <f>P615*dagenperjaar1</f>
        <v>#DIV/0!</v>
      </c>
      <c r="S615" s="27" t="e">
        <f>R615*ROUND(O615,2)</f>
        <v>#DIV/0!</v>
      </c>
    </row>
    <row r="616" spans="1:19" ht="25.2" x14ac:dyDescent="0.2">
      <c r="A616" s="90" t="s">
        <v>891</v>
      </c>
      <c r="B616" s="91" t="s">
        <v>35</v>
      </c>
      <c r="C616" s="91" t="s">
        <v>343</v>
      </c>
      <c r="D616" s="91" t="s">
        <v>350</v>
      </c>
      <c r="E616" s="92" t="s">
        <v>899</v>
      </c>
      <c r="F616" s="91" t="s">
        <v>387</v>
      </c>
      <c r="G616" s="91" t="s">
        <v>250</v>
      </c>
      <c r="H616" s="91" t="s">
        <v>12</v>
      </c>
      <c r="I616" s="91" t="s">
        <v>235</v>
      </c>
      <c r="J616" s="92" t="s">
        <v>251</v>
      </c>
      <c r="K616" s="93">
        <v>20.9</v>
      </c>
      <c r="L616" s="93">
        <f>K616*VLOOKUP(H616,dagsoorttabel1,2,FALSE)</f>
        <v>8.36</v>
      </c>
      <c r="M616" s="94">
        <f>prodnorm65</f>
        <v>0</v>
      </c>
      <c r="N616" s="91" t="s">
        <v>101</v>
      </c>
      <c r="O616" s="26">
        <f>uurtarief65</f>
        <v>0</v>
      </c>
      <c r="P616" s="93" t="e">
        <f>IF(ISBLANK(M616),0,L616/ROUND(M616,4))</f>
        <v>#DIV/0!</v>
      </c>
      <c r="Q616" s="26" t="e">
        <f>ROUND(O616,2)*P616</f>
        <v>#DIV/0!</v>
      </c>
      <c r="R616" s="93" t="e">
        <f>P616*dagenperjaar1</f>
        <v>#DIV/0!</v>
      </c>
      <c r="S616" s="27" t="e">
        <f>R616*ROUND(O616,2)</f>
        <v>#DIV/0!</v>
      </c>
    </row>
    <row r="617" spans="1:19" x14ac:dyDescent="0.2">
      <c r="A617" s="90" t="s">
        <v>891</v>
      </c>
      <c r="B617" s="91" t="s">
        <v>35</v>
      </c>
      <c r="C617" s="91" t="s">
        <v>343</v>
      </c>
      <c r="D617" s="91" t="s">
        <v>353</v>
      </c>
      <c r="E617" s="92" t="s">
        <v>895</v>
      </c>
      <c r="F617" s="91" t="s">
        <v>387</v>
      </c>
      <c r="G617" s="91" t="s">
        <v>241</v>
      </c>
      <c r="H617" s="91" t="s">
        <v>13</v>
      </c>
      <c r="I617" s="91" t="s">
        <v>235</v>
      </c>
      <c r="J617" s="92" t="s">
        <v>242</v>
      </c>
      <c r="K617" s="93">
        <v>34.700000000000003</v>
      </c>
      <c r="L617" s="93">
        <f>K617*VLOOKUP(H617,dagsoorttabel1,2,FALSE)</f>
        <v>6.9400000000000013</v>
      </c>
      <c r="M617" s="94">
        <f>prodnorm56</f>
        <v>0</v>
      </c>
      <c r="N617" s="91" t="s">
        <v>101</v>
      </c>
      <c r="O617" s="26">
        <f>uurtarief56</f>
        <v>0</v>
      </c>
      <c r="P617" s="93" t="e">
        <f>IF(ISBLANK(M617),0,L617/ROUND(M617,4))</f>
        <v>#DIV/0!</v>
      </c>
      <c r="Q617" s="26" t="e">
        <f>ROUND(O617,2)*P617</f>
        <v>#DIV/0!</v>
      </c>
      <c r="R617" s="93" t="e">
        <f>P617*dagenperjaar1</f>
        <v>#DIV/0!</v>
      </c>
      <c r="S617" s="27" t="e">
        <f>R617*ROUND(O617,2)</f>
        <v>#DIV/0!</v>
      </c>
    </row>
    <row r="618" spans="1:19" x14ac:dyDescent="0.2">
      <c r="A618" s="90" t="s">
        <v>891</v>
      </c>
      <c r="B618" s="91" t="s">
        <v>35</v>
      </c>
      <c r="C618" s="91" t="s">
        <v>343</v>
      </c>
      <c r="D618" s="91" t="s">
        <v>355</v>
      </c>
      <c r="E618" s="92" t="s">
        <v>377</v>
      </c>
      <c r="F618" s="91" t="s">
        <v>329</v>
      </c>
      <c r="G618" s="91" t="s">
        <v>275</v>
      </c>
      <c r="H618" s="91" t="s">
        <v>12</v>
      </c>
      <c r="I618" s="91" t="s">
        <v>235</v>
      </c>
      <c r="J618" s="92" t="s">
        <v>276</v>
      </c>
      <c r="K618" s="93">
        <v>8.1999999999999993</v>
      </c>
      <c r="L618" s="93">
        <f>K618*VLOOKUP(H618,dagsoorttabel1,2,FALSE)</f>
        <v>3.28</v>
      </c>
      <c r="M618" s="94">
        <f>prodnorm95</f>
        <v>0</v>
      </c>
      <c r="N618" s="91" t="s">
        <v>101</v>
      </c>
      <c r="O618" s="26">
        <f>uurtarief95</f>
        <v>0</v>
      </c>
      <c r="P618" s="93" t="e">
        <f>IF(ISBLANK(M618),0,L618/ROUND(M618,4))</f>
        <v>#DIV/0!</v>
      </c>
      <c r="Q618" s="26" t="e">
        <f>ROUND(O618,2)*P618</f>
        <v>#DIV/0!</v>
      </c>
      <c r="R618" s="93" t="e">
        <f>P618*dagenperjaar1</f>
        <v>#DIV/0!</v>
      </c>
      <c r="S618" s="27" t="e">
        <f>R618*ROUND(O618,2)</f>
        <v>#DIV/0!</v>
      </c>
    </row>
    <row r="619" spans="1:19" x14ac:dyDescent="0.2">
      <c r="A619" s="90" t="s">
        <v>891</v>
      </c>
      <c r="B619" s="91" t="s">
        <v>35</v>
      </c>
      <c r="C619" s="91" t="s">
        <v>343</v>
      </c>
      <c r="D619" s="91" t="s">
        <v>379</v>
      </c>
      <c r="E619" s="92" t="s">
        <v>354</v>
      </c>
      <c r="F619" s="91" t="s">
        <v>329</v>
      </c>
      <c r="G619" s="91" t="s">
        <v>264</v>
      </c>
      <c r="H619" s="91" t="s">
        <v>13</v>
      </c>
      <c r="I619" s="91" t="s">
        <v>235</v>
      </c>
      <c r="J619" s="92" t="s">
        <v>265</v>
      </c>
      <c r="K619" s="93">
        <v>5.8</v>
      </c>
      <c r="L619" s="93">
        <f>K619*VLOOKUP(H619,dagsoorttabel1,2,FALSE)</f>
        <v>1.1599999999999999</v>
      </c>
      <c r="M619" s="94">
        <f>prodnorm82</f>
        <v>0</v>
      </c>
      <c r="N619" s="91" t="s">
        <v>101</v>
      </c>
      <c r="O619" s="26">
        <f>uurtarief82</f>
        <v>0</v>
      </c>
      <c r="P619" s="93" t="e">
        <f>IF(ISBLANK(M619),0,L619/ROUND(M619,4))</f>
        <v>#DIV/0!</v>
      </c>
      <c r="Q619" s="26" t="e">
        <f>ROUND(O619,2)*P619</f>
        <v>#DIV/0!</v>
      </c>
      <c r="R619" s="93" t="e">
        <f>P619*dagenperjaar1</f>
        <v>#DIV/0!</v>
      </c>
      <c r="S619" s="27" t="e">
        <f>R619*ROUND(O619,2)</f>
        <v>#DIV/0!</v>
      </c>
    </row>
    <row r="620" spans="1:19" x14ac:dyDescent="0.2">
      <c r="A620" s="90" t="s">
        <v>891</v>
      </c>
      <c r="B620" s="91" t="s">
        <v>35</v>
      </c>
      <c r="C620" s="91" t="s">
        <v>343</v>
      </c>
      <c r="D620" s="91" t="s">
        <v>405</v>
      </c>
      <c r="E620" s="92" t="s">
        <v>483</v>
      </c>
      <c r="F620" s="91" t="s">
        <v>329</v>
      </c>
      <c r="G620" s="91" t="s">
        <v>352</v>
      </c>
      <c r="H620" s="91"/>
      <c r="I620" s="91"/>
      <c r="J620" s="91"/>
      <c r="K620" s="93">
        <v>13.54</v>
      </c>
      <c r="L620" s="93"/>
      <c r="M620" s="94"/>
      <c r="N620" s="91"/>
      <c r="O620" s="26"/>
      <c r="P620" s="93"/>
      <c r="Q620" s="26"/>
      <c r="R620" s="95"/>
      <c r="S620" s="27"/>
    </row>
    <row r="621" spans="1:19" x14ac:dyDescent="0.2">
      <c r="A621" s="90" t="s">
        <v>891</v>
      </c>
      <c r="B621" s="91" t="s">
        <v>35</v>
      </c>
      <c r="C621" s="91" t="s">
        <v>343</v>
      </c>
      <c r="D621" s="91" t="s">
        <v>406</v>
      </c>
      <c r="E621" s="92" t="s">
        <v>900</v>
      </c>
      <c r="F621" s="91" t="s">
        <v>387</v>
      </c>
      <c r="G621" s="91" t="s">
        <v>241</v>
      </c>
      <c r="H621" s="91" t="s">
        <v>13</v>
      </c>
      <c r="I621" s="91" t="s">
        <v>235</v>
      </c>
      <c r="J621" s="92" t="s">
        <v>242</v>
      </c>
      <c r="K621" s="93">
        <v>14.4</v>
      </c>
      <c r="L621" s="93">
        <f>K621*VLOOKUP(H621,dagsoorttabel1,2,FALSE)</f>
        <v>2.8800000000000003</v>
      </c>
      <c r="M621" s="94">
        <f>prodnorm56</f>
        <v>0</v>
      </c>
      <c r="N621" s="91" t="s">
        <v>101</v>
      </c>
      <c r="O621" s="26">
        <f>uurtarief56</f>
        <v>0</v>
      </c>
      <c r="P621" s="93" t="e">
        <f>IF(ISBLANK(M621),0,L621/ROUND(M621,4))</f>
        <v>#DIV/0!</v>
      </c>
      <c r="Q621" s="26" t="e">
        <f>ROUND(O621,2)*P621</f>
        <v>#DIV/0!</v>
      </c>
      <c r="R621" s="93" t="e">
        <f>P621*dagenperjaar1</f>
        <v>#DIV/0!</v>
      </c>
      <c r="S621" s="27" t="e">
        <f>R621*ROUND(O621,2)</f>
        <v>#DIV/0!</v>
      </c>
    </row>
    <row r="622" spans="1:19" x14ac:dyDescent="0.2">
      <c r="A622" s="90" t="s">
        <v>891</v>
      </c>
      <c r="B622" s="91" t="s">
        <v>35</v>
      </c>
      <c r="C622" s="91" t="s">
        <v>343</v>
      </c>
      <c r="D622" s="91" t="s">
        <v>407</v>
      </c>
      <c r="E622" s="92" t="s">
        <v>895</v>
      </c>
      <c r="F622" s="91" t="s">
        <v>387</v>
      </c>
      <c r="G622" s="91" t="s">
        <v>241</v>
      </c>
      <c r="H622" s="91" t="s">
        <v>13</v>
      </c>
      <c r="I622" s="91" t="s">
        <v>235</v>
      </c>
      <c r="J622" s="92" t="s">
        <v>242</v>
      </c>
      <c r="K622" s="93">
        <v>35.4</v>
      </c>
      <c r="L622" s="93">
        <f>K622*VLOOKUP(H622,dagsoorttabel1,2,FALSE)</f>
        <v>7.08</v>
      </c>
      <c r="M622" s="94">
        <f>prodnorm56</f>
        <v>0</v>
      </c>
      <c r="N622" s="91" t="s">
        <v>101</v>
      </c>
      <c r="O622" s="26">
        <f>uurtarief56</f>
        <v>0</v>
      </c>
      <c r="P622" s="93" t="e">
        <f>IF(ISBLANK(M622),0,L622/ROUND(M622,4))</f>
        <v>#DIV/0!</v>
      </c>
      <c r="Q622" s="26" t="e">
        <f>ROUND(O622,2)*P622</f>
        <v>#DIV/0!</v>
      </c>
      <c r="R622" s="93" t="e">
        <f>P622*dagenperjaar1</f>
        <v>#DIV/0!</v>
      </c>
      <c r="S622" s="27" t="e">
        <f>R622*ROUND(O622,2)</f>
        <v>#DIV/0!</v>
      </c>
    </row>
    <row r="623" spans="1:19" x14ac:dyDescent="0.2">
      <c r="A623" s="90" t="s">
        <v>891</v>
      </c>
      <c r="B623" s="91" t="s">
        <v>35</v>
      </c>
      <c r="C623" s="91" t="s">
        <v>343</v>
      </c>
      <c r="D623" s="91" t="s">
        <v>408</v>
      </c>
      <c r="E623" s="92" t="s">
        <v>404</v>
      </c>
      <c r="F623" s="91" t="s">
        <v>347</v>
      </c>
      <c r="G623" s="91" t="s">
        <v>260</v>
      </c>
      <c r="H623" s="91" t="s">
        <v>12</v>
      </c>
      <c r="I623" s="91" t="s">
        <v>235</v>
      </c>
      <c r="J623" s="92" t="s">
        <v>261</v>
      </c>
      <c r="K623" s="93">
        <v>70.3</v>
      </c>
      <c r="L623" s="93">
        <f>K623*VLOOKUP(H623,dagsoorttabel1,2,FALSE)</f>
        <v>28.12</v>
      </c>
      <c r="M623" s="94">
        <f>prodnorm76</f>
        <v>0</v>
      </c>
      <c r="N623" s="91" t="s">
        <v>101</v>
      </c>
      <c r="O623" s="26">
        <f>uurtarief76</f>
        <v>0</v>
      </c>
      <c r="P623" s="93" t="e">
        <f>IF(ISBLANK(M623),0,L623/ROUND(M623,4))</f>
        <v>#DIV/0!</v>
      </c>
      <c r="Q623" s="26" t="e">
        <f>ROUND(O623,2)*P623</f>
        <v>#DIV/0!</v>
      </c>
      <c r="R623" s="93" t="e">
        <f>P623*dagenperjaar1</f>
        <v>#DIV/0!</v>
      </c>
      <c r="S623" s="27" t="e">
        <f>R623*ROUND(O623,2)</f>
        <v>#DIV/0!</v>
      </c>
    </row>
    <row r="624" spans="1:19" ht="25.2" x14ac:dyDescent="0.2">
      <c r="A624" s="90" t="s">
        <v>891</v>
      </c>
      <c r="B624" s="91" t="s">
        <v>35</v>
      </c>
      <c r="C624" s="91" t="s">
        <v>343</v>
      </c>
      <c r="D624" s="91" t="s">
        <v>409</v>
      </c>
      <c r="E624" s="92" t="s">
        <v>901</v>
      </c>
      <c r="F624" s="91" t="s">
        <v>347</v>
      </c>
      <c r="G624" s="91" t="s">
        <v>248</v>
      </c>
      <c r="H624" s="91" t="s">
        <v>12</v>
      </c>
      <c r="I624" s="91" t="s">
        <v>235</v>
      </c>
      <c r="J624" s="92" t="s">
        <v>249</v>
      </c>
      <c r="K624" s="93">
        <v>51.8</v>
      </c>
      <c r="L624" s="93">
        <f>K624*VLOOKUP(H624,dagsoorttabel1,2,FALSE)</f>
        <v>20.72</v>
      </c>
      <c r="M624" s="94">
        <f>prodnorm62</f>
        <v>0</v>
      </c>
      <c r="N624" s="91" t="s">
        <v>101</v>
      </c>
      <c r="O624" s="26">
        <f>uurtarief62</f>
        <v>0</v>
      </c>
      <c r="P624" s="93" t="e">
        <f>IF(ISBLANK(M624),0,L624/ROUND(M624,4))</f>
        <v>#DIV/0!</v>
      </c>
      <c r="Q624" s="26" t="e">
        <f>ROUND(O624,2)*P624</f>
        <v>#DIV/0!</v>
      </c>
      <c r="R624" s="93" t="e">
        <f>P624*dagenperjaar1</f>
        <v>#DIV/0!</v>
      </c>
      <c r="S624" s="27" t="e">
        <f>R624*ROUND(O624,2)</f>
        <v>#DIV/0!</v>
      </c>
    </row>
    <row r="625" spans="1:19" x14ac:dyDescent="0.2">
      <c r="A625" s="96" t="s">
        <v>891</v>
      </c>
      <c r="B625" s="97" t="s">
        <v>35</v>
      </c>
      <c r="C625" s="97" t="s">
        <v>343</v>
      </c>
      <c r="D625" s="97" t="s">
        <v>691</v>
      </c>
      <c r="E625" s="98" t="s">
        <v>349</v>
      </c>
      <c r="F625" s="97" t="s">
        <v>316</v>
      </c>
      <c r="G625" s="97" t="s">
        <v>266</v>
      </c>
      <c r="H625" s="97" t="s">
        <v>12</v>
      </c>
      <c r="I625" s="97" t="s">
        <v>235</v>
      </c>
      <c r="J625" s="98" t="s">
        <v>267</v>
      </c>
      <c r="K625" s="99">
        <v>13</v>
      </c>
      <c r="L625" s="99">
        <f>K625*VLOOKUP(H625,dagsoorttabel1,2,FALSE)</f>
        <v>5.2</v>
      </c>
      <c r="M625" s="100">
        <f>prodnorm84</f>
        <v>0</v>
      </c>
      <c r="N625" s="97" t="s">
        <v>101</v>
      </c>
      <c r="O625" s="36">
        <f>uurtarief84</f>
        <v>0</v>
      </c>
      <c r="P625" s="99" t="e">
        <f>IF(ISBLANK(M625),0,L625/ROUND(M625,4))</f>
        <v>#DIV/0!</v>
      </c>
      <c r="Q625" s="36" t="e">
        <f>ROUND(O625,2)*P625</f>
        <v>#DIV/0!</v>
      </c>
      <c r="R625" s="99" t="e">
        <f>P625*dagenperjaar1</f>
        <v>#DIV/0!</v>
      </c>
      <c r="S625" s="37" t="e">
        <f>R625*ROUND(O625,2)</f>
        <v>#DIV/0!</v>
      </c>
    </row>
    <row r="626" spans="1:19" x14ac:dyDescent="0.2">
      <c r="A626" s="101" t="s">
        <v>356</v>
      </c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6" t="e">
        <f>IF(_xlfn.SINGLE(object16_urenjaar1)&gt;0,_xlfn.SINGLE(object16_prijsjaar1)/_xlfn.SINGLE(object16_urenjaar1),0)</f>
        <v>#DIV/0!</v>
      </c>
      <c r="P626" s="75" t="e">
        <f>SUM(P590:P625)</f>
        <v>#DIV/0!</v>
      </c>
      <c r="Q626" s="76" t="e">
        <f>SUM(Q590:Q625)</f>
        <v>#DIV/0!</v>
      </c>
      <c r="R626" s="75" t="e">
        <f>SUM(R590:R625)</f>
        <v>#DIV/0!</v>
      </c>
      <c r="S626" s="77" t="e">
        <f>SUM(S590:S625)</f>
        <v>#DIV/0!</v>
      </c>
    </row>
    <row r="627" spans="1:19" x14ac:dyDescent="0.2">
      <c r="A627" s="82" t="s">
        <v>902</v>
      </c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72"/>
    </row>
    <row r="628" spans="1:19" x14ac:dyDescent="0.2">
      <c r="A628" s="83" t="s">
        <v>903</v>
      </c>
      <c r="B628" s="84" t="s">
        <v>35</v>
      </c>
      <c r="C628" s="84" t="s">
        <v>313</v>
      </c>
      <c r="D628" s="84" t="s">
        <v>314</v>
      </c>
      <c r="E628" s="85" t="s">
        <v>315</v>
      </c>
      <c r="F628" s="84" t="s">
        <v>904</v>
      </c>
      <c r="G628" s="84" t="s">
        <v>289</v>
      </c>
      <c r="H628" s="84" t="s">
        <v>13</v>
      </c>
      <c r="I628" s="84" t="s">
        <v>235</v>
      </c>
      <c r="J628" s="85" t="s">
        <v>290</v>
      </c>
      <c r="K628" s="86">
        <v>3.9</v>
      </c>
      <c r="L628" s="86">
        <f>K628*VLOOKUP(H628,dagsoorttabel1,2,FALSE)</f>
        <v>0.78</v>
      </c>
      <c r="M628" s="87">
        <f>prodnorm113</f>
        <v>0</v>
      </c>
      <c r="N628" s="84" t="s">
        <v>101</v>
      </c>
      <c r="O628" s="88">
        <f>uurtarief113</f>
        <v>0</v>
      </c>
      <c r="P628" s="86" t="e">
        <f>IF(ISBLANK(M628),0,L628/ROUND(M628,4))</f>
        <v>#DIV/0!</v>
      </c>
      <c r="Q628" s="88" t="e">
        <f>ROUND(O628,2)*P628</f>
        <v>#DIV/0!</v>
      </c>
      <c r="R628" s="86" t="e">
        <f>P628*dagenperjaar1</f>
        <v>#DIV/0!</v>
      </c>
      <c r="S628" s="89" t="e">
        <f>R628*ROUND(O628,2)</f>
        <v>#DIV/0!</v>
      </c>
    </row>
    <row r="629" spans="1:19" x14ac:dyDescent="0.2">
      <c r="A629" s="90" t="s">
        <v>903</v>
      </c>
      <c r="B629" s="91" t="s">
        <v>35</v>
      </c>
      <c r="C629" s="91" t="s">
        <v>313</v>
      </c>
      <c r="D629" s="91" t="s">
        <v>317</v>
      </c>
      <c r="E629" s="92" t="s">
        <v>333</v>
      </c>
      <c r="F629" s="91" t="s">
        <v>329</v>
      </c>
      <c r="G629" s="91" t="s">
        <v>279</v>
      </c>
      <c r="H629" s="91" t="s">
        <v>13</v>
      </c>
      <c r="I629" s="91" t="s">
        <v>235</v>
      </c>
      <c r="J629" s="92" t="s">
        <v>280</v>
      </c>
      <c r="K629" s="93">
        <v>1.3</v>
      </c>
      <c r="L629" s="93">
        <f>K629*VLOOKUP(H629,dagsoorttabel1,2,FALSE)</f>
        <v>0.26</v>
      </c>
      <c r="M629" s="94">
        <f>prodnorm100</f>
        <v>0</v>
      </c>
      <c r="N629" s="91" t="s">
        <v>101</v>
      </c>
      <c r="O629" s="26">
        <f>uurtarief100</f>
        <v>0</v>
      </c>
      <c r="P629" s="93" t="e">
        <f>IF(ISBLANK(M629),0,L629/ROUND(M629,4))</f>
        <v>#DIV/0!</v>
      </c>
      <c r="Q629" s="26" t="e">
        <f>ROUND(O629,2)*P629</f>
        <v>#DIV/0!</v>
      </c>
      <c r="R629" s="93" t="e">
        <f>P629*dagenperjaar1</f>
        <v>#DIV/0!</v>
      </c>
      <c r="S629" s="27" t="e">
        <f>R629*ROUND(O629,2)</f>
        <v>#DIV/0!</v>
      </c>
    </row>
    <row r="630" spans="1:19" x14ac:dyDescent="0.2">
      <c r="A630" s="90" t="s">
        <v>903</v>
      </c>
      <c r="B630" s="91" t="s">
        <v>35</v>
      </c>
      <c r="C630" s="91" t="s">
        <v>313</v>
      </c>
      <c r="D630" s="91" t="s">
        <v>892</v>
      </c>
      <c r="E630" s="92" t="s">
        <v>328</v>
      </c>
      <c r="F630" s="91" t="s">
        <v>329</v>
      </c>
      <c r="G630" s="91" t="s">
        <v>275</v>
      </c>
      <c r="H630" s="91" t="s">
        <v>13</v>
      </c>
      <c r="I630" s="91" t="s">
        <v>235</v>
      </c>
      <c r="J630" s="92" t="s">
        <v>276</v>
      </c>
      <c r="K630" s="93">
        <v>3</v>
      </c>
      <c r="L630" s="93">
        <f>K630*VLOOKUP(H630,dagsoorttabel1,2,FALSE)</f>
        <v>0.60000000000000009</v>
      </c>
      <c r="M630" s="94">
        <f>prodnorm94</f>
        <v>0</v>
      </c>
      <c r="N630" s="91" t="s">
        <v>101</v>
      </c>
      <c r="O630" s="26">
        <f>uurtarief94</f>
        <v>0</v>
      </c>
      <c r="P630" s="93" t="e">
        <f>IF(ISBLANK(M630),0,L630/ROUND(M630,4))</f>
        <v>#DIV/0!</v>
      </c>
      <c r="Q630" s="26" t="e">
        <f>ROUND(O630,2)*P630</f>
        <v>#DIV/0!</v>
      </c>
      <c r="R630" s="93" t="e">
        <f>P630*dagenperjaar1</f>
        <v>#DIV/0!</v>
      </c>
      <c r="S630" s="27" t="e">
        <f>R630*ROUND(O630,2)</f>
        <v>#DIV/0!</v>
      </c>
    </row>
    <row r="631" spans="1:19" x14ac:dyDescent="0.2">
      <c r="A631" s="90" t="s">
        <v>903</v>
      </c>
      <c r="B631" s="91" t="s">
        <v>35</v>
      </c>
      <c r="C631" s="91" t="s">
        <v>313</v>
      </c>
      <c r="D631" s="91" t="s">
        <v>320</v>
      </c>
      <c r="E631" s="92" t="s">
        <v>333</v>
      </c>
      <c r="F631" s="91" t="s">
        <v>329</v>
      </c>
      <c r="G631" s="91" t="s">
        <v>279</v>
      </c>
      <c r="H631" s="91" t="s">
        <v>13</v>
      </c>
      <c r="I631" s="91" t="s">
        <v>235</v>
      </c>
      <c r="J631" s="92" t="s">
        <v>280</v>
      </c>
      <c r="K631" s="93">
        <v>3</v>
      </c>
      <c r="L631" s="93">
        <f>K631*VLOOKUP(H631,dagsoorttabel1,2,FALSE)</f>
        <v>0.60000000000000009</v>
      </c>
      <c r="M631" s="94">
        <f>prodnorm100</f>
        <v>0</v>
      </c>
      <c r="N631" s="91" t="s">
        <v>101</v>
      </c>
      <c r="O631" s="26">
        <f>uurtarief100</f>
        <v>0</v>
      </c>
      <c r="P631" s="93" t="e">
        <f>IF(ISBLANK(M631),0,L631/ROUND(M631,4))</f>
        <v>#DIV/0!</v>
      </c>
      <c r="Q631" s="26" t="e">
        <f>ROUND(O631,2)*P631</f>
        <v>#DIV/0!</v>
      </c>
      <c r="R631" s="93" t="e">
        <f>P631*dagenperjaar1</f>
        <v>#DIV/0!</v>
      </c>
      <c r="S631" s="27" t="e">
        <f>R631*ROUND(O631,2)</f>
        <v>#DIV/0!</v>
      </c>
    </row>
    <row r="632" spans="1:19" x14ac:dyDescent="0.2">
      <c r="A632" s="90" t="s">
        <v>903</v>
      </c>
      <c r="B632" s="91" t="s">
        <v>35</v>
      </c>
      <c r="C632" s="91" t="s">
        <v>313</v>
      </c>
      <c r="D632" s="91" t="s">
        <v>322</v>
      </c>
      <c r="E632" s="92" t="s">
        <v>328</v>
      </c>
      <c r="F632" s="91" t="s">
        <v>329</v>
      </c>
      <c r="G632" s="91" t="s">
        <v>275</v>
      </c>
      <c r="H632" s="91" t="s">
        <v>13</v>
      </c>
      <c r="I632" s="91" t="s">
        <v>235</v>
      </c>
      <c r="J632" s="92" t="s">
        <v>276</v>
      </c>
      <c r="K632" s="93">
        <v>17.3</v>
      </c>
      <c r="L632" s="93">
        <f>K632*VLOOKUP(H632,dagsoorttabel1,2,FALSE)</f>
        <v>3.4600000000000004</v>
      </c>
      <c r="M632" s="94">
        <f>prodnorm94</f>
        <v>0</v>
      </c>
      <c r="N632" s="91" t="s">
        <v>101</v>
      </c>
      <c r="O632" s="26">
        <f>uurtarief94</f>
        <v>0</v>
      </c>
      <c r="P632" s="93" t="e">
        <f>IF(ISBLANK(M632),0,L632/ROUND(M632,4))</f>
        <v>#DIV/0!</v>
      </c>
      <c r="Q632" s="26" t="e">
        <f>ROUND(O632,2)*P632</f>
        <v>#DIV/0!</v>
      </c>
      <c r="R632" s="93" t="e">
        <f>P632*dagenperjaar1</f>
        <v>#DIV/0!</v>
      </c>
      <c r="S632" s="27" t="e">
        <f>R632*ROUND(O632,2)</f>
        <v>#DIV/0!</v>
      </c>
    </row>
    <row r="633" spans="1:19" x14ac:dyDescent="0.2">
      <c r="A633" s="90" t="s">
        <v>903</v>
      </c>
      <c r="B633" s="91" t="s">
        <v>35</v>
      </c>
      <c r="C633" s="91" t="s">
        <v>313</v>
      </c>
      <c r="D633" s="91" t="s">
        <v>880</v>
      </c>
      <c r="E633" s="92" t="s">
        <v>373</v>
      </c>
      <c r="F633" s="91" t="s">
        <v>329</v>
      </c>
      <c r="G633" s="91" t="s">
        <v>277</v>
      </c>
      <c r="H633" s="91" t="s">
        <v>13</v>
      </c>
      <c r="I633" s="91" t="s">
        <v>235</v>
      </c>
      <c r="J633" s="92" t="s">
        <v>278</v>
      </c>
      <c r="K633" s="93">
        <v>20.399999999999999</v>
      </c>
      <c r="L633" s="93">
        <f>K633*VLOOKUP(H633,dagsoorttabel1,2,FALSE)</f>
        <v>4.08</v>
      </c>
      <c r="M633" s="94">
        <f>prodnorm97</f>
        <v>0</v>
      </c>
      <c r="N633" s="91" t="s">
        <v>101</v>
      </c>
      <c r="O633" s="26">
        <f>uurtarief97</f>
        <v>0</v>
      </c>
      <c r="P633" s="93" t="e">
        <f>IF(ISBLANK(M633),0,L633/ROUND(M633,4))</f>
        <v>#DIV/0!</v>
      </c>
      <c r="Q633" s="26" t="e">
        <f>ROUND(O633,2)*P633</f>
        <v>#DIV/0!</v>
      </c>
      <c r="R633" s="93" t="e">
        <f>P633*dagenperjaar1</f>
        <v>#DIV/0!</v>
      </c>
      <c r="S633" s="27" t="e">
        <f>R633*ROUND(O633,2)</f>
        <v>#DIV/0!</v>
      </c>
    </row>
    <row r="634" spans="1:19" x14ac:dyDescent="0.2">
      <c r="A634" s="90" t="s">
        <v>903</v>
      </c>
      <c r="B634" s="91" t="s">
        <v>35</v>
      </c>
      <c r="C634" s="91" t="s">
        <v>313</v>
      </c>
      <c r="D634" s="91" t="s">
        <v>324</v>
      </c>
      <c r="E634" s="92" t="s">
        <v>367</v>
      </c>
      <c r="F634" s="91" t="s">
        <v>905</v>
      </c>
      <c r="G634" s="91" t="s">
        <v>283</v>
      </c>
      <c r="H634" s="91" t="s">
        <v>13</v>
      </c>
      <c r="I634" s="91" t="s">
        <v>235</v>
      </c>
      <c r="J634" s="92" t="s">
        <v>284</v>
      </c>
      <c r="K634" s="93">
        <v>20.5</v>
      </c>
      <c r="L634" s="93">
        <f>K634*VLOOKUP(H634,dagsoorttabel1,2,FALSE)</f>
        <v>4.1000000000000005</v>
      </c>
      <c r="M634" s="94">
        <f>prodnorm106</f>
        <v>0</v>
      </c>
      <c r="N634" s="91" t="s">
        <v>101</v>
      </c>
      <c r="O634" s="26">
        <f>uurtarief106</f>
        <v>0</v>
      </c>
      <c r="P634" s="93" t="e">
        <f>IF(ISBLANK(M634),0,L634/ROUND(M634,4))</f>
        <v>#DIV/0!</v>
      </c>
      <c r="Q634" s="26" t="e">
        <f>ROUND(O634,2)*P634</f>
        <v>#DIV/0!</v>
      </c>
      <c r="R634" s="93" t="e">
        <f>P634*dagenperjaar1</f>
        <v>#DIV/0!</v>
      </c>
      <c r="S634" s="27" t="e">
        <f>R634*ROUND(O634,2)</f>
        <v>#DIV/0!</v>
      </c>
    </row>
    <row r="635" spans="1:19" x14ac:dyDescent="0.2">
      <c r="A635" s="90" t="s">
        <v>903</v>
      </c>
      <c r="B635" s="91" t="s">
        <v>35</v>
      </c>
      <c r="C635" s="91" t="s">
        <v>313</v>
      </c>
      <c r="D635" s="91" t="s">
        <v>325</v>
      </c>
      <c r="E635" s="92" t="s">
        <v>323</v>
      </c>
      <c r="F635" s="91" t="s">
        <v>361</v>
      </c>
      <c r="G635" s="91" t="s">
        <v>239</v>
      </c>
      <c r="H635" s="91" t="s">
        <v>13</v>
      </c>
      <c r="I635" s="91" t="s">
        <v>235</v>
      </c>
      <c r="J635" s="92" t="s">
        <v>240</v>
      </c>
      <c r="K635" s="93">
        <v>6.2</v>
      </c>
      <c r="L635" s="93">
        <f>K635*VLOOKUP(H635,dagsoorttabel1,2,FALSE)</f>
        <v>1.2400000000000002</v>
      </c>
      <c r="M635" s="94">
        <f>prodnorm53</f>
        <v>0</v>
      </c>
      <c r="N635" s="91" t="s">
        <v>101</v>
      </c>
      <c r="O635" s="26">
        <f>uurtarief53</f>
        <v>0</v>
      </c>
      <c r="P635" s="93" t="e">
        <f>IF(ISBLANK(M635),0,L635/ROUND(M635,4))</f>
        <v>#DIV/0!</v>
      </c>
      <c r="Q635" s="26" t="e">
        <f>ROUND(O635,2)*P635</f>
        <v>#DIV/0!</v>
      </c>
      <c r="R635" s="93" t="e">
        <f>P635*dagenperjaar1</f>
        <v>#DIV/0!</v>
      </c>
      <c r="S635" s="27" t="e">
        <f>R635*ROUND(O635,2)</f>
        <v>#DIV/0!</v>
      </c>
    </row>
    <row r="636" spans="1:19" x14ac:dyDescent="0.2">
      <c r="A636" s="90" t="s">
        <v>903</v>
      </c>
      <c r="B636" s="91" t="s">
        <v>35</v>
      </c>
      <c r="C636" s="91" t="s">
        <v>313</v>
      </c>
      <c r="D636" s="91" t="s">
        <v>327</v>
      </c>
      <c r="E636" s="92" t="s">
        <v>340</v>
      </c>
      <c r="F636" s="91" t="s">
        <v>329</v>
      </c>
      <c r="G636" s="91" t="s">
        <v>252</v>
      </c>
      <c r="H636" s="91" t="s">
        <v>21</v>
      </c>
      <c r="I636" s="91" t="s">
        <v>235</v>
      </c>
      <c r="J636" s="92" t="s">
        <v>253</v>
      </c>
      <c r="K636" s="93">
        <v>40.200000000000003</v>
      </c>
      <c r="L636" s="93">
        <f>K636*VLOOKUP(H636,dagsoorttabel1,2,FALSE)</f>
        <v>0.15461538461538463</v>
      </c>
      <c r="M636" s="94">
        <f>prodnorm67</f>
        <v>0</v>
      </c>
      <c r="N636" s="91" t="s">
        <v>101</v>
      </c>
      <c r="O636" s="26">
        <f>uurtarief67</f>
        <v>0</v>
      </c>
      <c r="P636" s="93" t="e">
        <f>IF(ISBLANK(M636),0,L636/ROUND(M636,4))</f>
        <v>#DIV/0!</v>
      </c>
      <c r="Q636" s="26" t="e">
        <f>ROUND(O636,2)*P636</f>
        <v>#DIV/0!</v>
      </c>
      <c r="R636" s="93" t="e">
        <f>P636*dagenperjaar1</f>
        <v>#DIV/0!</v>
      </c>
      <c r="S636" s="27" t="e">
        <f>R636*ROUND(O636,2)</f>
        <v>#DIV/0!</v>
      </c>
    </row>
    <row r="637" spans="1:19" x14ac:dyDescent="0.2">
      <c r="A637" s="90" t="s">
        <v>903</v>
      </c>
      <c r="B637" s="91" t="s">
        <v>35</v>
      </c>
      <c r="C637" s="91" t="s">
        <v>313</v>
      </c>
      <c r="D637" s="91" t="s">
        <v>330</v>
      </c>
      <c r="E637" s="92" t="s">
        <v>340</v>
      </c>
      <c r="F637" s="91" t="s">
        <v>329</v>
      </c>
      <c r="G637" s="91" t="s">
        <v>352</v>
      </c>
      <c r="H637" s="91"/>
      <c r="I637" s="91"/>
      <c r="J637" s="91"/>
      <c r="K637" s="93">
        <v>54.7</v>
      </c>
      <c r="L637" s="93"/>
      <c r="M637" s="94"/>
      <c r="N637" s="91"/>
      <c r="O637" s="26"/>
      <c r="P637" s="93"/>
      <c r="Q637" s="26"/>
      <c r="R637" s="95"/>
      <c r="S637" s="27"/>
    </row>
    <row r="638" spans="1:19" x14ac:dyDescent="0.2">
      <c r="A638" s="90" t="s">
        <v>903</v>
      </c>
      <c r="B638" s="91" t="s">
        <v>35</v>
      </c>
      <c r="C638" s="91" t="s">
        <v>313</v>
      </c>
      <c r="D638" s="91" t="s">
        <v>332</v>
      </c>
      <c r="E638" s="92" t="s">
        <v>351</v>
      </c>
      <c r="F638" s="91" t="s">
        <v>329</v>
      </c>
      <c r="G638" s="91" t="s">
        <v>264</v>
      </c>
      <c r="H638" s="91" t="s">
        <v>13</v>
      </c>
      <c r="I638" s="91" t="s">
        <v>235</v>
      </c>
      <c r="J638" s="92" t="s">
        <v>265</v>
      </c>
      <c r="K638" s="93">
        <v>15.4</v>
      </c>
      <c r="L638" s="93">
        <f>K638*VLOOKUP(H638,dagsoorttabel1,2,FALSE)</f>
        <v>3.08</v>
      </c>
      <c r="M638" s="94">
        <f>prodnorm82</f>
        <v>0</v>
      </c>
      <c r="N638" s="91" t="s">
        <v>101</v>
      </c>
      <c r="O638" s="26">
        <f>uurtarief82</f>
        <v>0</v>
      </c>
      <c r="P638" s="93" t="e">
        <f>IF(ISBLANK(M638),0,L638/ROUND(M638,4))</f>
        <v>#DIV/0!</v>
      </c>
      <c r="Q638" s="26" t="e">
        <f>ROUND(O638,2)*P638</f>
        <v>#DIV/0!</v>
      </c>
      <c r="R638" s="93" t="e">
        <f>P638*dagenperjaar1</f>
        <v>#DIV/0!</v>
      </c>
      <c r="S638" s="27" t="e">
        <f>R638*ROUND(O638,2)</f>
        <v>#DIV/0!</v>
      </c>
    </row>
    <row r="639" spans="1:19" x14ac:dyDescent="0.2">
      <c r="A639" s="90" t="s">
        <v>903</v>
      </c>
      <c r="B639" s="91" t="s">
        <v>35</v>
      </c>
      <c r="C639" s="91" t="s">
        <v>313</v>
      </c>
      <c r="D639" s="91" t="s">
        <v>334</v>
      </c>
      <c r="E639" s="92" t="s">
        <v>318</v>
      </c>
      <c r="F639" s="91" t="s">
        <v>390</v>
      </c>
      <c r="G639" s="91" t="s">
        <v>298</v>
      </c>
      <c r="H639" s="91" t="s">
        <v>13</v>
      </c>
      <c r="I639" s="91" t="s">
        <v>235</v>
      </c>
      <c r="J639" s="92" t="s">
        <v>299</v>
      </c>
      <c r="K639" s="93">
        <v>3.75</v>
      </c>
      <c r="L639" s="93">
        <f>K639*VLOOKUP(H639,dagsoorttabel1,2,FALSE)</f>
        <v>0.75</v>
      </c>
      <c r="M639" s="94">
        <f>prodnorm124</f>
        <v>0</v>
      </c>
      <c r="N639" s="91" t="s">
        <v>101</v>
      </c>
      <c r="O639" s="26">
        <f>uurtarief124</f>
        <v>0</v>
      </c>
      <c r="P639" s="93" t="e">
        <f>IF(ISBLANK(M639),0,L639/ROUND(M639,4))</f>
        <v>#DIV/0!</v>
      </c>
      <c r="Q639" s="26" t="e">
        <f>ROUND(O639,2)*P639</f>
        <v>#DIV/0!</v>
      </c>
      <c r="R639" s="93" t="e">
        <f>P639*dagenperjaar1</f>
        <v>#DIV/0!</v>
      </c>
      <c r="S639" s="27" t="e">
        <f>R639*ROUND(O639,2)</f>
        <v>#DIV/0!</v>
      </c>
    </row>
    <row r="640" spans="1:19" x14ac:dyDescent="0.2">
      <c r="A640" s="90" t="s">
        <v>903</v>
      </c>
      <c r="B640" s="91" t="s">
        <v>35</v>
      </c>
      <c r="C640" s="91" t="s">
        <v>343</v>
      </c>
      <c r="D640" s="91" t="s">
        <v>344</v>
      </c>
      <c r="E640" s="92" t="s">
        <v>493</v>
      </c>
      <c r="F640" s="91" t="s">
        <v>361</v>
      </c>
      <c r="G640" s="91" t="s">
        <v>298</v>
      </c>
      <c r="H640" s="91" t="s">
        <v>13</v>
      </c>
      <c r="I640" s="91" t="s">
        <v>235</v>
      </c>
      <c r="J640" s="92" t="s">
        <v>299</v>
      </c>
      <c r="K640" s="93">
        <v>4</v>
      </c>
      <c r="L640" s="93">
        <f>K640*VLOOKUP(H640,dagsoorttabel1,2,FALSE)</f>
        <v>0.8</v>
      </c>
      <c r="M640" s="94">
        <f>prodnorm124</f>
        <v>0</v>
      </c>
      <c r="N640" s="91" t="s">
        <v>101</v>
      </c>
      <c r="O640" s="26">
        <f>uurtarief124</f>
        <v>0</v>
      </c>
      <c r="P640" s="93" t="e">
        <f>IF(ISBLANK(M640),0,L640/ROUND(M640,4))</f>
        <v>#DIV/0!</v>
      </c>
      <c r="Q640" s="26" t="e">
        <f>ROUND(O640,2)*P640</f>
        <v>#DIV/0!</v>
      </c>
      <c r="R640" s="93" t="e">
        <f>P640*dagenperjaar1</f>
        <v>#DIV/0!</v>
      </c>
      <c r="S640" s="27" t="e">
        <f>R640*ROUND(O640,2)</f>
        <v>#DIV/0!</v>
      </c>
    </row>
    <row r="641" spans="1:19" x14ac:dyDescent="0.2">
      <c r="A641" s="90" t="s">
        <v>903</v>
      </c>
      <c r="B641" s="91" t="s">
        <v>35</v>
      </c>
      <c r="C641" s="91" t="s">
        <v>343</v>
      </c>
      <c r="D641" s="91" t="s">
        <v>345</v>
      </c>
      <c r="E641" s="92" t="s">
        <v>333</v>
      </c>
      <c r="F641" s="91" t="s">
        <v>329</v>
      </c>
      <c r="G641" s="91" t="s">
        <v>279</v>
      </c>
      <c r="H641" s="91" t="s">
        <v>13</v>
      </c>
      <c r="I641" s="91" t="s">
        <v>235</v>
      </c>
      <c r="J641" s="92" t="s">
        <v>280</v>
      </c>
      <c r="K641" s="93">
        <v>1.6</v>
      </c>
      <c r="L641" s="93">
        <f>K641*VLOOKUP(H641,dagsoorttabel1,2,FALSE)</f>
        <v>0.32000000000000006</v>
      </c>
      <c r="M641" s="94">
        <f>prodnorm100</f>
        <v>0</v>
      </c>
      <c r="N641" s="91" t="s">
        <v>101</v>
      </c>
      <c r="O641" s="26">
        <f>uurtarief100</f>
        <v>0</v>
      </c>
      <c r="P641" s="93" t="e">
        <f>IF(ISBLANK(M641),0,L641/ROUND(M641,4))</f>
        <v>#DIV/0!</v>
      </c>
      <c r="Q641" s="26" t="e">
        <f>ROUND(O641,2)*P641</f>
        <v>#DIV/0!</v>
      </c>
      <c r="R641" s="93" t="e">
        <f>P641*dagenperjaar1</f>
        <v>#DIV/0!</v>
      </c>
      <c r="S641" s="27" t="e">
        <f>R641*ROUND(O641,2)</f>
        <v>#DIV/0!</v>
      </c>
    </row>
    <row r="642" spans="1:19" x14ac:dyDescent="0.2">
      <c r="A642" s="90" t="s">
        <v>903</v>
      </c>
      <c r="B642" s="91" t="s">
        <v>35</v>
      </c>
      <c r="C642" s="91" t="s">
        <v>343</v>
      </c>
      <c r="D642" s="91" t="s">
        <v>348</v>
      </c>
      <c r="E642" s="92" t="s">
        <v>906</v>
      </c>
      <c r="F642" s="91" t="s">
        <v>387</v>
      </c>
      <c r="G642" s="91" t="s">
        <v>260</v>
      </c>
      <c r="H642" s="91" t="s">
        <v>13</v>
      </c>
      <c r="I642" s="91" t="s">
        <v>235</v>
      </c>
      <c r="J642" s="92" t="s">
        <v>261</v>
      </c>
      <c r="K642" s="93">
        <v>45</v>
      </c>
      <c r="L642" s="93">
        <f>K642*VLOOKUP(H642,dagsoorttabel1,2,FALSE)</f>
        <v>9</v>
      </c>
      <c r="M642" s="94">
        <f>prodnorm75</f>
        <v>0</v>
      </c>
      <c r="N642" s="91" t="s">
        <v>101</v>
      </c>
      <c r="O642" s="26">
        <f>uurtarief75</f>
        <v>0</v>
      </c>
      <c r="P642" s="93" t="e">
        <f>IF(ISBLANK(M642),0,L642/ROUND(M642,4))</f>
        <v>#DIV/0!</v>
      </c>
      <c r="Q642" s="26" t="e">
        <f>ROUND(O642,2)*P642</f>
        <v>#DIV/0!</v>
      </c>
      <c r="R642" s="93" t="e">
        <f>P642*dagenperjaar1</f>
        <v>#DIV/0!</v>
      </c>
      <c r="S642" s="27" t="e">
        <f>R642*ROUND(O642,2)</f>
        <v>#DIV/0!</v>
      </c>
    </row>
    <row r="643" spans="1:19" x14ac:dyDescent="0.2">
      <c r="A643" s="90" t="s">
        <v>903</v>
      </c>
      <c r="B643" s="91" t="s">
        <v>35</v>
      </c>
      <c r="C643" s="91" t="s">
        <v>343</v>
      </c>
      <c r="D643" s="91" t="s">
        <v>350</v>
      </c>
      <c r="E643" s="92" t="s">
        <v>349</v>
      </c>
      <c r="F643" s="91" t="s">
        <v>361</v>
      </c>
      <c r="G643" s="91" t="s">
        <v>266</v>
      </c>
      <c r="H643" s="91" t="s">
        <v>13</v>
      </c>
      <c r="I643" s="91" t="s">
        <v>235</v>
      </c>
      <c r="J643" s="92" t="s">
        <v>267</v>
      </c>
      <c r="K643" s="93">
        <v>18</v>
      </c>
      <c r="L643" s="93">
        <f>K643*VLOOKUP(H643,dagsoorttabel1,2,FALSE)</f>
        <v>3.6</v>
      </c>
      <c r="M643" s="94">
        <f>prodnorm83</f>
        <v>0</v>
      </c>
      <c r="N643" s="91" t="s">
        <v>101</v>
      </c>
      <c r="O643" s="26">
        <f>uurtarief83</f>
        <v>0</v>
      </c>
      <c r="P643" s="93" t="e">
        <f>IF(ISBLANK(M643),0,L643/ROUND(M643,4))</f>
        <v>#DIV/0!</v>
      </c>
      <c r="Q643" s="26" t="e">
        <f>ROUND(O643,2)*P643</f>
        <v>#DIV/0!</v>
      </c>
      <c r="R643" s="93" t="e">
        <f>P643*dagenperjaar1</f>
        <v>#DIV/0!</v>
      </c>
      <c r="S643" s="27" t="e">
        <f>R643*ROUND(O643,2)</f>
        <v>#DIV/0!</v>
      </c>
    </row>
    <row r="644" spans="1:19" x14ac:dyDescent="0.2">
      <c r="A644" s="96" t="s">
        <v>903</v>
      </c>
      <c r="B644" s="97" t="s">
        <v>35</v>
      </c>
      <c r="C644" s="97" t="s">
        <v>343</v>
      </c>
      <c r="D644" s="97" t="s">
        <v>353</v>
      </c>
      <c r="E644" s="98" t="s">
        <v>351</v>
      </c>
      <c r="F644" s="97" t="s">
        <v>385</v>
      </c>
      <c r="G644" s="97" t="s">
        <v>352</v>
      </c>
      <c r="H644" s="97"/>
      <c r="I644" s="97"/>
      <c r="J644" s="97"/>
      <c r="K644" s="99">
        <v>3.4</v>
      </c>
      <c r="L644" s="99"/>
      <c r="M644" s="100"/>
      <c r="N644" s="97"/>
      <c r="O644" s="36"/>
      <c r="P644" s="99"/>
      <c r="Q644" s="36"/>
      <c r="R644" s="102"/>
      <c r="S644" s="37"/>
    </row>
    <row r="645" spans="1:19" x14ac:dyDescent="0.2">
      <c r="A645" s="101" t="s">
        <v>356</v>
      </c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6" t="e">
        <f>IF(_xlfn.SINGLE(object17_urenjaar1)&gt;0,_xlfn.SINGLE(object17_prijsjaar1)/_xlfn.SINGLE(object17_urenjaar1),0)</f>
        <v>#DIV/0!</v>
      </c>
      <c r="P645" s="75" t="e">
        <f>SUM(P628:P644)</f>
        <v>#DIV/0!</v>
      </c>
      <c r="Q645" s="76" t="e">
        <f>SUM(Q628:Q644)</f>
        <v>#DIV/0!</v>
      </c>
      <c r="R645" s="75" t="e">
        <f>SUM(R628:R644)</f>
        <v>#DIV/0!</v>
      </c>
      <c r="S645" s="77" t="e">
        <f>SUM(S628:S644)</f>
        <v>#DIV/0!</v>
      </c>
    </row>
    <row r="646" spans="1:19" x14ac:dyDescent="0.2">
      <c r="A646" s="82" t="s">
        <v>907</v>
      </c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72"/>
    </row>
    <row r="647" spans="1:19" x14ac:dyDescent="0.2">
      <c r="A647" s="83" t="s">
        <v>908</v>
      </c>
      <c r="B647" s="84" t="s">
        <v>35</v>
      </c>
      <c r="C647" s="84" t="s">
        <v>313</v>
      </c>
      <c r="D647" s="84" t="s">
        <v>314</v>
      </c>
      <c r="E647" s="85" t="s">
        <v>417</v>
      </c>
      <c r="F647" s="84" t="s">
        <v>427</v>
      </c>
      <c r="G647" s="84" t="s">
        <v>287</v>
      </c>
      <c r="H647" s="84" t="s">
        <v>13</v>
      </c>
      <c r="I647" s="84" t="s">
        <v>235</v>
      </c>
      <c r="J647" s="85" t="s">
        <v>288</v>
      </c>
      <c r="K647" s="86">
        <v>8.1999999999999993</v>
      </c>
      <c r="L647" s="86">
        <f>K647*VLOOKUP(H647,dagsoorttabel1,2,FALSE)</f>
        <v>1.64</v>
      </c>
      <c r="M647" s="87">
        <f>prodnorm112</f>
        <v>0</v>
      </c>
      <c r="N647" s="84" t="s">
        <v>101</v>
      </c>
      <c r="O647" s="88">
        <f>uurtarief112</f>
        <v>0</v>
      </c>
      <c r="P647" s="86" t="e">
        <f>IF(ISBLANK(M647),0,L647/ROUND(M647,4))</f>
        <v>#DIV/0!</v>
      </c>
      <c r="Q647" s="88" t="e">
        <f>ROUND(O647,2)*P647</f>
        <v>#DIV/0!</v>
      </c>
      <c r="R647" s="86" t="e">
        <f>P647*dagenperjaar1</f>
        <v>#DIV/0!</v>
      </c>
      <c r="S647" s="89" t="e">
        <f>R647*ROUND(O647,2)</f>
        <v>#DIV/0!</v>
      </c>
    </row>
    <row r="648" spans="1:19" x14ac:dyDescent="0.2">
      <c r="A648" s="90" t="s">
        <v>908</v>
      </c>
      <c r="B648" s="91" t="s">
        <v>35</v>
      </c>
      <c r="C648" s="91" t="s">
        <v>313</v>
      </c>
      <c r="D648" s="91" t="s">
        <v>359</v>
      </c>
      <c r="E648" s="92" t="s">
        <v>417</v>
      </c>
      <c r="F648" s="91" t="s">
        <v>387</v>
      </c>
      <c r="G648" s="91" t="s">
        <v>289</v>
      </c>
      <c r="H648" s="91" t="s">
        <v>13</v>
      </c>
      <c r="I648" s="91" t="s">
        <v>235</v>
      </c>
      <c r="J648" s="92" t="s">
        <v>290</v>
      </c>
      <c r="K648" s="93">
        <v>4</v>
      </c>
      <c r="L648" s="93">
        <f>K648*VLOOKUP(H648,dagsoorttabel1,2,FALSE)</f>
        <v>0.8</v>
      </c>
      <c r="M648" s="94">
        <f>prodnorm113</f>
        <v>0</v>
      </c>
      <c r="N648" s="91" t="s">
        <v>101</v>
      </c>
      <c r="O648" s="26">
        <f>uurtarief113</f>
        <v>0</v>
      </c>
      <c r="P648" s="93" t="e">
        <f>IF(ISBLANK(M648),0,L648/ROUND(M648,4))</f>
        <v>#DIV/0!</v>
      </c>
      <c r="Q648" s="26" t="e">
        <f>ROUND(O648,2)*P648</f>
        <v>#DIV/0!</v>
      </c>
      <c r="R648" s="93" t="e">
        <f>P648*dagenperjaar1</f>
        <v>#DIV/0!</v>
      </c>
      <c r="S648" s="27" t="e">
        <f>R648*ROUND(O648,2)</f>
        <v>#DIV/0!</v>
      </c>
    </row>
    <row r="649" spans="1:19" x14ac:dyDescent="0.2">
      <c r="A649" s="90" t="s">
        <v>908</v>
      </c>
      <c r="B649" s="91" t="s">
        <v>35</v>
      </c>
      <c r="C649" s="91" t="s">
        <v>313</v>
      </c>
      <c r="D649" s="91" t="s">
        <v>317</v>
      </c>
      <c r="E649" s="92" t="s">
        <v>418</v>
      </c>
      <c r="F649" s="91" t="s">
        <v>319</v>
      </c>
      <c r="G649" s="91" t="s">
        <v>298</v>
      </c>
      <c r="H649" s="91" t="s">
        <v>13</v>
      </c>
      <c r="I649" s="91" t="s">
        <v>235</v>
      </c>
      <c r="J649" s="92" t="s">
        <v>299</v>
      </c>
      <c r="K649" s="93">
        <v>3.25</v>
      </c>
      <c r="L649" s="93">
        <f>K649*VLOOKUP(H649,dagsoorttabel1,2,FALSE)</f>
        <v>0.65</v>
      </c>
      <c r="M649" s="94">
        <f>prodnorm124</f>
        <v>0</v>
      </c>
      <c r="N649" s="91" t="s">
        <v>101</v>
      </c>
      <c r="O649" s="26">
        <f>uurtarief124</f>
        <v>0</v>
      </c>
      <c r="P649" s="93" t="e">
        <f>IF(ISBLANK(M649),0,L649/ROUND(M649,4))</f>
        <v>#DIV/0!</v>
      </c>
      <c r="Q649" s="26" t="e">
        <f>ROUND(O649,2)*P649</f>
        <v>#DIV/0!</v>
      </c>
      <c r="R649" s="93" t="e">
        <f>P649*dagenperjaar1</f>
        <v>#DIV/0!</v>
      </c>
      <c r="S649" s="27" t="e">
        <f>R649*ROUND(O649,2)</f>
        <v>#DIV/0!</v>
      </c>
    </row>
    <row r="650" spans="1:19" x14ac:dyDescent="0.2">
      <c r="A650" s="90" t="s">
        <v>908</v>
      </c>
      <c r="B650" s="91" t="s">
        <v>35</v>
      </c>
      <c r="C650" s="91" t="s">
        <v>313</v>
      </c>
      <c r="D650" s="91" t="s">
        <v>320</v>
      </c>
      <c r="E650" s="92" t="s">
        <v>421</v>
      </c>
      <c r="F650" s="91" t="s">
        <v>361</v>
      </c>
      <c r="G650" s="91" t="s">
        <v>239</v>
      </c>
      <c r="H650" s="91" t="s">
        <v>13</v>
      </c>
      <c r="I650" s="91" t="s">
        <v>235</v>
      </c>
      <c r="J650" s="92" t="s">
        <v>240</v>
      </c>
      <c r="K650" s="93">
        <v>10.75</v>
      </c>
      <c r="L650" s="93">
        <f>K650*VLOOKUP(H650,dagsoorttabel1,2,FALSE)</f>
        <v>2.15</v>
      </c>
      <c r="M650" s="94">
        <f>prodnorm53</f>
        <v>0</v>
      </c>
      <c r="N650" s="91" t="s">
        <v>101</v>
      </c>
      <c r="O650" s="26">
        <f>uurtarief53</f>
        <v>0</v>
      </c>
      <c r="P650" s="93" t="e">
        <f>IF(ISBLANK(M650),0,L650/ROUND(M650,4))</f>
        <v>#DIV/0!</v>
      </c>
      <c r="Q650" s="26" t="e">
        <f>ROUND(O650,2)*P650</f>
        <v>#DIV/0!</v>
      </c>
      <c r="R650" s="93" t="e">
        <f>P650*dagenperjaar1</f>
        <v>#DIV/0!</v>
      </c>
      <c r="S650" s="27" t="e">
        <f>R650*ROUND(O650,2)</f>
        <v>#DIV/0!</v>
      </c>
    </row>
    <row r="651" spans="1:19" x14ac:dyDescent="0.2">
      <c r="A651" s="90" t="s">
        <v>908</v>
      </c>
      <c r="B651" s="91" t="s">
        <v>35</v>
      </c>
      <c r="C651" s="91" t="s">
        <v>313</v>
      </c>
      <c r="D651" s="91" t="s">
        <v>322</v>
      </c>
      <c r="E651" s="92" t="s">
        <v>421</v>
      </c>
      <c r="F651" s="91" t="s">
        <v>329</v>
      </c>
      <c r="G651" s="91" t="s">
        <v>239</v>
      </c>
      <c r="H651" s="91" t="s">
        <v>13</v>
      </c>
      <c r="I651" s="91" t="s">
        <v>235</v>
      </c>
      <c r="J651" s="92" t="s">
        <v>240</v>
      </c>
      <c r="K651" s="93">
        <v>13.15</v>
      </c>
      <c r="L651" s="93">
        <f>K651*VLOOKUP(H651,dagsoorttabel1,2,FALSE)</f>
        <v>2.6300000000000003</v>
      </c>
      <c r="M651" s="94">
        <f>prodnorm53</f>
        <v>0</v>
      </c>
      <c r="N651" s="91" t="s">
        <v>101</v>
      </c>
      <c r="O651" s="26">
        <f>uurtarief53</f>
        <v>0</v>
      </c>
      <c r="P651" s="93" t="e">
        <f>IF(ISBLANK(M651),0,L651/ROUND(M651,4))</f>
        <v>#DIV/0!</v>
      </c>
      <c r="Q651" s="26" t="e">
        <f>ROUND(O651,2)*P651</f>
        <v>#DIV/0!</v>
      </c>
      <c r="R651" s="93" t="e">
        <f>P651*dagenperjaar1</f>
        <v>#DIV/0!</v>
      </c>
      <c r="S651" s="27" t="e">
        <f>R651*ROUND(O651,2)</f>
        <v>#DIV/0!</v>
      </c>
    </row>
    <row r="652" spans="1:19" x14ac:dyDescent="0.2">
      <c r="A652" s="90" t="s">
        <v>908</v>
      </c>
      <c r="B652" s="91" t="s">
        <v>35</v>
      </c>
      <c r="C652" s="91" t="s">
        <v>313</v>
      </c>
      <c r="D652" s="91" t="s">
        <v>324</v>
      </c>
      <c r="E652" s="92" t="s">
        <v>909</v>
      </c>
      <c r="F652" s="91" t="s">
        <v>329</v>
      </c>
      <c r="G652" s="91" t="s">
        <v>283</v>
      </c>
      <c r="H652" s="91" t="s">
        <v>13</v>
      </c>
      <c r="I652" s="91" t="s">
        <v>235</v>
      </c>
      <c r="J652" s="92" t="s">
        <v>284</v>
      </c>
      <c r="K652" s="93">
        <v>4.1499999999999995</v>
      </c>
      <c r="L652" s="93">
        <f>K652*VLOOKUP(H652,dagsoorttabel1,2,FALSE)</f>
        <v>0.83</v>
      </c>
      <c r="M652" s="94">
        <f>prodnorm106</f>
        <v>0</v>
      </c>
      <c r="N652" s="91" t="s">
        <v>101</v>
      </c>
      <c r="O652" s="26">
        <f>uurtarief106</f>
        <v>0</v>
      </c>
      <c r="P652" s="93" t="e">
        <f>IF(ISBLANK(M652),0,L652/ROUND(M652,4))</f>
        <v>#DIV/0!</v>
      </c>
      <c r="Q652" s="26" t="e">
        <f>ROUND(O652,2)*P652</f>
        <v>#DIV/0!</v>
      </c>
      <c r="R652" s="93" t="e">
        <f>P652*dagenperjaar1</f>
        <v>#DIV/0!</v>
      </c>
      <c r="S652" s="27" t="e">
        <f>R652*ROUND(O652,2)</f>
        <v>#DIV/0!</v>
      </c>
    </row>
    <row r="653" spans="1:19" x14ac:dyDescent="0.2">
      <c r="A653" s="90" t="s">
        <v>908</v>
      </c>
      <c r="B653" s="91" t="s">
        <v>35</v>
      </c>
      <c r="C653" s="91" t="s">
        <v>313</v>
      </c>
      <c r="D653" s="91" t="s">
        <v>325</v>
      </c>
      <c r="E653" s="92" t="s">
        <v>910</v>
      </c>
      <c r="F653" s="91" t="s">
        <v>427</v>
      </c>
      <c r="G653" s="91" t="s">
        <v>279</v>
      </c>
      <c r="H653" s="91" t="s">
        <v>13</v>
      </c>
      <c r="I653" s="91" t="s">
        <v>235</v>
      </c>
      <c r="J653" s="92" t="s">
        <v>280</v>
      </c>
      <c r="K653" s="93">
        <v>1.2</v>
      </c>
      <c r="L653" s="93">
        <f>K653*VLOOKUP(H653,dagsoorttabel1,2,FALSE)</f>
        <v>0.24</v>
      </c>
      <c r="M653" s="94">
        <f>prodnorm100</f>
        <v>0</v>
      </c>
      <c r="N653" s="91" t="s">
        <v>101</v>
      </c>
      <c r="O653" s="26">
        <f>uurtarief100</f>
        <v>0</v>
      </c>
      <c r="P653" s="93" t="e">
        <f>IF(ISBLANK(M653),0,L653/ROUND(M653,4))</f>
        <v>#DIV/0!</v>
      </c>
      <c r="Q653" s="26" t="e">
        <f>ROUND(O653,2)*P653</f>
        <v>#DIV/0!</v>
      </c>
      <c r="R653" s="93" t="e">
        <f>P653*dagenperjaar1</f>
        <v>#DIV/0!</v>
      </c>
      <c r="S653" s="27" t="e">
        <f>R653*ROUND(O653,2)</f>
        <v>#DIV/0!</v>
      </c>
    </row>
    <row r="654" spans="1:19" ht="25.2" x14ac:dyDescent="0.2">
      <c r="A654" s="90" t="s">
        <v>908</v>
      </c>
      <c r="B654" s="91" t="s">
        <v>35</v>
      </c>
      <c r="C654" s="91" t="s">
        <v>313</v>
      </c>
      <c r="D654" s="91" t="s">
        <v>327</v>
      </c>
      <c r="E654" s="92" t="s">
        <v>463</v>
      </c>
      <c r="F654" s="91" t="s">
        <v>424</v>
      </c>
      <c r="G654" s="91" t="s">
        <v>293</v>
      </c>
      <c r="H654" s="91" t="s">
        <v>21</v>
      </c>
      <c r="I654" s="91" t="s">
        <v>235</v>
      </c>
      <c r="J654" s="92" t="s">
        <v>294</v>
      </c>
      <c r="K654" s="93">
        <v>25.7</v>
      </c>
      <c r="L654" s="93">
        <f>K654*VLOOKUP(H654,dagsoorttabel1,2,FALSE)</f>
        <v>9.8846153846153847E-2</v>
      </c>
      <c r="M654" s="94">
        <f>prodnorm118</f>
        <v>0</v>
      </c>
      <c r="N654" s="91" t="s">
        <v>101</v>
      </c>
      <c r="O654" s="26">
        <f>uurtarief118</f>
        <v>0</v>
      </c>
      <c r="P654" s="93" t="e">
        <f>IF(ISBLANK(M654),0,L654/ROUND(M654,4))</f>
        <v>#DIV/0!</v>
      </c>
      <c r="Q654" s="26" t="e">
        <f>ROUND(O654,2)*P654</f>
        <v>#DIV/0!</v>
      </c>
      <c r="R654" s="93" t="e">
        <f>P654*dagenperjaar1</f>
        <v>#DIV/0!</v>
      </c>
      <c r="S654" s="27" t="e">
        <f>R654*ROUND(O654,2)</f>
        <v>#DIV/0!</v>
      </c>
    </row>
    <row r="655" spans="1:19" x14ac:dyDescent="0.2">
      <c r="A655" s="90" t="s">
        <v>908</v>
      </c>
      <c r="B655" s="91" t="s">
        <v>35</v>
      </c>
      <c r="C655" s="91" t="s">
        <v>313</v>
      </c>
      <c r="D655" s="91" t="s">
        <v>330</v>
      </c>
      <c r="E655" s="92" t="s">
        <v>423</v>
      </c>
      <c r="F655" s="91" t="s">
        <v>424</v>
      </c>
      <c r="G655" s="91" t="s">
        <v>252</v>
      </c>
      <c r="H655" s="91" t="s">
        <v>21</v>
      </c>
      <c r="I655" s="91" t="s">
        <v>235</v>
      </c>
      <c r="J655" s="92" t="s">
        <v>253</v>
      </c>
      <c r="K655" s="93">
        <v>207</v>
      </c>
      <c r="L655" s="93">
        <f>K655*VLOOKUP(H655,dagsoorttabel1,2,FALSE)</f>
        <v>0.79615384615384621</v>
      </c>
      <c r="M655" s="94">
        <f>prodnorm67</f>
        <v>0</v>
      </c>
      <c r="N655" s="91" t="s">
        <v>101</v>
      </c>
      <c r="O655" s="26">
        <f>uurtarief67</f>
        <v>0</v>
      </c>
      <c r="P655" s="93" t="e">
        <f>IF(ISBLANK(M655),0,L655/ROUND(M655,4))</f>
        <v>#DIV/0!</v>
      </c>
      <c r="Q655" s="26" t="e">
        <f>ROUND(O655,2)*P655</f>
        <v>#DIV/0!</v>
      </c>
      <c r="R655" s="93" t="e">
        <f>P655*dagenperjaar1</f>
        <v>#DIV/0!</v>
      </c>
      <c r="S655" s="27" t="e">
        <f>R655*ROUND(O655,2)</f>
        <v>#DIV/0!</v>
      </c>
    </row>
    <row r="656" spans="1:19" x14ac:dyDescent="0.2">
      <c r="A656" s="90" t="s">
        <v>908</v>
      </c>
      <c r="B656" s="91" t="s">
        <v>35</v>
      </c>
      <c r="C656" s="91" t="s">
        <v>313</v>
      </c>
      <c r="D656" s="91" t="s">
        <v>332</v>
      </c>
      <c r="E656" s="92" t="s">
        <v>506</v>
      </c>
      <c r="F656" s="91" t="s">
        <v>427</v>
      </c>
      <c r="G656" s="91" t="s">
        <v>277</v>
      </c>
      <c r="H656" s="91" t="s">
        <v>13</v>
      </c>
      <c r="I656" s="91" t="s">
        <v>235</v>
      </c>
      <c r="J656" s="92" t="s">
        <v>278</v>
      </c>
      <c r="K656" s="93">
        <v>42.7</v>
      </c>
      <c r="L656" s="93">
        <f>K656*VLOOKUP(H656,dagsoorttabel1,2,FALSE)</f>
        <v>8.5400000000000009</v>
      </c>
      <c r="M656" s="94">
        <f>prodnorm97</f>
        <v>0</v>
      </c>
      <c r="N656" s="91" t="s">
        <v>101</v>
      </c>
      <c r="O656" s="26">
        <f>uurtarief97</f>
        <v>0</v>
      </c>
      <c r="P656" s="93" t="e">
        <f>IF(ISBLANK(M656),0,L656/ROUND(M656,4))</f>
        <v>#DIV/0!</v>
      </c>
      <c r="Q656" s="26" t="e">
        <f>ROUND(O656,2)*P656</f>
        <v>#DIV/0!</v>
      </c>
      <c r="R656" s="93" t="e">
        <f>P656*dagenperjaar1</f>
        <v>#DIV/0!</v>
      </c>
      <c r="S656" s="27" t="e">
        <f>R656*ROUND(O656,2)</f>
        <v>#DIV/0!</v>
      </c>
    </row>
    <row r="657" spans="1:19" x14ac:dyDescent="0.2">
      <c r="A657" s="90" t="s">
        <v>908</v>
      </c>
      <c r="B657" s="91" t="s">
        <v>35</v>
      </c>
      <c r="C657" s="91" t="s">
        <v>313</v>
      </c>
      <c r="D657" s="91" t="s">
        <v>334</v>
      </c>
      <c r="E657" s="92" t="s">
        <v>910</v>
      </c>
      <c r="F657" s="91" t="s">
        <v>427</v>
      </c>
      <c r="G657" s="91" t="s">
        <v>279</v>
      </c>
      <c r="H657" s="91" t="s">
        <v>13</v>
      </c>
      <c r="I657" s="91" t="s">
        <v>235</v>
      </c>
      <c r="J657" s="92" t="s">
        <v>280</v>
      </c>
      <c r="K657" s="93">
        <v>5.6</v>
      </c>
      <c r="L657" s="93">
        <f>K657*VLOOKUP(H657,dagsoorttabel1,2,FALSE)</f>
        <v>1.1199999999999999</v>
      </c>
      <c r="M657" s="94">
        <f>prodnorm100</f>
        <v>0</v>
      </c>
      <c r="N657" s="91" t="s">
        <v>101</v>
      </c>
      <c r="O657" s="26">
        <f>uurtarief100</f>
        <v>0</v>
      </c>
      <c r="P657" s="93" t="e">
        <f>IF(ISBLANK(M657),0,L657/ROUND(M657,4))</f>
        <v>#DIV/0!</v>
      </c>
      <c r="Q657" s="26" t="e">
        <f>ROUND(O657,2)*P657</f>
        <v>#DIV/0!</v>
      </c>
      <c r="R657" s="93" t="e">
        <f>P657*dagenperjaar1</f>
        <v>#DIV/0!</v>
      </c>
      <c r="S657" s="27" t="e">
        <f>R657*ROUND(O657,2)</f>
        <v>#DIV/0!</v>
      </c>
    </row>
    <row r="658" spans="1:19" x14ac:dyDescent="0.2">
      <c r="A658" s="90" t="s">
        <v>908</v>
      </c>
      <c r="B658" s="91" t="s">
        <v>35</v>
      </c>
      <c r="C658" s="91" t="s">
        <v>313</v>
      </c>
      <c r="D658" s="91" t="s">
        <v>336</v>
      </c>
      <c r="E658" s="92" t="s">
        <v>459</v>
      </c>
      <c r="F658" s="91" t="s">
        <v>427</v>
      </c>
      <c r="G658" s="91" t="s">
        <v>275</v>
      </c>
      <c r="H658" s="91" t="s">
        <v>13</v>
      </c>
      <c r="I658" s="91" t="s">
        <v>235</v>
      </c>
      <c r="J658" s="92" t="s">
        <v>276</v>
      </c>
      <c r="K658" s="93">
        <v>4.8</v>
      </c>
      <c r="L658" s="93">
        <f>K658*VLOOKUP(H658,dagsoorttabel1,2,FALSE)</f>
        <v>0.96</v>
      </c>
      <c r="M658" s="94">
        <f>prodnorm94</f>
        <v>0</v>
      </c>
      <c r="N658" s="91" t="s">
        <v>101</v>
      </c>
      <c r="O658" s="26">
        <f>uurtarief94</f>
        <v>0</v>
      </c>
      <c r="P658" s="93" t="e">
        <f>IF(ISBLANK(M658),0,L658/ROUND(M658,4))</f>
        <v>#DIV/0!</v>
      </c>
      <c r="Q658" s="26" t="e">
        <f>ROUND(O658,2)*P658</f>
        <v>#DIV/0!</v>
      </c>
      <c r="R658" s="93" t="e">
        <f>P658*dagenperjaar1</f>
        <v>#DIV/0!</v>
      </c>
      <c r="S658" s="27" t="e">
        <f>R658*ROUND(O658,2)</f>
        <v>#DIV/0!</v>
      </c>
    </row>
    <row r="659" spans="1:19" x14ac:dyDescent="0.2">
      <c r="A659" s="90" t="s">
        <v>908</v>
      </c>
      <c r="B659" s="91" t="s">
        <v>35</v>
      </c>
      <c r="C659" s="91" t="s">
        <v>313</v>
      </c>
      <c r="D659" s="91" t="s">
        <v>338</v>
      </c>
      <c r="E659" s="92" t="s">
        <v>910</v>
      </c>
      <c r="F659" s="91" t="s">
        <v>427</v>
      </c>
      <c r="G659" s="91" t="s">
        <v>279</v>
      </c>
      <c r="H659" s="91" t="s">
        <v>13</v>
      </c>
      <c r="I659" s="91" t="s">
        <v>235</v>
      </c>
      <c r="J659" s="92" t="s">
        <v>280</v>
      </c>
      <c r="K659" s="93">
        <v>5.5</v>
      </c>
      <c r="L659" s="93">
        <f>K659*VLOOKUP(H659,dagsoorttabel1,2,FALSE)</f>
        <v>1.1000000000000001</v>
      </c>
      <c r="M659" s="94">
        <f>prodnorm100</f>
        <v>0</v>
      </c>
      <c r="N659" s="91" t="s">
        <v>101</v>
      </c>
      <c r="O659" s="26">
        <f>uurtarief100</f>
        <v>0</v>
      </c>
      <c r="P659" s="93" t="e">
        <f>IF(ISBLANK(M659),0,L659/ROUND(M659,4))</f>
        <v>#DIV/0!</v>
      </c>
      <c r="Q659" s="26" t="e">
        <f>ROUND(O659,2)*P659</f>
        <v>#DIV/0!</v>
      </c>
      <c r="R659" s="93" t="e">
        <f>P659*dagenperjaar1</f>
        <v>#DIV/0!</v>
      </c>
      <c r="S659" s="27" t="e">
        <f>R659*ROUND(O659,2)</f>
        <v>#DIV/0!</v>
      </c>
    </row>
    <row r="660" spans="1:19" x14ac:dyDescent="0.2">
      <c r="A660" s="90" t="s">
        <v>908</v>
      </c>
      <c r="B660" s="91" t="s">
        <v>35</v>
      </c>
      <c r="C660" s="91" t="s">
        <v>313</v>
      </c>
      <c r="D660" s="91" t="s">
        <v>339</v>
      </c>
      <c r="E660" s="92" t="s">
        <v>459</v>
      </c>
      <c r="F660" s="91" t="s">
        <v>427</v>
      </c>
      <c r="G660" s="91" t="s">
        <v>275</v>
      </c>
      <c r="H660" s="91" t="s">
        <v>13</v>
      </c>
      <c r="I660" s="91" t="s">
        <v>235</v>
      </c>
      <c r="J660" s="92" t="s">
        <v>276</v>
      </c>
      <c r="K660" s="93">
        <v>8.8000000000000007</v>
      </c>
      <c r="L660" s="93">
        <f>K660*VLOOKUP(H660,dagsoorttabel1,2,FALSE)</f>
        <v>1.7600000000000002</v>
      </c>
      <c r="M660" s="94">
        <f>prodnorm94</f>
        <v>0</v>
      </c>
      <c r="N660" s="91" t="s">
        <v>101</v>
      </c>
      <c r="O660" s="26">
        <f>uurtarief94</f>
        <v>0</v>
      </c>
      <c r="P660" s="93" t="e">
        <f>IF(ISBLANK(M660),0,L660/ROUND(M660,4))</f>
        <v>#DIV/0!</v>
      </c>
      <c r="Q660" s="26" t="e">
        <f>ROUND(O660,2)*P660</f>
        <v>#DIV/0!</v>
      </c>
      <c r="R660" s="93" t="e">
        <f>P660*dagenperjaar1</f>
        <v>#DIV/0!</v>
      </c>
      <c r="S660" s="27" t="e">
        <f>R660*ROUND(O660,2)</f>
        <v>#DIV/0!</v>
      </c>
    </row>
    <row r="661" spans="1:19" x14ac:dyDescent="0.2">
      <c r="A661" s="90" t="s">
        <v>908</v>
      </c>
      <c r="B661" s="91" t="s">
        <v>35</v>
      </c>
      <c r="C661" s="91" t="s">
        <v>313</v>
      </c>
      <c r="D661" s="91" t="s">
        <v>341</v>
      </c>
      <c r="E661" s="92" t="s">
        <v>435</v>
      </c>
      <c r="F661" s="91" t="s">
        <v>427</v>
      </c>
      <c r="G661" s="91" t="s">
        <v>281</v>
      </c>
      <c r="H661" s="91" t="s">
        <v>21</v>
      </c>
      <c r="I661" s="91" t="s">
        <v>235</v>
      </c>
      <c r="J661" s="92" t="s">
        <v>282</v>
      </c>
      <c r="K661" s="93">
        <v>62.8</v>
      </c>
      <c r="L661" s="93">
        <f>K661*VLOOKUP(H661,dagsoorttabel1,2,FALSE)</f>
        <v>0.24153846153846154</v>
      </c>
      <c r="M661" s="94">
        <f>prodnorm103</f>
        <v>0</v>
      </c>
      <c r="N661" s="91" t="s">
        <v>101</v>
      </c>
      <c r="O661" s="26">
        <f>uurtarief103</f>
        <v>0</v>
      </c>
      <c r="P661" s="93" t="e">
        <f>IF(ISBLANK(M661),0,L661/ROUND(M661,4))</f>
        <v>#DIV/0!</v>
      </c>
      <c r="Q661" s="26" t="e">
        <f>ROUND(O661,2)*P661</f>
        <v>#DIV/0!</v>
      </c>
      <c r="R661" s="93" t="e">
        <f>P661*dagenperjaar1</f>
        <v>#DIV/0!</v>
      </c>
      <c r="S661" s="27" t="e">
        <f>R661*ROUND(O661,2)</f>
        <v>#DIV/0!</v>
      </c>
    </row>
    <row r="662" spans="1:19" x14ac:dyDescent="0.2">
      <c r="A662" s="90" t="s">
        <v>908</v>
      </c>
      <c r="B662" s="91" t="s">
        <v>35</v>
      </c>
      <c r="C662" s="91" t="s">
        <v>313</v>
      </c>
      <c r="D662" s="91" t="s">
        <v>372</v>
      </c>
      <c r="E662" s="92" t="s">
        <v>418</v>
      </c>
      <c r="F662" s="91" t="s">
        <v>319</v>
      </c>
      <c r="G662" s="91" t="s">
        <v>298</v>
      </c>
      <c r="H662" s="91" t="s">
        <v>13</v>
      </c>
      <c r="I662" s="91" t="s">
        <v>235</v>
      </c>
      <c r="J662" s="92" t="s">
        <v>299</v>
      </c>
      <c r="K662" s="93">
        <v>3</v>
      </c>
      <c r="L662" s="93">
        <f>K662*VLOOKUP(H662,dagsoorttabel1,2,FALSE)</f>
        <v>0.60000000000000009</v>
      </c>
      <c r="M662" s="94">
        <f>prodnorm124</f>
        <v>0</v>
      </c>
      <c r="N662" s="91" t="s">
        <v>101</v>
      </c>
      <c r="O662" s="26">
        <f>uurtarief124</f>
        <v>0</v>
      </c>
      <c r="P662" s="93" t="e">
        <f>IF(ISBLANK(M662),0,L662/ROUND(M662,4))</f>
        <v>#DIV/0!</v>
      </c>
      <c r="Q662" s="26" t="e">
        <f>ROUND(O662,2)*P662</f>
        <v>#DIV/0!</v>
      </c>
      <c r="R662" s="93" t="e">
        <f>P662*dagenperjaar1</f>
        <v>#DIV/0!</v>
      </c>
      <c r="S662" s="27" t="e">
        <f>R662*ROUND(O662,2)</f>
        <v>#DIV/0!</v>
      </c>
    </row>
    <row r="663" spans="1:19" x14ac:dyDescent="0.2">
      <c r="A663" s="90" t="s">
        <v>908</v>
      </c>
      <c r="B663" s="91" t="s">
        <v>35</v>
      </c>
      <c r="C663" s="91" t="s">
        <v>313</v>
      </c>
      <c r="D663" s="91" t="s">
        <v>391</v>
      </c>
      <c r="E663" s="92" t="s">
        <v>417</v>
      </c>
      <c r="F663" s="91" t="s">
        <v>427</v>
      </c>
      <c r="G663" s="91" t="s">
        <v>287</v>
      </c>
      <c r="H663" s="91" t="s">
        <v>13</v>
      </c>
      <c r="I663" s="91" t="s">
        <v>235</v>
      </c>
      <c r="J663" s="92" t="s">
        <v>288</v>
      </c>
      <c r="K663" s="93">
        <v>19.7</v>
      </c>
      <c r="L663" s="93">
        <f>K663*VLOOKUP(H663,dagsoorttabel1,2,FALSE)</f>
        <v>3.94</v>
      </c>
      <c r="M663" s="94">
        <f>prodnorm112</f>
        <v>0</v>
      </c>
      <c r="N663" s="91" t="s">
        <v>101</v>
      </c>
      <c r="O663" s="26">
        <f>uurtarief112</f>
        <v>0</v>
      </c>
      <c r="P663" s="93" t="e">
        <f>IF(ISBLANK(M663),0,L663/ROUND(M663,4))</f>
        <v>#DIV/0!</v>
      </c>
      <c r="Q663" s="26" t="e">
        <f>ROUND(O663,2)*P663</f>
        <v>#DIV/0!</v>
      </c>
      <c r="R663" s="93" t="e">
        <f>P663*dagenperjaar1</f>
        <v>#DIV/0!</v>
      </c>
      <c r="S663" s="27" t="e">
        <f>R663*ROUND(O663,2)</f>
        <v>#DIV/0!</v>
      </c>
    </row>
    <row r="664" spans="1:19" x14ac:dyDescent="0.2">
      <c r="A664" s="90" t="s">
        <v>908</v>
      </c>
      <c r="B664" s="91" t="s">
        <v>35</v>
      </c>
      <c r="C664" s="91" t="s">
        <v>313</v>
      </c>
      <c r="D664" s="91" t="s">
        <v>392</v>
      </c>
      <c r="E664" s="92" t="s">
        <v>910</v>
      </c>
      <c r="F664" s="91" t="s">
        <v>427</v>
      </c>
      <c r="G664" s="91" t="s">
        <v>279</v>
      </c>
      <c r="H664" s="91" t="s">
        <v>13</v>
      </c>
      <c r="I664" s="91" t="s">
        <v>235</v>
      </c>
      <c r="J664" s="92" t="s">
        <v>280</v>
      </c>
      <c r="K664" s="93">
        <v>1.8</v>
      </c>
      <c r="L664" s="93">
        <f>K664*VLOOKUP(H664,dagsoorttabel1,2,FALSE)</f>
        <v>0.36000000000000004</v>
      </c>
      <c r="M664" s="94">
        <f>prodnorm100</f>
        <v>0</v>
      </c>
      <c r="N664" s="91" t="s">
        <v>101</v>
      </c>
      <c r="O664" s="26">
        <f>uurtarief100</f>
        <v>0</v>
      </c>
      <c r="P664" s="93" t="e">
        <f>IF(ISBLANK(M664),0,L664/ROUND(M664,4))</f>
        <v>#DIV/0!</v>
      </c>
      <c r="Q664" s="26" t="e">
        <f>ROUND(O664,2)*P664</f>
        <v>#DIV/0!</v>
      </c>
      <c r="R664" s="93" t="e">
        <f>P664*dagenperjaar1</f>
        <v>#DIV/0!</v>
      </c>
      <c r="S664" s="27" t="e">
        <f>R664*ROUND(O664,2)</f>
        <v>#DIV/0!</v>
      </c>
    </row>
    <row r="665" spans="1:19" x14ac:dyDescent="0.2">
      <c r="A665" s="90" t="s">
        <v>908</v>
      </c>
      <c r="B665" s="91" t="s">
        <v>35</v>
      </c>
      <c r="C665" s="91" t="s">
        <v>313</v>
      </c>
      <c r="D665" s="91" t="s">
        <v>393</v>
      </c>
      <c r="E665" s="92" t="s">
        <v>430</v>
      </c>
      <c r="F665" s="91" t="s">
        <v>427</v>
      </c>
      <c r="G665" s="91" t="s">
        <v>279</v>
      </c>
      <c r="H665" s="91" t="s">
        <v>13</v>
      </c>
      <c r="I665" s="91" t="s">
        <v>235</v>
      </c>
      <c r="J665" s="92" t="s">
        <v>280</v>
      </c>
      <c r="K665" s="93">
        <v>3.8</v>
      </c>
      <c r="L665" s="93">
        <f>K665*VLOOKUP(H665,dagsoorttabel1,2,FALSE)</f>
        <v>0.76</v>
      </c>
      <c r="M665" s="94">
        <f>prodnorm100</f>
        <v>0</v>
      </c>
      <c r="N665" s="91" t="s">
        <v>101</v>
      </c>
      <c r="O665" s="26">
        <f>uurtarief100</f>
        <v>0</v>
      </c>
      <c r="P665" s="93" t="e">
        <f>IF(ISBLANK(M665),0,L665/ROUND(M665,4))</f>
        <v>#DIV/0!</v>
      </c>
      <c r="Q665" s="26" t="e">
        <f>ROUND(O665,2)*P665</f>
        <v>#DIV/0!</v>
      </c>
      <c r="R665" s="93" t="e">
        <f>P665*dagenperjaar1</f>
        <v>#DIV/0!</v>
      </c>
      <c r="S665" s="27" t="e">
        <f>R665*ROUND(O665,2)</f>
        <v>#DIV/0!</v>
      </c>
    </row>
    <row r="666" spans="1:19" x14ac:dyDescent="0.2">
      <c r="A666" s="90" t="s">
        <v>908</v>
      </c>
      <c r="B666" s="91" t="s">
        <v>35</v>
      </c>
      <c r="C666" s="91" t="s">
        <v>313</v>
      </c>
      <c r="D666" s="91" t="s">
        <v>394</v>
      </c>
      <c r="E666" s="92" t="s">
        <v>438</v>
      </c>
      <c r="F666" s="91" t="s">
        <v>427</v>
      </c>
      <c r="G666" s="91" t="s">
        <v>352</v>
      </c>
      <c r="H666" s="91"/>
      <c r="I666" s="91"/>
      <c r="J666" s="91"/>
      <c r="K666" s="93">
        <v>8.1999999999999993</v>
      </c>
      <c r="L666" s="93"/>
      <c r="M666" s="94"/>
      <c r="N666" s="91"/>
      <c r="O666" s="26"/>
      <c r="P666" s="93"/>
      <c r="Q666" s="26"/>
      <c r="R666" s="95"/>
      <c r="S666" s="27"/>
    </row>
    <row r="667" spans="1:19" x14ac:dyDescent="0.2">
      <c r="A667" s="90" t="s">
        <v>908</v>
      </c>
      <c r="B667" s="91" t="s">
        <v>35</v>
      </c>
      <c r="C667" s="91" t="s">
        <v>313</v>
      </c>
      <c r="D667" s="91" t="s">
        <v>395</v>
      </c>
      <c r="E667" s="92" t="s">
        <v>517</v>
      </c>
      <c r="F667" s="91" t="s">
        <v>361</v>
      </c>
      <c r="G667" s="91" t="s">
        <v>260</v>
      </c>
      <c r="H667" s="91" t="s">
        <v>13</v>
      </c>
      <c r="I667" s="91" t="s">
        <v>235</v>
      </c>
      <c r="J667" s="92" t="s">
        <v>261</v>
      </c>
      <c r="K667" s="93">
        <v>70.25</v>
      </c>
      <c r="L667" s="93">
        <f>K667*VLOOKUP(H667,dagsoorttabel1,2,FALSE)</f>
        <v>14.05</v>
      </c>
      <c r="M667" s="94">
        <f>prodnorm75</f>
        <v>0</v>
      </c>
      <c r="N667" s="91" t="s">
        <v>101</v>
      </c>
      <c r="O667" s="26">
        <f>uurtarief75</f>
        <v>0</v>
      </c>
      <c r="P667" s="93" t="e">
        <f>IF(ISBLANK(M667),0,L667/ROUND(M667,4))</f>
        <v>#DIV/0!</v>
      </c>
      <c r="Q667" s="26" t="e">
        <f>ROUND(O667,2)*P667</f>
        <v>#DIV/0!</v>
      </c>
      <c r="R667" s="93" t="e">
        <f>P667*dagenperjaar1</f>
        <v>#DIV/0!</v>
      </c>
      <c r="S667" s="27" t="e">
        <f>R667*ROUND(O667,2)</f>
        <v>#DIV/0!</v>
      </c>
    </row>
    <row r="668" spans="1:19" x14ac:dyDescent="0.2">
      <c r="A668" s="90" t="s">
        <v>908</v>
      </c>
      <c r="B668" s="91" t="s">
        <v>35</v>
      </c>
      <c r="C668" s="91" t="s">
        <v>313</v>
      </c>
      <c r="D668" s="91" t="s">
        <v>397</v>
      </c>
      <c r="E668" s="92" t="s">
        <v>467</v>
      </c>
      <c r="F668" s="91" t="s">
        <v>361</v>
      </c>
      <c r="G668" s="91" t="s">
        <v>266</v>
      </c>
      <c r="H668" s="91" t="s">
        <v>13</v>
      </c>
      <c r="I668" s="91" t="s">
        <v>235</v>
      </c>
      <c r="J668" s="92" t="s">
        <v>267</v>
      </c>
      <c r="K668" s="93">
        <v>9.1999999999999993</v>
      </c>
      <c r="L668" s="93">
        <f>K668*VLOOKUP(H668,dagsoorttabel1,2,FALSE)</f>
        <v>1.8399999999999999</v>
      </c>
      <c r="M668" s="94">
        <f>prodnorm83</f>
        <v>0</v>
      </c>
      <c r="N668" s="91" t="s">
        <v>101</v>
      </c>
      <c r="O668" s="26">
        <f>uurtarief83</f>
        <v>0</v>
      </c>
      <c r="P668" s="93" t="e">
        <f>IF(ISBLANK(M668),0,L668/ROUND(M668,4))</f>
        <v>#DIV/0!</v>
      </c>
      <c r="Q668" s="26" t="e">
        <f>ROUND(O668,2)*P668</f>
        <v>#DIV/0!</v>
      </c>
      <c r="R668" s="93" t="e">
        <f>P668*dagenperjaar1</f>
        <v>#DIV/0!</v>
      </c>
      <c r="S668" s="27" t="e">
        <f>R668*ROUND(O668,2)</f>
        <v>#DIV/0!</v>
      </c>
    </row>
    <row r="669" spans="1:19" x14ac:dyDescent="0.2">
      <c r="A669" s="90" t="s">
        <v>908</v>
      </c>
      <c r="B669" s="91" t="s">
        <v>35</v>
      </c>
      <c r="C669" s="91" t="s">
        <v>313</v>
      </c>
      <c r="D669" s="91" t="s">
        <v>399</v>
      </c>
      <c r="E669" s="92" t="s">
        <v>439</v>
      </c>
      <c r="F669" s="91" t="s">
        <v>347</v>
      </c>
      <c r="G669" s="91" t="s">
        <v>270</v>
      </c>
      <c r="H669" s="91" t="s">
        <v>13</v>
      </c>
      <c r="I669" s="91" t="s">
        <v>235</v>
      </c>
      <c r="J669" s="92" t="s">
        <v>271</v>
      </c>
      <c r="K669" s="93">
        <v>45.5</v>
      </c>
      <c r="L669" s="93">
        <f>K669*VLOOKUP(H669,dagsoorttabel1,2,FALSE)</f>
        <v>9.1</v>
      </c>
      <c r="M669" s="94">
        <f>prodnorm89</f>
        <v>0</v>
      </c>
      <c r="N669" s="91" t="s">
        <v>101</v>
      </c>
      <c r="O669" s="26">
        <f>uurtarief89</f>
        <v>0</v>
      </c>
      <c r="P669" s="93" t="e">
        <f>IF(ISBLANK(M669),0,L669/ROUND(M669,4))</f>
        <v>#DIV/0!</v>
      </c>
      <c r="Q669" s="26" t="e">
        <f>ROUND(O669,2)*P669</f>
        <v>#DIV/0!</v>
      </c>
      <c r="R669" s="93" t="e">
        <f>P669*dagenperjaar1</f>
        <v>#DIV/0!</v>
      </c>
      <c r="S669" s="27" t="e">
        <f>R669*ROUND(O669,2)</f>
        <v>#DIV/0!</v>
      </c>
    </row>
    <row r="670" spans="1:19" x14ac:dyDescent="0.2">
      <c r="A670" s="90" t="s">
        <v>908</v>
      </c>
      <c r="B670" s="91" t="s">
        <v>35</v>
      </c>
      <c r="C670" s="91" t="s">
        <v>343</v>
      </c>
      <c r="D670" s="91" t="s">
        <v>344</v>
      </c>
      <c r="E670" s="92" t="s">
        <v>509</v>
      </c>
      <c r="F670" s="91" t="s">
        <v>387</v>
      </c>
      <c r="G670" s="91" t="s">
        <v>285</v>
      </c>
      <c r="H670" s="91" t="s">
        <v>13</v>
      </c>
      <c r="I670" s="91" t="s">
        <v>235</v>
      </c>
      <c r="J670" s="92" t="s">
        <v>286</v>
      </c>
      <c r="K670" s="93">
        <v>8</v>
      </c>
      <c r="L670" s="93">
        <f>K670*VLOOKUP(H670,dagsoorttabel1,2,FALSE)</f>
        <v>1.6</v>
      </c>
      <c r="M670" s="94">
        <f>prodnorm109</f>
        <v>0</v>
      </c>
      <c r="N670" s="91" t="s">
        <v>101</v>
      </c>
      <c r="O670" s="26">
        <f>uurtarief109</f>
        <v>0</v>
      </c>
      <c r="P670" s="93" t="e">
        <f>IF(ISBLANK(M670),0,L670/ROUND(M670,4))</f>
        <v>#DIV/0!</v>
      </c>
      <c r="Q670" s="26" t="e">
        <f>ROUND(O670,2)*P670</f>
        <v>#DIV/0!</v>
      </c>
      <c r="R670" s="93" t="e">
        <f>P670*dagenperjaar1</f>
        <v>#DIV/0!</v>
      </c>
      <c r="S670" s="27" t="e">
        <f>R670*ROUND(O670,2)</f>
        <v>#DIV/0!</v>
      </c>
    </row>
    <row r="671" spans="1:19" x14ac:dyDescent="0.2">
      <c r="A671" s="90" t="s">
        <v>908</v>
      </c>
      <c r="B671" s="91" t="s">
        <v>35</v>
      </c>
      <c r="C671" s="91" t="s">
        <v>343</v>
      </c>
      <c r="D671" s="91" t="s">
        <v>345</v>
      </c>
      <c r="E671" s="92" t="s">
        <v>421</v>
      </c>
      <c r="F671" s="91" t="s">
        <v>387</v>
      </c>
      <c r="G671" s="91" t="s">
        <v>241</v>
      </c>
      <c r="H671" s="91" t="s">
        <v>13</v>
      </c>
      <c r="I671" s="91" t="s">
        <v>235</v>
      </c>
      <c r="J671" s="92" t="s">
        <v>242</v>
      </c>
      <c r="K671" s="93">
        <v>28.75</v>
      </c>
      <c r="L671" s="93">
        <f>K671*VLOOKUP(H671,dagsoorttabel1,2,FALSE)</f>
        <v>5.75</v>
      </c>
      <c r="M671" s="94">
        <f>prodnorm56</f>
        <v>0</v>
      </c>
      <c r="N671" s="91" t="s">
        <v>101</v>
      </c>
      <c r="O671" s="26">
        <f>uurtarief56</f>
        <v>0</v>
      </c>
      <c r="P671" s="93" t="e">
        <f>IF(ISBLANK(M671),0,L671/ROUND(M671,4))</f>
        <v>#DIV/0!</v>
      </c>
      <c r="Q671" s="26" t="e">
        <f>ROUND(O671,2)*P671</f>
        <v>#DIV/0!</v>
      </c>
      <c r="R671" s="93" t="e">
        <f>P671*dagenperjaar1</f>
        <v>#DIV/0!</v>
      </c>
      <c r="S671" s="27" t="e">
        <f>R671*ROUND(O671,2)</f>
        <v>#DIV/0!</v>
      </c>
    </row>
    <row r="672" spans="1:19" x14ac:dyDescent="0.2">
      <c r="A672" s="90" t="s">
        <v>908</v>
      </c>
      <c r="B672" s="91" t="s">
        <v>35</v>
      </c>
      <c r="C672" s="91" t="s">
        <v>343</v>
      </c>
      <c r="D672" s="91" t="s">
        <v>348</v>
      </c>
      <c r="E672" s="92" t="s">
        <v>909</v>
      </c>
      <c r="F672" s="91" t="s">
        <v>387</v>
      </c>
      <c r="G672" s="91" t="s">
        <v>285</v>
      </c>
      <c r="H672" s="91" t="s">
        <v>13</v>
      </c>
      <c r="I672" s="91" t="s">
        <v>235</v>
      </c>
      <c r="J672" s="92" t="s">
        <v>286</v>
      </c>
      <c r="K672" s="93">
        <v>6.55</v>
      </c>
      <c r="L672" s="93">
        <f>K672*VLOOKUP(H672,dagsoorttabel1,2,FALSE)</f>
        <v>1.31</v>
      </c>
      <c r="M672" s="94">
        <f>prodnorm109</f>
        <v>0</v>
      </c>
      <c r="N672" s="91" t="s">
        <v>101</v>
      </c>
      <c r="O672" s="26">
        <f>uurtarief109</f>
        <v>0</v>
      </c>
      <c r="P672" s="93" t="e">
        <f>IF(ISBLANK(M672),0,L672/ROUND(M672,4))</f>
        <v>#DIV/0!</v>
      </c>
      <c r="Q672" s="26" t="e">
        <f>ROUND(O672,2)*P672</f>
        <v>#DIV/0!</v>
      </c>
      <c r="R672" s="93" t="e">
        <f>P672*dagenperjaar1</f>
        <v>#DIV/0!</v>
      </c>
      <c r="S672" s="27" t="e">
        <f>R672*ROUND(O672,2)</f>
        <v>#DIV/0!</v>
      </c>
    </row>
    <row r="673" spans="1:19" x14ac:dyDescent="0.2">
      <c r="A673" s="90" t="s">
        <v>908</v>
      </c>
      <c r="B673" s="91" t="s">
        <v>35</v>
      </c>
      <c r="C673" s="91" t="s">
        <v>343</v>
      </c>
      <c r="D673" s="91" t="s">
        <v>350</v>
      </c>
      <c r="E673" s="92" t="s">
        <v>421</v>
      </c>
      <c r="F673" s="91" t="s">
        <v>387</v>
      </c>
      <c r="G673" s="91" t="s">
        <v>241</v>
      </c>
      <c r="H673" s="91" t="s">
        <v>13</v>
      </c>
      <c r="I673" s="91" t="s">
        <v>235</v>
      </c>
      <c r="J673" s="92" t="s">
        <v>242</v>
      </c>
      <c r="K673" s="93">
        <v>22.2</v>
      </c>
      <c r="L673" s="93">
        <f>K673*VLOOKUP(H673,dagsoorttabel1,2,FALSE)</f>
        <v>4.4400000000000004</v>
      </c>
      <c r="M673" s="94">
        <f>prodnorm56</f>
        <v>0</v>
      </c>
      <c r="N673" s="91" t="s">
        <v>101</v>
      </c>
      <c r="O673" s="26">
        <f>uurtarief56</f>
        <v>0</v>
      </c>
      <c r="P673" s="93" t="e">
        <f>IF(ISBLANK(M673),0,L673/ROUND(M673,4))</f>
        <v>#DIV/0!</v>
      </c>
      <c r="Q673" s="26" t="e">
        <f>ROUND(O673,2)*P673</f>
        <v>#DIV/0!</v>
      </c>
      <c r="R673" s="93" t="e">
        <f>P673*dagenperjaar1</f>
        <v>#DIV/0!</v>
      </c>
      <c r="S673" s="27" t="e">
        <f>R673*ROUND(O673,2)</f>
        <v>#DIV/0!</v>
      </c>
    </row>
    <row r="674" spans="1:19" x14ac:dyDescent="0.2">
      <c r="A674" s="96" t="s">
        <v>908</v>
      </c>
      <c r="B674" s="97" t="s">
        <v>35</v>
      </c>
      <c r="C674" s="97" t="s">
        <v>343</v>
      </c>
      <c r="D674" s="97" t="s">
        <v>353</v>
      </c>
      <c r="E674" s="98" t="s">
        <v>910</v>
      </c>
      <c r="F674" s="97" t="s">
        <v>427</v>
      </c>
      <c r="G674" s="97" t="s">
        <v>279</v>
      </c>
      <c r="H674" s="97" t="s">
        <v>13</v>
      </c>
      <c r="I674" s="97" t="s">
        <v>235</v>
      </c>
      <c r="J674" s="98" t="s">
        <v>280</v>
      </c>
      <c r="K674" s="99">
        <v>1.25</v>
      </c>
      <c r="L674" s="99">
        <f>K674*VLOOKUP(H674,dagsoorttabel1,2,FALSE)</f>
        <v>0.25</v>
      </c>
      <c r="M674" s="100">
        <f>prodnorm100</f>
        <v>0</v>
      </c>
      <c r="N674" s="97" t="s">
        <v>101</v>
      </c>
      <c r="O674" s="36">
        <f>uurtarief100</f>
        <v>0</v>
      </c>
      <c r="P674" s="99" t="e">
        <f>IF(ISBLANK(M674),0,L674/ROUND(M674,4))</f>
        <v>#DIV/0!</v>
      </c>
      <c r="Q674" s="36" t="e">
        <f>ROUND(O674,2)*P674</f>
        <v>#DIV/0!</v>
      </c>
      <c r="R674" s="99" t="e">
        <f>P674*dagenperjaar1</f>
        <v>#DIV/0!</v>
      </c>
      <c r="S674" s="37" t="e">
        <f>R674*ROUND(O674,2)</f>
        <v>#DIV/0!</v>
      </c>
    </row>
    <row r="675" spans="1:19" x14ac:dyDescent="0.2">
      <c r="A675" s="101" t="s">
        <v>356</v>
      </c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6" t="e">
        <f>IF(_xlfn.SINGLE(object18_urenjaar1)&gt;0,_xlfn.SINGLE(object18_prijsjaar1)/_xlfn.SINGLE(object18_urenjaar1),0)</f>
        <v>#DIV/0!</v>
      </c>
      <c r="P675" s="75" t="e">
        <f>SUM(P647:P674)</f>
        <v>#DIV/0!</v>
      </c>
      <c r="Q675" s="76" t="e">
        <f>SUM(Q647:Q674)</f>
        <v>#DIV/0!</v>
      </c>
      <c r="R675" s="75" t="e">
        <f>SUM(R647:R674)</f>
        <v>#DIV/0!</v>
      </c>
      <c r="S675" s="77" t="e">
        <f>SUM(S647:S674)</f>
        <v>#DIV/0!</v>
      </c>
    </row>
    <row r="676" spans="1:19" x14ac:dyDescent="0.2">
      <c r="A676" s="82" t="s">
        <v>911</v>
      </c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72"/>
    </row>
    <row r="677" spans="1:19" x14ac:dyDescent="0.2">
      <c r="A677" s="83" t="s">
        <v>912</v>
      </c>
      <c r="B677" s="84" t="s">
        <v>35</v>
      </c>
      <c r="C677" s="84" t="s">
        <v>313</v>
      </c>
      <c r="D677" s="84" t="s">
        <v>314</v>
      </c>
      <c r="E677" s="85" t="s">
        <v>913</v>
      </c>
      <c r="F677" s="84" t="s">
        <v>361</v>
      </c>
      <c r="G677" s="84" t="s">
        <v>287</v>
      </c>
      <c r="H677" s="84" t="s">
        <v>13</v>
      </c>
      <c r="I677" s="84" t="s">
        <v>235</v>
      </c>
      <c r="J677" s="85" t="s">
        <v>288</v>
      </c>
      <c r="K677" s="86">
        <v>20</v>
      </c>
      <c r="L677" s="86">
        <f>K677*VLOOKUP(H677,dagsoorttabel1,2,FALSE)</f>
        <v>4</v>
      </c>
      <c r="M677" s="87">
        <f>prodnorm112</f>
        <v>0</v>
      </c>
      <c r="N677" s="84" t="s">
        <v>101</v>
      </c>
      <c r="O677" s="88">
        <f>uurtarief112</f>
        <v>0</v>
      </c>
      <c r="P677" s="86" t="e">
        <f>IF(ISBLANK(M677),0,L677/ROUND(M677,4))</f>
        <v>#DIV/0!</v>
      </c>
      <c r="Q677" s="88" t="e">
        <f>ROUND(O677,2)*P677</f>
        <v>#DIV/0!</v>
      </c>
      <c r="R677" s="86" t="e">
        <f>P677*dagenperjaar1</f>
        <v>#DIV/0!</v>
      </c>
      <c r="S677" s="89" t="e">
        <f>R677*ROUND(O677,2)</f>
        <v>#DIV/0!</v>
      </c>
    </row>
    <row r="678" spans="1:19" x14ac:dyDescent="0.2">
      <c r="A678" s="90" t="s">
        <v>912</v>
      </c>
      <c r="B678" s="91" t="s">
        <v>35</v>
      </c>
      <c r="C678" s="91" t="s">
        <v>313</v>
      </c>
      <c r="D678" s="91" t="s">
        <v>914</v>
      </c>
      <c r="E678" s="92" t="s">
        <v>913</v>
      </c>
      <c r="F678" s="91" t="s">
        <v>915</v>
      </c>
      <c r="G678" s="91" t="s">
        <v>289</v>
      </c>
      <c r="H678" s="91" t="s">
        <v>13</v>
      </c>
      <c r="I678" s="91" t="s">
        <v>235</v>
      </c>
      <c r="J678" s="92" t="s">
        <v>290</v>
      </c>
      <c r="K678" s="93">
        <v>5.55</v>
      </c>
      <c r="L678" s="93">
        <f>K678*VLOOKUP(H678,dagsoorttabel1,2,FALSE)</f>
        <v>1.1100000000000001</v>
      </c>
      <c r="M678" s="94">
        <f>prodnorm113</f>
        <v>0</v>
      </c>
      <c r="N678" s="91" t="s">
        <v>101</v>
      </c>
      <c r="O678" s="26">
        <f>uurtarief113</f>
        <v>0</v>
      </c>
      <c r="P678" s="93" t="e">
        <f>IF(ISBLANK(M678),0,L678/ROUND(M678,4))</f>
        <v>#DIV/0!</v>
      </c>
      <c r="Q678" s="26" t="e">
        <f>ROUND(O678,2)*P678</f>
        <v>#DIV/0!</v>
      </c>
      <c r="R678" s="93" t="e">
        <f>P678*dagenperjaar1</f>
        <v>#DIV/0!</v>
      </c>
      <c r="S678" s="27" t="e">
        <f>R678*ROUND(O678,2)</f>
        <v>#DIV/0!</v>
      </c>
    </row>
    <row r="679" spans="1:19" x14ac:dyDescent="0.2">
      <c r="A679" s="90" t="s">
        <v>912</v>
      </c>
      <c r="B679" s="91" t="s">
        <v>35</v>
      </c>
      <c r="C679" s="91" t="s">
        <v>313</v>
      </c>
      <c r="D679" s="91" t="s">
        <v>317</v>
      </c>
      <c r="E679" s="92" t="s">
        <v>318</v>
      </c>
      <c r="F679" s="91" t="s">
        <v>385</v>
      </c>
      <c r="G679" s="91" t="s">
        <v>298</v>
      </c>
      <c r="H679" s="91" t="s">
        <v>13</v>
      </c>
      <c r="I679" s="91" t="s">
        <v>235</v>
      </c>
      <c r="J679" s="92" t="s">
        <v>299</v>
      </c>
      <c r="K679" s="93">
        <v>8</v>
      </c>
      <c r="L679" s="93">
        <f>K679*VLOOKUP(H679,dagsoorttabel1,2,FALSE)</f>
        <v>1.6</v>
      </c>
      <c r="M679" s="94">
        <f>prodnorm124</f>
        <v>0</v>
      </c>
      <c r="N679" s="91" t="s">
        <v>101</v>
      </c>
      <c r="O679" s="26">
        <f>uurtarief124</f>
        <v>0</v>
      </c>
      <c r="P679" s="93" t="e">
        <f>IF(ISBLANK(M679),0,L679/ROUND(M679,4))</f>
        <v>#DIV/0!</v>
      </c>
      <c r="Q679" s="26" t="e">
        <f>ROUND(O679,2)*P679</f>
        <v>#DIV/0!</v>
      </c>
      <c r="R679" s="93" t="e">
        <f>P679*dagenperjaar1</f>
        <v>#DIV/0!</v>
      </c>
      <c r="S679" s="27" t="e">
        <f>R679*ROUND(O679,2)</f>
        <v>#DIV/0!</v>
      </c>
    </row>
    <row r="680" spans="1:19" x14ac:dyDescent="0.2">
      <c r="A680" s="90" t="s">
        <v>912</v>
      </c>
      <c r="B680" s="91" t="s">
        <v>35</v>
      </c>
      <c r="C680" s="91" t="s">
        <v>313</v>
      </c>
      <c r="D680" s="91" t="s">
        <v>320</v>
      </c>
      <c r="E680" s="92" t="s">
        <v>380</v>
      </c>
      <c r="F680" s="91" t="s">
        <v>329</v>
      </c>
      <c r="G680" s="91" t="s">
        <v>352</v>
      </c>
      <c r="H680" s="91"/>
      <c r="I680" s="91"/>
      <c r="J680" s="91"/>
      <c r="K680" s="93">
        <v>1.7</v>
      </c>
      <c r="L680" s="93"/>
      <c r="M680" s="94"/>
      <c r="N680" s="91"/>
      <c r="O680" s="26"/>
      <c r="P680" s="93"/>
      <c r="Q680" s="26"/>
      <c r="R680" s="95"/>
      <c r="S680" s="27"/>
    </row>
    <row r="681" spans="1:19" x14ac:dyDescent="0.2">
      <c r="A681" s="90" t="s">
        <v>912</v>
      </c>
      <c r="B681" s="91" t="s">
        <v>35</v>
      </c>
      <c r="C681" s="91" t="s">
        <v>313</v>
      </c>
      <c r="D681" s="91" t="s">
        <v>322</v>
      </c>
      <c r="E681" s="92" t="s">
        <v>365</v>
      </c>
      <c r="F681" s="91" t="s">
        <v>329</v>
      </c>
      <c r="G681" s="91" t="s">
        <v>279</v>
      </c>
      <c r="H681" s="91" t="s">
        <v>13</v>
      </c>
      <c r="I681" s="91" t="s">
        <v>235</v>
      </c>
      <c r="J681" s="92" t="s">
        <v>280</v>
      </c>
      <c r="K681" s="93">
        <v>3.7</v>
      </c>
      <c r="L681" s="93">
        <f>K681*VLOOKUP(H681,dagsoorttabel1,2,FALSE)</f>
        <v>0.7400000000000001</v>
      </c>
      <c r="M681" s="94">
        <f>prodnorm100</f>
        <v>0</v>
      </c>
      <c r="N681" s="91" t="s">
        <v>101</v>
      </c>
      <c r="O681" s="26">
        <f>uurtarief100</f>
        <v>0</v>
      </c>
      <c r="P681" s="93" t="e">
        <f>IF(ISBLANK(M681),0,L681/ROUND(M681,4))</f>
        <v>#DIV/0!</v>
      </c>
      <c r="Q681" s="26" t="e">
        <f>ROUND(O681,2)*P681</f>
        <v>#DIV/0!</v>
      </c>
      <c r="R681" s="93" t="e">
        <f>P681*dagenperjaar1</f>
        <v>#DIV/0!</v>
      </c>
      <c r="S681" s="27" t="e">
        <f>R681*ROUND(O681,2)</f>
        <v>#DIV/0!</v>
      </c>
    </row>
    <row r="682" spans="1:19" x14ac:dyDescent="0.2">
      <c r="A682" s="90" t="s">
        <v>912</v>
      </c>
      <c r="B682" s="91" t="s">
        <v>35</v>
      </c>
      <c r="C682" s="91" t="s">
        <v>313</v>
      </c>
      <c r="D682" s="91" t="s">
        <v>324</v>
      </c>
      <c r="E682" s="92" t="s">
        <v>375</v>
      </c>
      <c r="F682" s="91" t="s">
        <v>361</v>
      </c>
      <c r="G682" s="91" t="s">
        <v>268</v>
      </c>
      <c r="H682" s="91" t="s">
        <v>13</v>
      </c>
      <c r="I682" s="91" t="s">
        <v>235</v>
      </c>
      <c r="J682" s="92" t="s">
        <v>269</v>
      </c>
      <c r="K682" s="93">
        <v>11.5</v>
      </c>
      <c r="L682" s="93">
        <f>K682*VLOOKUP(H682,dagsoorttabel1,2,FALSE)</f>
        <v>2.3000000000000003</v>
      </c>
      <c r="M682" s="94">
        <f>prodnorm86</f>
        <v>0</v>
      </c>
      <c r="N682" s="91" t="s">
        <v>101</v>
      </c>
      <c r="O682" s="26">
        <f>uurtarief86</f>
        <v>0</v>
      </c>
      <c r="P682" s="93" t="e">
        <f>IF(ISBLANK(M682),0,L682/ROUND(M682,4))</f>
        <v>#DIV/0!</v>
      </c>
      <c r="Q682" s="26" t="e">
        <f>ROUND(O682,2)*P682</f>
        <v>#DIV/0!</v>
      </c>
      <c r="R682" s="93" t="e">
        <f>P682*dagenperjaar1</f>
        <v>#DIV/0!</v>
      </c>
      <c r="S682" s="27" t="e">
        <f>R682*ROUND(O682,2)</f>
        <v>#DIV/0!</v>
      </c>
    </row>
    <row r="683" spans="1:19" x14ac:dyDescent="0.2">
      <c r="A683" s="90" t="s">
        <v>912</v>
      </c>
      <c r="B683" s="91" t="s">
        <v>35</v>
      </c>
      <c r="C683" s="91" t="s">
        <v>313</v>
      </c>
      <c r="D683" s="91" t="s">
        <v>327</v>
      </c>
      <c r="E683" s="92" t="s">
        <v>882</v>
      </c>
      <c r="F683" s="91" t="s">
        <v>361</v>
      </c>
      <c r="G683" s="91" t="s">
        <v>270</v>
      </c>
      <c r="H683" s="91" t="s">
        <v>13</v>
      </c>
      <c r="I683" s="91" t="s">
        <v>235</v>
      </c>
      <c r="J683" s="92" t="s">
        <v>271</v>
      </c>
      <c r="K683" s="93">
        <v>25.5</v>
      </c>
      <c r="L683" s="93">
        <f>K683*VLOOKUP(H683,dagsoorttabel1,2,FALSE)</f>
        <v>5.1000000000000005</v>
      </c>
      <c r="M683" s="94">
        <f>prodnorm89</f>
        <v>0</v>
      </c>
      <c r="N683" s="91" t="s">
        <v>101</v>
      </c>
      <c r="O683" s="26">
        <f>uurtarief89</f>
        <v>0</v>
      </c>
      <c r="P683" s="93" t="e">
        <f>IF(ISBLANK(M683),0,L683/ROUND(M683,4))</f>
        <v>#DIV/0!</v>
      </c>
      <c r="Q683" s="26" t="e">
        <f>ROUND(O683,2)*P683</f>
        <v>#DIV/0!</v>
      </c>
      <c r="R683" s="93" t="e">
        <f>P683*dagenperjaar1</f>
        <v>#DIV/0!</v>
      </c>
      <c r="S683" s="27" t="e">
        <f>R683*ROUND(O683,2)</f>
        <v>#DIV/0!</v>
      </c>
    </row>
    <row r="684" spans="1:19" x14ac:dyDescent="0.2">
      <c r="A684" s="90" t="s">
        <v>912</v>
      </c>
      <c r="B684" s="91" t="s">
        <v>35</v>
      </c>
      <c r="C684" s="91" t="s">
        <v>313</v>
      </c>
      <c r="D684" s="91" t="s">
        <v>330</v>
      </c>
      <c r="E684" s="92" t="s">
        <v>916</v>
      </c>
      <c r="F684" s="91" t="s">
        <v>329</v>
      </c>
      <c r="G684" s="91" t="s">
        <v>277</v>
      </c>
      <c r="H684" s="91" t="s">
        <v>13</v>
      </c>
      <c r="I684" s="91" t="s">
        <v>235</v>
      </c>
      <c r="J684" s="92" t="s">
        <v>278</v>
      </c>
      <c r="K684" s="93">
        <v>29.3</v>
      </c>
      <c r="L684" s="93">
        <f>K684*VLOOKUP(H684,dagsoorttabel1,2,FALSE)</f>
        <v>5.86</v>
      </c>
      <c r="M684" s="94">
        <f>prodnorm97</f>
        <v>0</v>
      </c>
      <c r="N684" s="91" t="s">
        <v>101</v>
      </c>
      <c r="O684" s="26">
        <f>uurtarief97</f>
        <v>0</v>
      </c>
      <c r="P684" s="93" t="e">
        <f>IF(ISBLANK(M684),0,L684/ROUND(M684,4))</f>
        <v>#DIV/0!</v>
      </c>
      <c r="Q684" s="26" t="e">
        <f>ROUND(O684,2)*P684</f>
        <v>#DIV/0!</v>
      </c>
      <c r="R684" s="93" t="e">
        <f>P684*dagenperjaar1</f>
        <v>#DIV/0!</v>
      </c>
      <c r="S684" s="27" t="e">
        <f>R684*ROUND(O684,2)</f>
        <v>#DIV/0!</v>
      </c>
    </row>
    <row r="685" spans="1:19" x14ac:dyDescent="0.2">
      <c r="A685" s="90" t="s">
        <v>912</v>
      </c>
      <c r="B685" s="91" t="s">
        <v>35</v>
      </c>
      <c r="C685" s="91" t="s">
        <v>313</v>
      </c>
      <c r="D685" s="91" t="s">
        <v>332</v>
      </c>
      <c r="E685" s="92" t="s">
        <v>917</v>
      </c>
      <c r="F685" s="91" t="s">
        <v>329</v>
      </c>
      <c r="G685" s="91" t="s">
        <v>277</v>
      </c>
      <c r="H685" s="91" t="s">
        <v>13</v>
      </c>
      <c r="I685" s="91" t="s">
        <v>235</v>
      </c>
      <c r="J685" s="92" t="s">
        <v>278</v>
      </c>
      <c r="K685" s="93">
        <v>20.5</v>
      </c>
      <c r="L685" s="93">
        <f>K685*VLOOKUP(H685,dagsoorttabel1,2,FALSE)</f>
        <v>4.1000000000000005</v>
      </c>
      <c r="M685" s="94">
        <f>prodnorm97</f>
        <v>0</v>
      </c>
      <c r="N685" s="91" t="s">
        <v>101</v>
      </c>
      <c r="O685" s="26">
        <f>uurtarief97</f>
        <v>0</v>
      </c>
      <c r="P685" s="93" t="e">
        <f>IF(ISBLANK(M685),0,L685/ROUND(M685,4))</f>
        <v>#DIV/0!</v>
      </c>
      <c r="Q685" s="26" t="e">
        <f>ROUND(O685,2)*P685</f>
        <v>#DIV/0!</v>
      </c>
      <c r="R685" s="93" t="e">
        <f>P685*dagenperjaar1</f>
        <v>#DIV/0!</v>
      </c>
      <c r="S685" s="27" t="e">
        <f>R685*ROUND(O685,2)</f>
        <v>#DIV/0!</v>
      </c>
    </row>
    <row r="686" spans="1:19" x14ac:dyDescent="0.2">
      <c r="A686" s="90" t="s">
        <v>912</v>
      </c>
      <c r="B686" s="91" t="s">
        <v>35</v>
      </c>
      <c r="C686" s="91" t="s">
        <v>313</v>
      </c>
      <c r="D686" s="91" t="s">
        <v>334</v>
      </c>
      <c r="E686" s="92" t="s">
        <v>918</v>
      </c>
      <c r="F686" s="91" t="s">
        <v>329</v>
      </c>
      <c r="G686" s="91" t="s">
        <v>275</v>
      </c>
      <c r="H686" s="91" t="s">
        <v>13</v>
      </c>
      <c r="I686" s="91" t="s">
        <v>235</v>
      </c>
      <c r="J686" s="92" t="s">
        <v>276</v>
      </c>
      <c r="K686" s="93">
        <v>8.129999999999999</v>
      </c>
      <c r="L686" s="93">
        <f>K686*VLOOKUP(H686,dagsoorttabel1,2,FALSE)</f>
        <v>1.6259999999999999</v>
      </c>
      <c r="M686" s="94">
        <f>prodnorm94</f>
        <v>0</v>
      </c>
      <c r="N686" s="91" t="s">
        <v>101</v>
      </c>
      <c r="O686" s="26">
        <f>uurtarief94</f>
        <v>0</v>
      </c>
      <c r="P686" s="93" t="e">
        <f>IF(ISBLANK(M686),0,L686/ROUND(M686,4))</f>
        <v>#DIV/0!</v>
      </c>
      <c r="Q686" s="26" t="e">
        <f>ROUND(O686,2)*P686</f>
        <v>#DIV/0!</v>
      </c>
      <c r="R686" s="93" t="e">
        <f>P686*dagenperjaar1</f>
        <v>#DIV/0!</v>
      </c>
      <c r="S686" s="27" t="e">
        <f>R686*ROUND(O686,2)</f>
        <v>#DIV/0!</v>
      </c>
    </row>
    <row r="687" spans="1:19" x14ac:dyDescent="0.2">
      <c r="A687" s="90" t="s">
        <v>912</v>
      </c>
      <c r="B687" s="91" t="s">
        <v>35</v>
      </c>
      <c r="C687" s="91" t="s">
        <v>313</v>
      </c>
      <c r="D687" s="91" t="s">
        <v>336</v>
      </c>
      <c r="E687" s="92" t="s">
        <v>328</v>
      </c>
      <c r="F687" s="91" t="s">
        <v>329</v>
      </c>
      <c r="G687" s="91" t="s">
        <v>275</v>
      </c>
      <c r="H687" s="91" t="s">
        <v>13</v>
      </c>
      <c r="I687" s="91" t="s">
        <v>235</v>
      </c>
      <c r="J687" s="92" t="s">
        <v>276</v>
      </c>
      <c r="K687" s="93">
        <v>5.6</v>
      </c>
      <c r="L687" s="93">
        <f>K687*VLOOKUP(H687,dagsoorttabel1,2,FALSE)</f>
        <v>1.1199999999999999</v>
      </c>
      <c r="M687" s="94">
        <f>prodnorm94</f>
        <v>0</v>
      </c>
      <c r="N687" s="91" t="s">
        <v>101</v>
      </c>
      <c r="O687" s="26">
        <f>uurtarief94</f>
        <v>0</v>
      </c>
      <c r="P687" s="93" t="e">
        <f>IF(ISBLANK(M687),0,L687/ROUND(M687,4))</f>
        <v>#DIV/0!</v>
      </c>
      <c r="Q687" s="26" t="e">
        <f>ROUND(O687,2)*P687</f>
        <v>#DIV/0!</v>
      </c>
      <c r="R687" s="93" t="e">
        <f>P687*dagenperjaar1</f>
        <v>#DIV/0!</v>
      </c>
      <c r="S687" s="27" t="e">
        <f>R687*ROUND(O687,2)</f>
        <v>#DIV/0!</v>
      </c>
    </row>
    <row r="688" spans="1:19" x14ac:dyDescent="0.2">
      <c r="A688" s="90" t="s">
        <v>912</v>
      </c>
      <c r="B688" s="91" t="s">
        <v>35</v>
      </c>
      <c r="C688" s="91" t="s">
        <v>313</v>
      </c>
      <c r="D688" s="91" t="s">
        <v>919</v>
      </c>
      <c r="E688" s="92" t="s">
        <v>878</v>
      </c>
      <c r="F688" s="91" t="s">
        <v>329</v>
      </c>
      <c r="G688" s="91" t="s">
        <v>279</v>
      </c>
      <c r="H688" s="91" t="s">
        <v>13</v>
      </c>
      <c r="I688" s="91" t="s">
        <v>235</v>
      </c>
      <c r="J688" s="92" t="s">
        <v>280</v>
      </c>
      <c r="K688" s="93">
        <v>1.3</v>
      </c>
      <c r="L688" s="93">
        <f>K688*VLOOKUP(H688,dagsoorttabel1,2,FALSE)</f>
        <v>0.26</v>
      </c>
      <c r="M688" s="94">
        <f>prodnorm100</f>
        <v>0</v>
      </c>
      <c r="N688" s="91" t="s">
        <v>101</v>
      </c>
      <c r="O688" s="26">
        <f>uurtarief100</f>
        <v>0</v>
      </c>
      <c r="P688" s="93" t="e">
        <f>IF(ISBLANK(M688),0,L688/ROUND(M688,4))</f>
        <v>#DIV/0!</v>
      </c>
      <c r="Q688" s="26" t="e">
        <f>ROUND(O688,2)*P688</f>
        <v>#DIV/0!</v>
      </c>
      <c r="R688" s="93" t="e">
        <f>P688*dagenperjaar1</f>
        <v>#DIV/0!</v>
      </c>
      <c r="S688" s="27" t="e">
        <f>R688*ROUND(O688,2)</f>
        <v>#DIV/0!</v>
      </c>
    </row>
    <row r="689" spans="1:19" x14ac:dyDescent="0.2">
      <c r="A689" s="90" t="s">
        <v>912</v>
      </c>
      <c r="B689" s="91" t="s">
        <v>35</v>
      </c>
      <c r="C689" s="91" t="s">
        <v>313</v>
      </c>
      <c r="D689" s="91" t="s">
        <v>338</v>
      </c>
      <c r="E689" s="92" t="s">
        <v>340</v>
      </c>
      <c r="F689" s="91" t="s">
        <v>920</v>
      </c>
      <c r="G689" s="91" t="s">
        <v>252</v>
      </c>
      <c r="H689" s="91" t="s">
        <v>21</v>
      </c>
      <c r="I689" s="91" t="s">
        <v>235</v>
      </c>
      <c r="J689" s="92" t="s">
        <v>253</v>
      </c>
      <c r="K689" s="93">
        <v>370</v>
      </c>
      <c r="L689" s="93">
        <f>K689*VLOOKUP(H689,dagsoorttabel1,2,FALSE)</f>
        <v>1.4230769230769231</v>
      </c>
      <c r="M689" s="94">
        <f>prodnorm67</f>
        <v>0</v>
      </c>
      <c r="N689" s="91" t="s">
        <v>101</v>
      </c>
      <c r="O689" s="26">
        <f>uurtarief67</f>
        <v>0</v>
      </c>
      <c r="P689" s="93" t="e">
        <f>IF(ISBLANK(M689),0,L689/ROUND(M689,4))</f>
        <v>#DIV/0!</v>
      </c>
      <c r="Q689" s="26" t="e">
        <f>ROUND(O689,2)*P689</f>
        <v>#DIV/0!</v>
      </c>
      <c r="R689" s="93" t="e">
        <f>P689*dagenperjaar1</f>
        <v>#DIV/0!</v>
      </c>
      <c r="S689" s="27" t="e">
        <f>R689*ROUND(O689,2)</f>
        <v>#DIV/0!</v>
      </c>
    </row>
    <row r="690" spans="1:19" x14ac:dyDescent="0.2">
      <c r="A690" s="90" t="s">
        <v>912</v>
      </c>
      <c r="B690" s="91" t="s">
        <v>35</v>
      </c>
      <c r="C690" s="91" t="s">
        <v>313</v>
      </c>
      <c r="D690" s="91" t="s">
        <v>339</v>
      </c>
      <c r="E690" s="92" t="s">
        <v>366</v>
      </c>
      <c r="F690" s="91" t="s">
        <v>329</v>
      </c>
      <c r="G690" s="91" t="s">
        <v>352</v>
      </c>
      <c r="H690" s="91"/>
      <c r="I690" s="91"/>
      <c r="J690" s="91"/>
      <c r="K690" s="93">
        <v>17</v>
      </c>
      <c r="L690" s="93"/>
      <c r="M690" s="94"/>
      <c r="N690" s="91"/>
      <c r="O690" s="26"/>
      <c r="P690" s="93"/>
      <c r="Q690" s="26"/>
      <c r="R690" s="95"/>
      <c r="S690" s="27"/>
    </row>
    <row r="691" spans="1:19" x14ac:dyDescent="0.2">
      <c r="A691" s="90" t="s">
        <v>912</v>
      </c>
      <c r="B691" s="91" t="s">
        <v>35</v>
      </c>
      <c r="C691" s="91" t="s">
        <v>313</v>
      </c>
      <c r="D691" s="91" t="s">
        <v>341</v>
      </c>
      <c r="E691" s="92" t="s">
        <v>921</v>
      </c>
      <c r="F691" s="91" t="s">
        <v>329</v>
      </c>
      <c r="G691" s="91" t="s">
        <v>264</v>
      </c>
      <c r="H691" s="91" t="s">
        <v>21</v>
      </c>
      <c r="I691" s="91" t="s">
        <v>235</v>
      </c>
      <c r="J691" s="92" t="s">
        <v>265</v>
      </c>
      <c r="K691" s="93">
        <v>26.5</v>
      </c>
      <c r="L691" s="93">
        <f>K691*VLOOKUP(H691,dagsoorttabel1,2,FALSE)</f>
        <v>0.10192307692307692</v>
      </c>
      <c r="M691" s="94">
        <f>prodnorm81</f>
        <v>0</v>
      </c>
      <c r="N691" s="91" t="s">
        <v>101</v>
      </c>
      <c r="O691" s="26">
        <f>uurtarief81</f>
        <v>0</v>
      </c>
      <c r="P691" s="93" t="e">
        <f>IF(ISBLANK(M691),0,L691/ROUND(M691,4))</f>
        <v>#DIV/0!</v>
      </c>
      <c r="Q691" s="26" t="e">
        <f>ROUND(O691,2)*P691</f>
        <v>#DIV/0!</v>
      </c>
      <c r="R691" s="93" t="e">
        <f>P691*dagenperjaar1</f>
        <v>#DIV/0!</v>
      </c>
      <c r="S691" s="27" t="e">
        <f>R691*ROUND(O691,2)</f>
        <v>#DIV/0!</v>
      </c>
    </row>
    <row r="692" spans="1:19" x14ac:dyDescent="0.2">
      <c r="A692" s="90" t="s">
        <v>912</v>
      </c>
      <c r="B692" s="91" t="s">
        <v>35</v>
      </c>
      <c r="C692" s="91" t="s">
        <v>313</v>
      </c>
      <c r="D692" s="91" t="s">
        <v>372</v>
      </c>
      <c r="E692" s="92" t="s">
        <v>366</v>
      </c>
      <c r="F692" s="91" t="s">
        <v>329</v>
      </c>
      <c r="G692" s="91" t="s">
        <v>352</v>
      </c>
      <c r="H692" s="91"/>
      <c r="I692" s="91"/>
      <c r="J692" s="91"/>
      <c r="K692" s="93">
        <v>5</v>
      </c>
      <c r="L692" s="93"/>
      <c r="M692" s="94"/>
      <c r="N692" s="91"/>
      <c r="O692" s="26"/>
      <c r="P692" s="93"/>
      <c r="Q692" s="26"/>
      <c r="R692" s="95"/>
      <c r="S692" s="27"/>
    </row>
    <row r="693" spans="1:19" x14ac:dyDescent="0.2">
      <c r="A693" s="90" t="s">
        <v>912</v>
      </c>
      <c r="B693" s="91" t="s">
        <v>35</v>
      </c>
      <c r="C693" s="91" t="s">
        <v>313</v>
      </c>
      <c r="D693" s="91" t="s">
        <v>391</v>
      </c>
      <c r="E693" s="92" t="s">
        <v>922</v>
      </c>
      <c r="F693" s="91" t="s">
        <v>329</v>
      </c>
      <c r="G693" s="91" t="s">
        <v>279</v>
      </c>
      <c r="H693" s="91" t="s">
        <v>13</v>
      </c>
      <c r="I693" s="91" t="s">
        <v>235</v>
      </c>
      <c r="J693" s="92" t="s">
        <v>280</v>
      </c>
      <c r="K693" s="93">
        <v>17.7</v>
      </c>
      <c r="L693" s="93">
        <f>K693*VLOOKUP(H693,dagsoorttabel1,2,FALSE)</f>
        <v>3.54</v>
      </c>
      <c r="M693" s="94">
        <f>prodnorm100</f>
        <v>0</v>
      </c>
      <c r="N693" s="91" t="s">
        <v>101</v>
      </c>
      <c r="O693" s="26">
        <f>uurtarief100</f>
        <v>0</v>
      </c>
      <c r="P693" s="93" t="e">
        <f>IF(ISBLANK(M693),0,L693/ROUND(M693,4))</f>
        <v>#DIV/0!</v>
      </c>
      <c r="Q693" s="26" t="e">
        <f>ROUND(O693,2)*P693</f>
        <v>#DIV/0!</v>
      </c>
      <c r="R693" s="93" t="e">
        <f>P693*dagenperjaar1</f>
        <v>#DIV/0!</v>
      </c>
      <c r="S693" s="27" t="e">
        <f>R693*ROUND(O693,2)</f>
        <v>#DIV/0!</v>
      </c>
    </row>
    <row r="694" spans="1:19" x14ac:dyDescent="0.2">
      <c r="A694" s="90" t="s">
        <v>912</v>
      </c>
      <c r="B694" s="91" t="s">
        <v>35</v>
      </c>
      <c r="C694" s="91" t="s">
        <v>313</v>
      </c>
      <c r="D694" s="91" t="s">
        <v>392</v>
      </c>
      <c r="E694" s="92" t="s">
        <v>923</v>
      </c>
      <c r="F694" s="91" t="s">
        <v>385</v>
      </c>
      <c r="G694" s="91" t="s">
        <v>352</v>
      </c>
      <c r="H694" s="91"/>
      <c r="I694" s="91"/>
      <c r="J694" s="91"/>
      <c r="K694" s="93">
        <v>6.9</v>
      </c>
      <c r="L694" s="93"/>
      <c r="M694" s="94"/>
      <c r="N694" s="91"/>
      <c r="O694" s="26"/>
      <c r="P694" s="93"/>
      <c r="Q694" s="26"/>
      <c r="R694" s="95"/>
      <c r="S694" s="27"/>
    </row>
    <row r="695" spans="1:19" x14ac:dyDescent="0.2">
      <c r="A695" s="90" t="s">
        <v>912</v>
      </c>
      <c r="B695" s="91" t="s">
        <v>35</v>
      </c>
      <c r="C695" s="91" t="s">
        <v>343</v>
      </c>
      <c r="D695" s="91" t="s">
        <v>540</v>
      </c>
      <c r="E695" s="92" t="s">
        <v>898</v>
      </c>
      <c r="F695" s="91" t="s">
        <v>361</v>
      </c>
      <c r="G695" s="91" t="s">
        <v>283</v>
      </c>
      <c r="H695" s="91" t="s">
        <v>13</v>
      </c>
      <c r="I695" s="91" t="s">
        <v>235</v>
      </c>
      <c r="J695" s="92" t="s">
        <v>284</v>
      </c>
      <c r="K695" s="93">
        <v>23.5</v>
      </c>
      <c r="L695" s="93">
        <f>K695*VLOOKUP(H695,dagsoorttabel1,2,FALSE)</f>
        <v>4.7</v>
      </c>
      <c r="M695" s="94">
        <f>prodnorm106</f>
        <v>0</v>
      </c>
      <c r="N695" s="91" t="s">
        <v>101</v>
      </c>
      <c r="O695" s="26">
        <f>uurtarief106</f>
        <v>0</v>
      </c>
      <c r="P695" s="93" t="e">
        <f>IF(ISBLANK(M695),0,L695/ROUND(M695,4))</f>
        <v>#DIV/0!</v>
      </c>
      <c r="Q695" s="26" t="e">
        <f>ROUND(O695,2)*P695</f>
        <v>#DIV/0!</v>
      </c>
      <c r="R695" s="93" t="e">
        <f>P695*dagenperjaar1</f>
        <v>#DIV/0!</v>
      </c>
      <c r="S695" s="27" t="e">
        <f>R695*ROUND(O695,2)</f>
        <v>#DIV/0!</v>
      </c>
    </row>
    <row r="696" spans="1:19" x14ac:dyDescent="0.2">
      <c r="A696" s="90" t="s">
        <v>912</v>
      </c>
      <c r="B696" s="91" t="s">
        <v>35</v>
      </c>
      <c r="C696" s="91" t="s">
        <v>343</v>
      </c>
      <c r="D696" s="91" t="s">
        <v>541</v>
      </c>
      <c r="E696" s="92" t="s">
        <v>551</v>
      </c>
      <c r="F696" s="91" t="s">
        <v>329</v>
      </c>
      <c r="G696" s="91" t="s">
        <v>279</v>
      </c>
      <c r="H696" s="91" t="s">
        <v>13</v>
      </c>
      <c r="I696" s="91" t="s">
        <v>235</v>
      </c>
      <c r="J696" s="92" t="s">
        <v>280</v>
      </c>
      <c r="K696" s="93">
        <v>4.9000000000000004</v>
      </c>
      <c r="L696" s="93">
        <f>K696*VLOOKUP(H696,dagsoorttabel1,2,FALSE)</f>
        <v>0.98000000000000009</v>
      </c>
      <c r="M696" s="94">
        <f>prodnorm100</f>
        <v>0</v>
      </c>
      <c r="N696" s="91" t="s">
        <v>101</v>
      </c>
      <c r="O696" s="26">
        <f>uurtarief100</f>
        <v>0</v>
      </c>
      <c r="P696" s="93" t="e">
        <f>IF(ISBLANK(M696),0,L696/ROUND(M696,4))</f>
        <v>#DIV/0!</v>
      </c>
      <c r="Q696" s="26" t="e">
        <f>ROUND(O696,2)*P696</f>
        <v>#DIV/0!</v>
      </c>
      <c r="R696" s="93" t="e">
        <f>P696*dagenperjaar1</f>
        <v>#DIV/0!</v>
      </c>
      <c r="S696" s="27" t="e">
        <f>R696*ROUND(O696,2)</f>
        <v>#DIV/0!</v>
      </c>
    </row>
    <row r="697" spans="1:19" x14ac:dyDescent="0.2">
      <c r="A697" s="90" t="s">
        <v>912</v>
      </c>
      <c r="B697" s="91" t="s">
        <v>35</v>
      </c>
      <c r="C697" s="91" t="s">
        <v>343</v>
      </c>
      <c r="D697" s="91" t="s">
        <v>542</v>
      </c>
      <c r="E697" s="92" t="s">
        <v>562</v>
      </c>
      <c r="F697" s="91" t="s">
        <v>329</v>
      </c>
      <c r="G697" s="91" t="s">
        <v>279</v>
      </c>
      <c r="H697" s="91" t="s">
        <v>13</v>
      </c>
      <c r="I697" s="91" t="s">
        <v>235</v>
      </c>
      <c r="J697" s="92" t="s">
        <v>280</v>
      </c>
      <c r="K697" s="93">
        <v>2.1</v>
      </c>
      <c r="L697" s="93">
        <f>K697*VLOOKUP(H697,dagsoorttabel1,2,FALSE)</f>
        <v>0.42000000000000004</v>
      </c>
      <c r="M697" s="94">
        <f>prodnorm100</f>
        <v>0</v>
      </c>
      <c r="N697" s="91" t="s">
        <v>101</v>
      </c>
      <c r="O697" s="26">
        <f>uurtarief100</f>
        <v>0</v>
      </c>
      <c r="P697" s="93" t="e">
        <f>IF(ISBLANK(M697),0,L697/ROUND(M697,4))</f>
        <v>#DIV/0!</v>
      </c>
      <c r="Q697" s="26" t="e">
        <f>ROUND(O697,2)*P697</f>
        <v>#DIV/0!</v>
      </c>
      <c r="R697" s="93" t="e">
        <f>P697*dagenperjaar1</f>
        <v>#DIV/0!</v>
      </c>
      <c r="S697" s="27" t="e">
        <f>R697*ROUND(O697,2)</f>
        <v>#DIV/0!</v>
      </c>
    </row>
    <row r="698" spans="1:19" x14ac:dyDescent="0.2">
      <c r="A698" s="90" t="s">
        <v>912</v>
      </c>
      <c r="B698" s="91" t="s">
        <v>35</v>
      </c>
      <c r="C698" s="91" t="s">
        <v>343</v>
      </c>
      <c r="D698" s="91" t="s">
        <v>543</v>
      </c>
      <c r="E698" s="92" t="s">
        <v>924</v>
      </c>
      <c r="F698" s="91" t="s">
        <v>361</v>
      </c>
      <c r="G698" s="91" t="s">
        <v>239</v>
      </c>
      <c r="H698" s="91" t="s">
        <v>13</v>
      </c>
      <c r="I698" s="91" t="s">
        <v>235</v>
      </c>
      <c r="J698" s="92" t="s">
        <v>240</v>
      </c>
      <c r="K698" s="93">
        <v>78.8</v>
      </c>
      <c r="L698" s="93">
        <f>K698*VLOOKUP(H698,dagsoorttabel1,2,FALSE)</f>
        <v>15.76</v>
      </c>
      <c r="M698" s="94">
        <f>prodnorm53</f>
        <v>0</v>
      </c>
      <c r="N698" s="91" t="s">
        <v>101</v>
      </c>
      <c r="O698" s="26">
        <f>uurtarief53</f>
        <v>0</v>
      </c>
      <c r="P698" s="93" t="e">
        <f>IF(ISBLANK(M698),0,L698/ROUND(M698,4))</f>
        <v>#DIV/0!</v>
      </c>
      <c r="Q698" s="26" t="e">
        <f>ROUND(O698,2)*P698</f>
        <v>#DIV/0!</v>
      </c>
      <c r="R698" s="93" t="e">
        <f>P698*dagenperjaar1</f>
        <v>#DIV/0!</v>
      </c>
      <c r="S698" s="27" t="e">
        <f>R698*ROUND(O698,2)</f>
        <v>#DIV/0!</v>
      </c>
    </row>
    <row r="699" spans="1:19" ht="25.2" x14ac:dyDescent="0.2">
      <c r="A699" s="90" t="s">
        <v>912</v>
      </c>
      <c r="B699" s="91" t="s">
        <v>35</v>
      </c>
      <c r="C699" s="91" t="s">
        <v>343</v>
      </c>
      <c r="D699" s="91" t="s">
        <v>544</v>
      </c>
      <c r="E699" s="92" t="s">
        <v>410</v>
      </c>
      <c r="F699" s="91" t="s">
        <v>387</v>
      </c>
      <c r="G699" s="91" t="s">
        <v>250</v>
      </c>
      <c r="H699" s="91" t="s">
        <v>13</v>
      </c>
      <c r="I699" s="91" t="s">
        <v>235</v>
      </c>
      <c r="J699" s="92" t="s">
        <v>251</v>
      </c>
      <c r="K699" s="93">
        <v>19</v>
      </c>
      <c r="L699" s="93">
        <f>K699*VLOOKUP(H699,dagsoorttabel1,2,FALSE)</f>
        <v>3.8000000000000003</v>
      </c>
      <c r="M699" s="94">
        <f>prodnorm64</f>
        <v>0</v>
      </c>
      <c r="N699" s="91" t="s">
        <v>101</v>
      </c>
      <c r="O699" s="26">
        <f>uurtarief64</f>
        <v>0</v>
      </c>
      <c r="P699" s="93" t="e">
        <f>IF(ISBLANK(M699),0,L699/ROUND(M699,4))</f>
        <v>#DIV/0!</v>
      </c>
      <c r="Q699" s="26" t="e">
        <f>ROUND(O699,2)*P699</f>
        <v>#DIV/0!</v>
      </c>
      <c r="R699" s="93" t="e">
        <f>P699*dagenperjaar1</f>
        <v>#DIV/0!</v>
      </c>
      <c r="S699" s="27" t="e">
        <f>R699*ROUND(O699,2)</f>
        <v>#DIV/0!</v>
      </c>
    </row>
    <row r="700" spans="1:19" x14ac:dyDescent="0.2">
      <c r="A700" s="90" t="s">
        <v>912</v>
      </c>
      <c r="B700" s="91" t="s">
        <v>35</v>
      </c>
      <c r="C700" s="91" t="s">
        <v>343</v>
      </c>
      <c r="D700" s="91" t="s">
        <v>546</v>
      </c>
      <c r="E700" s="92" t="s">
        <v>375</v>
      </c>
      <c r="F700" s="91" t="s">
        <v>361</v>
      </c>
      <c r="G700" s="91" t="s">
        <v>268</v>
      </c>
      <c r="H700" s="91" t="s">
        <v>13</v>
      </c>
      <c r="I700" s="91" t="s">
        <v>235</v>
      </c>
      <c r="J700" s="92" t="s">
        <v>269</v>
      </c>
      <c r="K700" s="93">
        <v>3.5</v>
      </c>
      <c r="L700" s="93">
        <f>K700*VLOOKUP(H700,dagsoorttabel1,2,FALSE)</f>
        <v>0.70000000000000007</v>
      </c>
      <c r="M700" s="94">
        <f>prodnorm86</f>
        <v>0</v>
      </c>
      <c r="N700" s="91" t="s">
        <v>101</v>
      </c>
      <c r="O700" s="26">
        <f>uurtarief86</f>
        <v>0</v>
      </c>
      <c r="P700" s="93" t="e">
        <f>IF(ISBLANK(M700),0,L700/ROUND(M700,4))</f>
        <v>#DIV/0!</v>
      </c>
      <c r="Q700" s="26" t="e">
        <f>ROUND(O700,2)*P700</f>
        <v>#DIV/0!</v>
      </c>
      <c r="R700" s="93" t="e">
        <f>P700*dagenperjaar1</f>
        <v>#DIV/0!</v>
      </c>
      <c r="S700" s="27" t="e">
        <f>R700*ROUND(O700,2)</f>
        <v>#DIV/0!</v>
      </c>
    </row>
    <row r="701" spans="1:19" x14ac:dyDescent="0.2">
      <c r="A701" s="90" t="s">
        <v>912</v>
      </c>
      <c r="B701" s="91" t="s">
        <v>35</v>
      </c>
      <c r="C701" s="91" t="s">
        <v>343</v>
      </c>
      <c r="D701" s="91" t="s">
        <v>547</v>
      </c>
      <c r="E701" s="92" t="s">
        <v>326</v>
      </c>
      <c r="F701" s="91" t="s">
        <v>361</v>
      </c>
      <c r="G701" s="91" t="s">
        <v>260</v>
      </c>
      <c r="H701" s="91" t="s">
        <v>13</v>
      </c>
      <c r="I701" s="91" t="s">
        <v>235</v>
      </c>
      <c r="J701" s="92" t="s">
        <v>261</v>
      </c>
      <c r="K701" s="93">
        <v>43</v>
      </c>
      <c r="L701" s="93">
        <f>K701*VLOOKUP(H701,dagsoorttabel1,2,FALSE)</f>
        <v>8.6</v>
      </c>
      <c r="M701" s="94">
        <f>prodnorm75</f>
        <v>0</v>
      </c>
      <c r="N701" s="91" t="s">
        <v>101</v>
      </c>
      <c r="O701" s="26">
        <f>uurtarief75</f>
        <v>0</v>
      </c>
      <c r="P701" s="93" t="e">
        <f>IF(ISBLANK(M701),0,L701/ROUND(M701,4))</f>
        <v>#DIV/0!</v>
      </c>
      <c r="Q701" s="26" t="e">
        <f>ROUND(O701,2)*P701</f>
        <v>#DIV/0!</v>
      </c>
      <c r="R701" s="93" t="e">
        <f>P701*dagenperjaar1</f>
        <v>#DIV/0!</v>
      </c>
      <c r="S701" s="27" t="e">
        <f>R701*ROUND(O701,2)</f>
        <v>#DIV/0!</v>
      </c>
    </row>
    <row r="702" spans="1:19" x14ac:dyDescent="0.2">
      <c r="A702" s="90" t="s">
        <v>912</v>
      </c>
      <c r="B702" s="91" t="s">
        <v>35</v>
      </c>
      <c r="C702" s="91" t="s">
        <v>343</v>
      </c>
      <c r="D702" s="91" t="s">
        <v>925</v>
      </c>
      <c r="E702" s="92" t="s">
        <v>926</v>
      </c>
      <c r="F702" s="91" t="s">
        <v>361</v>
      </c>
      <c r="G702" s="91" t="s">
        <v>270</v>
      </c>
      <c r="H702" s="91" t="s">
        <v>13</v>
      </c>
      <c r="I702" s="91" t="s">
        <v>235</v>
      </c>
      <c r="J702" s="92" t="s">
        <v>271</v>
      </c>
      <c r="K702" s="93">
        <v>16</v>
      </c>
      <c r="L702" s="93">
        <f>K702*VLOOKUP(H702,dagsoorttabel1,2,FALSE)</f>
        <v>3.2</v>
      </c>
      <c r="M702" s="94">
        <f>prodnorm89</f>
        <v>0</v>
      </c>
      <c r="N702" s="91" t="s">
        <v>101</v>
      </c>
      <c r="O702" s="26">
        <f>uurtarief89</f>
        <v>0</v>
      </c>
      <c r="P702" s="93" t="e">
        <f>IF(ISBLANK(M702),0,L702/ROUND(M702,4))</f>
        <v>#DIV/0!</v>
      </c>
      <c r="Q702" s="26" t="e">
        <f>ROUND(O702,2)*P702</f>
        <v>#DIV/0!</v>
      </c>
      <c r="R702" s="93" t="e">
        <f>P702*dagenperjaar1</f>
        <v>#DIV/0!</v>
      </c>
      <c r="S702" s="27" t="e">
        <f>R702*ROUND(O702,2)</f>
        <v>#DIV/0!</v>
      </c>
    </row>
    <row r="703" spans="1:19" x14ac:dyDescent="0.2">
      <c r="A703" s="90" t="s">
        <v>912</v>
      </c>
      <c r="B703" s="91" t="s">
        <v>35</v>
      </c>
      <c r="C703" s="91" t="s">
        <v>343</v>
      </c>
      <c r="D703" s="91" t="s">
        <v>927</v>
      </c>
      <c r="E703" s="92" t="s">
        <v>349</v>
      </c>
      <c r="F703" s="91" t="s">
        <v>329</v>
      </c>
      <c r="G703" s="91" t="s">
        <v>266</v>
      </c>
      <c r="H703" s="91" t="s">
        <v>13</v>
      </c>
      <c r="I703" s="91" t="s">
        <v>235</v>
      </c>
      <c r="J703" s="92" t="s">
        <v>267</v>
      </c>
      <c r="K703" s="93">
        <v>6.3</v>
      </c>
      <c r="L703" s="93">
        <f>K703*VLOOKUP(H703,dagsoorttabel1,2,FALSE)</f>
        <v>1.26</v>
      </c>
      <c r="M703" s="94">
        <f>prodnorm83</f>
        <v>0</v>
      </c>
      <c r="N703" s="91" t="s">
        <v>101</v>
      </c>
      <c r="O703" s="26">
        <f>uurtarief83</f>
        <v>0</v>
      </c>
      <c r="P703" s="93" t="e">
        <f>IF(ISBLANK(M703),0,L703/ROUND(M703,4))</f>
        <v>#DIV/0!</v>
      </c>
      <c r="Q703" s="26" t="e">
        <f>ROUND(O703,2)*P703</f>
        <v>#DIV/0!</v>
      </c>
      <c r="R703" s="93" t="e">
        <f>P703*dagenperjaar1</f>
        <v>#DIV/0!</v>
      </c>
      <c r="S703" s="27" t="e">
        <f>R703*ROUND(O703,2)</f>
        <v>#DIV/0!</v>
      </c>
    </row>
    <row r="704" spans="1:19" x14ac:dyDescent="0.2">
      <c r="A704" s="90" t="s">
        <v>912</v>
      </c>
      <c r="B704" s="91" t="s">
        <v>35</v>
      </c>
      <c r="C704" s="91" t="s">
        <v>343</v>
      </c>
      <c r="D704" s="91" t="s">
        <v>928</v>
      </c>
      <c r="E704" s="92" t="s">
        <v>929</v>
      </c>
      <c r="F704" s="91" t="s">
        <v>329</v>
      </c>
      <c r="G704" s="91" t="s">
        <v>352</v>
      </c>
      <c r="H704" s="91"/>
      <c r="I704" s="91"/>
      <c r="J704" s="91"/>
      <c r="K704" s="93">
        <v>10.5</v>
      </c>
      <c r="L704" s="93"/>
      <c r="M704" s="94"/>
      <c r="N704" s="91"/>
      <c r="O704" s="26"/>
      <c r="P704" s="93"/>
      <c r="Q704" s="26"/>
      <c r="R704" s="95"/>
      <c r="S704" s="27"/>
    </row>
    <row r="705" spans="1:19" x14ac:dyDescent="0.2">
      <c r="A705" s="96" t="s">
        <v>912</v>
      </c>
      <c r="B705" s="97" t="s">
        <v>35</v>
      </c>
      <c r="C705" s="97" t="s">
        <v>343</v>
      </c>
      <c r="D705" s="97" t="s">
        <v>930</v>
      </c>
      <c r="E705" s="98" t="s">
        <v>931</v>
      </c>
      <c r="F705" s="97" t="s">
        <v>387</v>
      </c>
      <c r="G705" s="97" t="s">
        <v>241</v>
      </c>
      <c r="H705" s="97" t="s">
        <v>13</v>
      </c>
      <c r="I705" s="97" t="s">
        <v>235</v>
      </c>
      <c r="J705" s="98" t="s">
        <v>242</v>
      </c>
      <c r="K705" s="99">
        <v>5</v>
      </c>
      <c r="L705" s="99">
        <f>K705*VLOOKUP(H705,dagsoorttabel1,2,FALSE)</f>
        <v>1</v>
      </c>
      <c r="M705" s="100">
        <f>prodnorm56</f>
        <v>0</v>
      </c>
      <c r="N705" s="97" t="s">
        <v>101</v>
      </c>
      <c r="O705" s="36">
        <f>uurtarief56</f>
        <v>0</v>
      </c>
      <c r="P705" s="99" t="e">
        <f>IF(ISBLANK(M705),0,L705/ROUND(M705,4))</f>
        <v>#DIV/0!</v>
      </c>
      <c r="Q705" s="36" t="e">
        <f>ROUND(O705,2)*P705</f>
        <v>#DIV/0!</v>
      </c>
      <c r="R705" s="99" t="e">
        <f>P705*dagenperjaar1</f>
        <v>#DIV/0!</v>
      </c>
      <c r="S705" s="37" t="e">
        <f>R705*ROUND(O705,2)</f>
        <v>#DIV/0!</v>
      </c>
    </row>
    <row r="706" spans="1:19" x14ac:dyDescent="0.2">
      <c r="A706" s="101" t="s">
        <v>356</v>
      </c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6" t="e">
        <f>IF(_xlfn.SINGLE(object19_urenjaar1)&gt;0,_xlfn.SINGLE(object19_prijsjaar1)/_xlfn.SINGLE(object19_urenjaar1),0)</f>
        <v>#DIV/0!</v>
      </c>
      <c r="P706" s="75" t="e">
        <f>SUM(P677:P705)</f>
        <v>#DIV/0!</v>
      </c>
      <c r="Q706" s="76" t="e">
        <f>SUM(Q677:Q705)</f>
        <v>#DIV/0!</v>
      </c>
      <c r="R706" s="75" t="e">
        <f>SUM(R677:R705)</f>
        <v>#DIV/0!</v>
      </c>
      <c r="S706" s="77" t="e">
        <f>SUM(S677:S705)</f>
        <v>#DIV/0!</v>
      </c>
    </row>
    <row r="707" spans="1:19" x14ac:dyDescent="0.2">
      <c r="A707" s="82" t="s">
        <v>932</v>
      </c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72"/>
    </row>
    <row r="708" spans="1:19" x14ac:dyDescent="0.2">
      <c r="A708" s="83" t="s">
        <v>933</v>
      </c>
      <c r="B708" s="84" t="s">
        <v>35</v>
      </c>
      <c r="C708" s="84" t="s">
        <v>313</v>
      </c>
      <c r="D708" s="84" t="s">
        <v>314</v>
      </c>
      <c r="E708" s="85" t="s">
        <v>417</v>
      </c>
      <c r="F708" s="84" t="s">
        <v>361</v>
      </c>
      <c r="G708" s="84" t="s">
        <v>287</v>
      </c>
      <c r="H708" s="84" t="s">
        <v>13</v>
      </c>
      <c r="I708" s="84" t="s">
        <v>235</v>
      </c>
      <c r="J708" s="85" t="s">
        <v>288</v>
      </c>
      <c r="K708" s="86">
        <v>19.399999999999999</v>
      </c>
      <c r="L708" s="86">
        <f>K708*VLOOKUP(H708,dagsoorttabel1,2,FALSE)</f>
        <v>3.88</v>
      </c>
      <c r="M708" s="87">
        <f>prodnorm112</f>
        <v>0</v>
      </c>
      <c r="N708" s="84" t="s">
        <v>101</v>
      </c>
      <c r="O708" s="88">
        <f>uurtarief112</f>
        <v>0</v>
      </c>
      <c r="P708" s="86" t="e">
        <f>IF(ISBLANK(M708),0,L708/ROUND(M708,4))</f>
        <v>#DIV/0!</v>
      </c>
      <c r="Q708" s="88" t="e">
        <f>ROUND(O708,2)*P708</f>
        <v>#DIV/0!</v>
      </c>
      <c r="R708" s="86" t="e">
        <f>P708*dagenperjaar1</f>
        <v>#DIV/0!</v>
      </c>
      <c r="S708" s="89" t="e">
        <f>R708*ROUND(O708,2)</f>
        <v>#DIV/0!</v>
      </c>
    </row>
    <row r="709" spans="1:19" x14ac:dyDescent="0.2">
      <c r="A709" s="90" t="s">
        <v>933</v>
      </c>
      <c r="B709" s="91" t="s">
        <v>35</v>
      </c>
      <c r="C709" s="91" t="s">
        <v>313</v>
      </c>
      <c r="D709" s="91" t="s">
        <v>359</v>
      </c>
      <c r="E709" s="92" t="s">
        <v>417</v>
      </c>
      <c r="F709" s="91" t="s">
        <v>513</v>
      </c>
      <c r="G709" s="91" t="s">
        <v>289</v>
      </c>
      <c r="H709" s="91" t="s">
        <v>13</v>
      </c>
      <c r="I709" s="91" t="s">
        <v>235</v>
      </c>
      <c r="J709" s="92" t="s">
        <v>290</v>
      </c>
      <c r="K709" s="93">
        <v>19.399999999999999</v>
      </c>
      <c r="L709" s="93">
        <f>K709*VLOOKUP(H709,dagsoorttabel1,2,FALSE)</f>
        <v>3.88</v>
      </c>
      <c r="M709" s="94">
        <f>prodnorm113</f>
        <v>0</v>
      </c>
      <c r="N709" s="91" t="s">
        <v>101</v>
      </c>
      <c r="O709" s="26">
        <f>uurtarief113</f>
        <v>0</v>
      </c>
      <c r="P709" s="93" t="e">
        <f>IF(ISBLANK(M709),0,L709/ROUND(M709,4))</f>
        <v>#DIV/0!</v>
      </c>
      <c r="Q709" s="26" t="e">
        <f>ROUND(O709,2)*P709</f>
        <v>#DIV/0!</v>
      </c>
      <c r="R709" s="93" t="e">
        <f>P709*dagenperjaar1</f>
        <v>#DIV/0!</v>
      </c>
      <c r="S709" s="27" t="e">
        <f>R709*ROUND(O709,2)</f>
        <v>#DIV/0!</v>
      </c>
    </row>
    <row r="710" spans="1:19" x14ac:dyDescent="0.2">
      <c r="A710" s="90" t="s">
        <v>933</v>
      </c>
      <c r="B710" s="91" t="s">
        <v>35</v>
      </c>
      <c r="C710" s="91" t="s">
        <v>313</v>
      </c>
      <c r="D710" s="91" t="s">
        <v>317</v>
      </c>
      <c r="E710" s="92" t="s">
        <v>421</v>
      </c>
      <c r="F710" s="91" t="s">
        <v>361</v>
      </c>
      <c r="G710" s="91" t="s">
        <v>239</v>
      </c>
      <c r="H710" s="91" t="s">
        <v>13</v>
      </c>
      <c r="I710" s="91" t="s">
        <v>235</v>
      </c>
      <c r="J710" s="92" t="s">
        <v>240</v>
      </c>
      <c r="K710" s="93">
        <v>11</v>
      </c>
      <c r="L710" s="93">
        <f>K710*VLOOKUP(H710,dagsoorttabel1,2,FALSE)</f>
        <v>2.2000000000000002</v>
      </c>
      <c r="M710" s="94">
        <f>prodnorm53</f>
        <v>0</v>
      </c>
      <c r="N710" s="91" t="s">
        <v>101</v>
      </c>
      <c r="O710" s="26">
        <f>uurtarief53</f>
        <v>0</v>
      </c>
      <c r="P710" s="93" t="e">
        <f>IF(ISBLANK(M710),0,L710/ROUND(M710,4))</f>
        <v>#DIV/0!</v>
      </c>
      <c r="Q710" s="26" t="e">
        <f>ROUND(O710,2)*P710</f>
        <v>#DIV/0!</v>
      </c>
      <c r="R710" s="93" t="e">
        <f>P710*dagenperjaar1</f>
        <v>#DIV/0!</v>
      </c>
      <c r="S710" s="27" t="e">
        <f>R710*ROUND(O710,2)</f>
        <v>#DIV/0!</v>
      </c>
    </row>
    <row r="711" spans="1:19" x14ac:dyDescent="0.2">
      <c r="A711" s="90" t="s">
        <v>933</v>
      </c>
      <c r="B711" s="91" t="s">
        <v>35</v>
      </c>
      <c r="C711" s="91" t="s">
        <v>313</v>
      </c>
      <c r="D711" s="91" t="s">
        <v>320</v>
      </c>
      <c r="E711" s="92" t="s">
        <v>467</v>
      </c>
      <c r="F711" s="91" t="s">
        <v>361</v>
      </c>
      <c r="G711" s="91" t="s">
        <v>266</v>
      </c>
      <c r="H711" s="91" t="s">
        <v>13</v>
      </c>
      <c r="I711" s="91" t="s">
        <v>235</v>
      </c>
      <c r="J711" s="92" t="s">
        <v>267</v>
      </c>
      <c r="K711" s="93">
        <v>6.75</v>
      </c>
      <c r="L711" s="93">
        <f>K711*VLOOKUP(H711,dagsoorttabel1,2,FALSE)</f>
        <v>1.35</v>
      </c>
      <c r="M711" s="94">
        <f>prodnorm83</f>
        <v>0</v>
      </c>
      <c r="N711" s="91" t="s">
        <v>101</v>
      </c>
      <c r="O711" s="26">
        <f>uurtarief83</f>
        <v>0</v>
      </c>
      <c r="P711" s="93" t="e">
        <f>IF(ISBLANK(M711),0,L711/ROUND(M711,4))</f>
        <v>#DIV/0!</v>
      </c>
      <c r="Q711" s="26" t="e">
        <f>ROUND(O711,2)*P711</f>
        <v>#DIV/0!</v>
      </c>
      <c r="R711" s="93" t="e">
        <f>P711*dagenperjaar1</f>
        <v>#DIV/0!</v>
      </c>
      <c r="S711" s="27" t="e">
        <f>R711*ROUND(O711,2)</f>
        <v>#DIV/0!</v>
      </c>
    </row>
    <row r="712" spans="1:19" x14ac:dyDescent="0.2">
      <c r="A712" s="90" t="s">
        <v>933</v>
      </c>
      <c r="B712" s="91" t="s">
        <v>35</v>
      </c>
      <c r="C712" s="91" t="s">
        <v>313</v>
      </c>
      <c r="D712" s="91" t="s">
        <v>322</v>
      </c>
      <c r="E712" s="92" t="s">
        <v>439</v>
      </c>
      <c r="F712" s="91" t="s">
        <v>361</v>
      </c>
      <c r="G712" s="91" t="s">
        <v>270</v>
      </c>
      <c r="H712" s="91" t="s">
        <v>13</v>
      </c>
      <c r="I712" s="91" t="s">
        <v>235</v>
      </c>
      <c r="J712" s="92" t="s">
        <v>271</v>
      </c>
      <c r="K712" s="93">
        <v>44.3</v>
      </c>
      <c r="L712" s="93">
        <f>K712*VLOOKUP(H712,dagsoorttabel1,2,FALSE)</f>
        <v>8.86</v>
      </c>
      <c r="M712" s="94">
        <f>prodnorm89</f>
        <v>0</v>
      </c>
      <c r="N712" s="91" t="s">
        <v>101</v>
      </c>
      <c r="O712" s="26">
        <f>uurtarief89</f>
        <v>0</v>
      </c>
      <c r="P712" s="93" t="e">
        <f>IF(ISBLANK(M712),0,L712/ROUND(M712,4))</f>
        <v>#DIV/0!</v>
      </c>
      <c r="Q712" s="26" t="e">
        <f>ROUND(O712,2)*P712</f>
        <v>#DIV/0!</v>
      </c>
      <c r="R712" s="93" t="e">
        <f>P712*dagenperjaar1</f>
        <v>#DIV/0!</v>
      </c>
      <c r="S712" s="27" t="e">
        <f>R712*ROUND(O712,2)</f>
        <v>#DIV/0!</v>
      </c>
    </row>
    <row r="713" spans="1:19" x14ac:dyDescent="0.2">
      <c r="A713" s="90" t="s">
        <v>933</v>
      </c>
      <c r="B713" s="91" t="s">
        <v>35</v>
      </c>
      <c r="C713" s="91" t="s">
        <v>313</v>
      </c>
      <c r="D713" s="91" t="s">
        <v>324</v>
      </c>
      <c r="E713" s="92" t="s">
        <v>419</v>
      </c>
      <c r="F713" s="91" t="s">
        <v>361</v>
      </c>
      <c r="G713" s="91" t="s">
        <v>283</v>
      </c>
      <c r="H713" s="91" t="s">
        <v>13</v>
      </c>
      <c r="I713" s="91" t="s">
        <v>235</v>
      </c>
      <c r="J713" s="92" t="s">
        <v>284</v>
      </c>
      <c r="K713" s="93">
        <v>6.3</v>
      </c>
      <c r="L713" s="93">
        <f>K713*VLOOKUP(H713,dagsoorttabel1,2,FALSE)</f>
        <v>1.26</v>
      </c>
      <c r="M713" s="94">
        <f>prodnorm106</f>
        <v>0</v>
      </c>
      <c r="N713" s="91" t="s">
        <v>101</v>
      </c>
      <c r="O713" s="26">
        <f>uurtarief106</f>
        <v>0</v>
      </c>
      <c r="P713" s="93" t="e">
        <f>IF(ISBLANK(M713),0,L713/ROUND(M713,4))</f>
        <v>#DIV/0!</v>
      </c>
      <c r="Q713" s="26" t="e">
        <f>ROUND(O713,2)*P713</f>
        <v>#DIV/0!</v>
      </c>
      <c r="R713" s="93" t="e">
        <f>P713*dagenperjaar1</f>
        <v>#DIV/0!</v>
      </c>
      <c r="S713" s="27" t="e">
        <f>R713*ROUND(O713,2)</f>
        <v>#DIV/0!</v>
      </c>
    </row>
    <row r="714" spans="1:19" x14ac:dyDescent="0.2">
      <c r="A714" s="90" t="s">
        <v>933</v>
      </c>
      <c r="B714" s="91" t="s">
        <v>35</v>
      </c>
      <c r="C714" s="91" t="s">
        <v>313</v>
      </c>
      <c r="D714" s="91" t="s">
        <v>325</v>
      </c>
      <c r="E714" s="92" t="s">
        <v>459</v>
      </c>
      <c r="F714" s="91" t="s">
        <v>427</v>
      </c>
      <c r="G714" s="91" t="s">
        <v>275</v>
      </c>
      <c r="H714" s="91" t="s">
        <v>13</v>
      </c>
      <c r="I714" s="91" t="s">
        <v>235</v>
      </c>
      <c r="J714" s="92" t="s">
        <v>276</v>
      </c>
      <c r="K714" s="93">
        <v>4.8</v>
      </c>
      <c r="L714" s="93">
        <f>K714*VLOOKUP(H714,dagsoorttabel1,2,FALSE)</f>
        <v>0.96</v>
      </c>
      <c r="M714" s="94">
        <f>prodnorm94</f>
        <v>0</v>
      </c>
      <c r="N714" s="91" t="s">
        <v>101</v>
      </c>
      <c r="O714" s="26">
        <f>uurtarief94</f>
        <v>0</v>
      </c>
      <c r="P714" s="93" t="e">
        <f>IF(ISBLANK(M714),0,L714/ROUND(M714,4))</f>
        <v>#DIV/0!</v>
      </c>
      <c r="Q714" s="26" t="e">
        <f>ROUND(O714,2)*P714</f>
        <v>#DIV/0!</v>
      </c>
      <c r="R714" s="93" t="e">
        <f>P714*dagenperjaar1</f>
        <v>#DIV/0!</v>
      </c>
      <c r="S714" s="27" t="e">
        <f>R714*ROUND(O714,2)</f>
        <v>#DIV/0!</v>
      </c>
    </row>
    <row r="715" spans="1:19" x14ac:dyDescent="0.2">
      <c r="A715" s="90" t="s">
        <v>933</v>
      </c>
      <c r="B715" s="91" t="s">
        <v>35</v>
      </c>
      <c r="C715" s="91" t="s">
        <v>313</v>
      </c>
      <c r="D715" s="91" t="s">
        <v>327</v>
      </c>
      <c r="E715" s="92" t="s">
        <v>460</v>
      </c>
      <c r="F715" s="91" t="s">
        <v>427</v>
      </c>
      <c r="G715" s="91" t="s">
        <v>277</v>
      </c>
      <c r="H715" s="91" t="s">
        <v>13</v>
      </c>
      <c r="I715" s="91" t="s">
        <v>235</v>
      </c>
      <c r="J715" s="92" t="s">
        <v>278</v>
      </c>
      <c r="K715" s="93">
        <v>9.5</v>
      </c>
      <c r="L715" s="93">
        <f>K715*VLOOKUP(H715,dagsoorttabel1,2,FALSE)</f>
        <v>1.9000000000000001</v>
      </c>
      <c r="M715" s="94">
        <f>prodnorm97</f>
        <v>0</v>
      </c>
      <c r="N715" s="91" t="s">
        <v>101</v>
      </c>
      <c r="O715" s="26">
        <f>uurtarief97</f>
        <v>0</v>
      </c>
      <c r="P715" s="93" t="e">
        <f>IF(ISBLANK(M715),0,L715/ROUND(M715,4))</f>
        <v>#DIV/0!</v>
      </c>
      <c r="Q715" s="26" t="e">
        <f>ROUND(O715,2)*P715</f>
        <v>#DIV/0!</v>
      </c>
      <c r="R715" s="93" t="e">
        <f>P715*dagenperjaar1</f>
        <v>#DIV/0!</v>
      </c>
      <c r="S715" s="27" t="e">
        <f>R715*ROUND(O715,2)</f>
        <v>#DIV/0!</v>
      </c>
    </row>
    <row r="716" spans="1:19" x14ac:dyDescent="0.2">
      <c r="A716" s="90" t="s">
        <v>933</v>
      </c>
      <c r="B716" s="91" t="s">
        <v>35</v>
      </c>
      <c r="C716" s="91" t="s">
        <v>313</v>
      </c>
      <c r="D716" s="91" t="s">
        <v>330</v>
      </c>
      <c r="E716" s="92" t="s">
        <v>499</v>
      </c>
      <c r="F716" s="91" t="s">
        <v>427</v>
      </c>
      <c r="G716" s="91" t="s">
        <v>279</v>
      </c>
      <c r="H716" s="91" t="s">
        <v>13</v>
      </c>
      <c r="I716" s="91" t="s">
        <v>235</v>
      </c>
      <c r="J716" s="92" t="s">
        <v>280</v>
      </c>
      <c r="K716" s="93">
        <v>2</v>
      </c>
      <c r="L716" s="93">
        <f>K716*VLOOKUP(H716,dagsoorttabel1,2,FALSE)</f>
        <v>0.4</v>
      </c>
      <c r="M716" s="94">
        <f>prodnorm100</f>
        <v>0</v>
      </c>
      <c r="N716" s="91" t="s">
        <v>101</v>
      </c>
      <c r="O716" s="26">
        <f>uurtarief100</f>
        <v>0</v>
      </c>
      <c r="P716" s="93" t="e">
        <f>IF(ISBLANK(M716),0,L716/ROUND(M716,4))</f>
        <v>#DIV/0!</v>
      </c>
      <c r="Q716" s="26" t="e">
        <f>ROUND(O716,2)*P716</f>
        <v>#DIV/0!</v>
      </c>
      <c r="R716" s="93" t="e">
        <f>P716*dagenperjaar1</f>
        <v>#DIV/0!</v>
      </c>
      <c r="S716" s="27" t="e">
        <f>R716*ROUND(O716,2)</f>
        <v>#DIV/0!</v>
      </c>
    </row>
    <row r="717" spans="1:19" x14ac:dyDescent="0.2">
      <c r="A717" s="90" t="s">
        <v>933</v>
      </c>
      <c r="B717" s="91" t="s">
        <v>35</v>
      </c>
      <c r="C717" s="91" t="s">
        <v>313</v>
      </c>
      <c r="D717" s="91" t="s">
        <v>332</v>
      </c>
      <c r="E717" s="92" t="s">
        <v>910</v>
      </c>
      <c r="F717" s="91" t="s">
        <v>427</v>
      </c>
      <c r="G717" s="91" t="s">
        <v>279</v>
      </c>
      <c r="H717" s="91" t="s">
        <v>13</v>
      </c>
      <c r="I717" s="91" t="s">
        <v>235</v>
      </c>
      <c r="J717" s="92" t="s">
        <v>280</v>
      </c>
      <c r="K717" s="93">
        <v>1.6</v>
      </c>
      <c r="L717" s="93">
        <f>K717*VLOOKUP(H717,dagsoorttabel1,2,FALSE)</f>
        <v>0.32000000000000006</v>
      </c>
      <c r="M717" s="94">
        <f>prodnorm100</f>
        <v>0</v>
      </c>
      <c r="N717" s="91" t="s">
        <v>101</v>
      </c>
      <c r="O717" s="26">
        <f>uurtarief100</f>
        <v>0</v>
      </c>
      <c r="P717" s="93" t="e">
        <f>IF(ISBLANK(M717),0,L717/ROUND(M717,4))</f>
        <v>#DIV/0!</v>
      </c>
      <c r="Q717" s="26" t="e">
        <f>ROUND(O717,2)*P717</f>
        <v>#DIV/0!</v>
      </c>
      <c r="R717" s="93" t="e">
        <f>P717*dagenperjaar1</f>
        <v>#DIV/0!</v>
      </c>
      <c r="S717" s="27" t="e">
        <f>R717*ROUND(O717,2)</f>
        <v>#DIV/0!</v>
      </c>
    </row>
    <row r="718" spans="1:19" x14ac:dyDescent="0.2">
      <c r="A718" s="90" t="s">
        <v>933</v>
      </c>
      <c r="B718" s="91" t="s">
        <v>35</v>
      </c>
      <c r="C718" s="91" t="s">
        <v>313</v>
      </c>
      <c r="D718" s="91" t="s">
        <v>334</v>
      </c>
      <c r="E718" s="92" t="s">
        <v>934</v>
      </c>
      <c r="F718" s="91" t="s">
        <v>427</v>
      </c>
      <c r="G718" s="91" t="s">
        <v>275</v>
      </c>
      <c r="H718" s="91" t="s">
        <v>13</v>
      </c>
      <c r="I718" s="91" t="s">
        <v>235</v>
      </c>
      <c r="J718" s="92" t="s">
        <v>276</v>
      </c>
      <c r="K718" s="93">
        <v>2.4</v>
      </c>
      <c r="L718" s="93">
        <f>K718*VLOOKUP(H718,dagsoorttabel1,2,FALSE)</f>
        <v>0.48</v>
      </c>
      <c r="M718" s="94">
        <f>prodnorm94</f>
        <v>0</v>
      </c>
      <c r="N718" s="91" t="s">
        <v>101</v>
      </c>
      <c r="O718" s="26">
        <f>uurtarief94</f>
        <v>0</v>
      </c>
      <c r="P718" s="93" t="e">
        <f>IF(ISBLANK(M718),0,L718/ROUND(M718,4))</f>
        <v>#DIV/0!</v>
      </c>
      <c r="Q718" s="26" t="e">
        <f>ROUND(O718,2)*P718</f>
        <v>#DIV/0!</v>
      </c>
      <c r="R718" s="93" t="e">
        <f>P718*dagenperjaar1</f>
        <v>#DIV/0!</v>
      </c>
      <c r="S718" s="27" t="e">
        <f>R718*ROUND(O718,2)</f>
        <v>#DIV/0!</v>
      </c>
    </row>
    <row r="719" spans="1:19" x14ac:dyDescent="0.2">
      <c r="A719" s="90" t="s">
        <v>933</v>
      </c>
      <c r="B719" s="91" t="s">
        <v>35</v>
      </c>
      <c r="C719" s="91" t="s">
        <v>313</v>
      </c>
      <c r="D719" s="91" t="s">
        <v>336</v>
      </c>
      <c r="E719" s="92" t="s">
        <v>910</v>
      </c>
      <c r="F719" s="91" t="s">
        <v>427</v>
      </c>
      <c r="G719" s="91" t="s">
        <v>279</v>
      </c>
      <c r="H719" s="91" t="s">
        <v>13</v>
      </c>
      <c r="I719" s="91" t="s">
        <v>235</v>
      </c>
      <c r="J719" s="92" t="s">
        <v>280</v>
      </c>
      <c r="K719" s="93">
        <v>1.4</v>
      </c>
      <c r="L719" s="93">
        <f>K719*VLOOKUP(H719,dagsoorttabel1,2,FALSE)</f>
        <v>0.27999999999999997</v>
      </c>
      <c r="M719" s="94">
        <f>prodnorm100</f>
        <v>0</v>
      </c>
      <c r="N719" s="91" t="s">
        <v>101</v>
      </c>
      <c r="O719" s="26">
        <f>uurtarief100</f>
        <v>0</v>
      </c>
      <c r="P719" s="93" t="e">
        <f>IF(ISBLANK(M719),0,L719/ROUND(M719,4))</f>
        <v>#DIV/0!</v>
      </c>
      <c r="Q719" s="26" t="e">
        <f>ROUND(O719,2)*P719</f>
        <v>#DIV/0!</v>
      </c>
      <c r="R719" s="93" t="e">
        <f>P719*dagenperjaar1</f>
        <v>#DIV/0!</v>
      </c>
      <c r="S719" s="27" t="e">
        <f>R719*ROUND(O719,2)</f>
        <v>#DIV/0!</v>
      </c>
    </row>
    <row r="720" spans="1:19" x14ac:dyDescent="0.2">
      <c r="A720" s="90" t="s">
        <v>933</v>
      </c>
      <c r="B720" s="91" t="s">
        <v>35</v>
      </c>
      <c r="C720" s="91" t="s">
        <v>313</v>
      </c>
      <c r="D720" s="91" t="s">
        <v>338</v>
      </c>
      <c r="E720" s="92" t="s">
        <v>432</v>
      </c>
      <c r="F720" s="91" t="s">
        <v>329</v>
      </c>
      <c r="G720" s="91" t="s">
        <v>352</v>
      </c>
      <c r="H720" s="91"/>
      <c r="I720" s="91"/>
      <c r="J720" s="91"/>
      <c r="K720" s="93">
        <v>10.7</v>
      </c>
      <c r="L720" s="93"/>
      <c r="M720" s="94"/>
      <c r="N720" s="91"/>
      <c r="O720" s="26"/>
      <c r="P720" s="93"/>
      <c r="Q720" s="26"/>
      <c r="R720" s="95"/>
      <c r="S720" s="27"/>
    </row>
    <row r="721" spans="1:19" x14ac:dyDescent="0.2">
      <c r="A721" s="96" t="s">
        <v>933</v>
      </c>
      <c r="B721" s="97" t="s">
        <v>35</v>
      </c>
      <c r="C721" s="97" t="s">
        <v>313</v>
      </c>
      <c r="D721" s="97" t="s">
        <v>339</v>
      </c>
      <c r="E721" s="98" t="s">
        <v>423</v>
      </c>
      <c r="F721" s="97" t="s">
        <v>329</v>
      </c>
      <c r="G721" s="97" t="s">
        <v>252</v>
      </c>
      <c r="H721" s="97" t="s">
        <v>21</v>
      </c>
      <c r="I721" s="97" t="s">
        <v>235</v>
      </c>
      <c r="J721" s="98" t="s">
        <v>253</v>
      </c>
      <c r="K721" s="99">
        <v>190.5</v>
      </c>
      <c r="L721" s="99">
        <f>K721*VLOOKUP(H721,dagsoorttabel1,2,FALSE)</f>
        <v>0.73269230769230775</v>
      </c>
      <c r="M721" s="100">
        <f>prodnorm67</f>
        <v>0</v>
      </c>
      <c r="N721" s="97" t="s">
        <v>101</v>
      </c>
      <c r="O721" s="36">
        <f>uurtarief67</f>
        <v>0</v>
      </c>
      <c r="P721" s="99" t="e">
        <f>IF(ISBLANK(M721),0,L721/ROUND(M721,4))</f>
        <v>#DIV/0!</v>
      </c>
      <c r="Q721" s="36" t="e">
        <f>ROUND(O721,2)*P721</f>
        <v>#DIV/0!</v>
      </c>
      <c r="R721" s="99" t="e">
        <f>P721*dagenperjaar1</f>
        <v>#DIV/0!</v>
      </c>
      <c r="S721" s="37" t="e">
        <f>R721*ROUND(O721,2)</f>
        <v>#DIV/0!</v>
      </c>
    </row>
    <row r="722" spans="1:19" x14ac:dyDescent="0.2">
      <c r="A722" s="101" t="s">
        <v>356</v>
      </c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6" t="e">
        <f>IF(_xlfn.SINGLE(object20_urenjaar1)&gt;0,_xlfn.SINGLE(object20_prijsjaar1)/_xlfn.SINGLE(object20_urenjaar1),0)</f>
        <v>#DIV/0!</v>
      </c>
      <c r="P722" s="75" t="e">
        <f>SUM(P708:P721)</f>
        <v>#DIV/0!</v>
      </c>
      <c r="Q722" s="76" t="e">
        <f>SUM(Q708:Q721)</f>
        <v>#DIV/0!</v>
      </c>
      <c r="R722" s="75" t="e">
        <f>SUM(R708:R721)</f>
        <v>#DIV/0!</v>
      </c>
      <c r="S722" s="77" t="e">
        <f>SUM(S708:S721)</f>
        <v>#DIV/0!</v>
      </c>
    </row>
    <row r="723" spans="1:19" x14ac:dyDescent="0.2">
      <c r="A723" s="82" t="s">
        <v>935</v>
      </c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72"/>
    </row>
    <row r="724" spans="1:19" x14ac:dyDescent="0.2">
      <c r="A724" s="83" t="s">
        <v>936</v>
      </c>
      <c r="B724" s="84" t="s">
        <v>35</v>
      </c>
      <c r="C724" s="84" t="s">
        <v>313</v>
      </c>
      <c r="D724" s="84" t="s">
        <v>937</v>
      </c>
      <c r="E724" s="85" t="s">
        <v>517</v>
      </c>
      <c r="F724" s="84" t="s">
        <v>422</v>
      </c>
      <c r="G724" s="84" t="s">
        <v>260</v>
      </c>
      <c r="H724" s="84" t="s">
        <v>13</v>
      </c>
      <c r="I724" s="84" t="s">
        <v>235</v>
      </c>
      <c r="J724" s="85" t="s">
        <v>261</v>
      </c>
      <c r="K724" s="86">
        <v>36</v>
      </c>
      <c r="L724" s="86">
        <f>K724*VLOOKUP(H724,dagsoorttabel1,2,FALSE)</f>
        <v>7.2</v>
      </c>
      <c r="M724" s="87">
        <f>prodnorm75</f>
        <v>0</v>
      </c>
      <c r="N724" s="84" t="s">
        <v>101</v>
      </c>
      <c r="O724" s="88">
        <f>uurtarief75</f>
        <v>0</v>
      </c>
      <c r="P724" s="86" t="e">
        <f>IF(ISBLANK(M724),0,L724/ROUND(M724,4))</f>
        <v>#DIV/0!</v>
      </c>
      <c r="Q724" s="88" t="e">
        <f>ROUND(O724,2)*P724</f>
        <v>#DIV/0!</v>
      </c>
      <c r="R724" s="86" t="e">
        <f>P724*dagenperjaar1</f>
        <v>#DIV/0!</v>
      </c>
      <c r="S724" s="89" t="e">
        <f>R724*ROUND(O724,2)</f>
        <v>#DIV/0!</v>
      </c>
    </row>
    <row r="725" spans="1:19" x14ac:dyDescent="0.2">
      <c r="A725" s="90" t="s">
        <v>936</v>
      </c>
      <c r="B725" s="91" t="s">
        <v>35</v>
      </c>
      <c r="C725" s="91" t="s">
        <v>313</v>
      </c>
      <c r="D725" s="91" t="s">
        <v>334</v>
      </c>
      <c r="E725" s="92" t="s">
        <v>421</v>
      </c>
      <c r="F725" s="91" t="s">
        <v>422</v>
      </c>
      <c r="G725" s="91" t="s">
        <v>239</v>
      </c>
      <c r="H725" s="91" t="s">
        <v>13</v>
      </c>
      <c r="I725" s="91" t="s">
        <v>235</v>
      </c>
      <c r="J725" s="92" t="s">
        <v>240</v>
      </c>
      <c r="K725" s="93">
        <v>15.8</v>
      </c>
      <c r="L725" s="93">
        <f>K725*VLOOKUP(H725,dagsoorttabel1,2,FALSE)</f>
        <v>3.16</v>
      </c>
      <c r="M725" s="94">
        <f>prodnorm53</f>
        <v>0</v>
      </c>
      <c r="N725" s="91" t="s">
        <v>101</v>
      </c>
      <c r="O725" s="26">
        <f>uurtarief53</f>
        <v>0</v>
      </c>
      <c r="P725" s="93" t="e">
        <f>IF(ISBLANK(M725),0,L725/ROUND(M725,4))</f>
        <v>#DIV/0!</v>
      </c>
      <c r="Q725" s="26" t="e">
        <f>ROUND(O725,2)*P725</f>
        <v>#DIV/0!</v>
      </c>
      <c r="R725" s="93" t="e">
        <f>P725*dagenperjaar1</f>
        <v>#DIV/0!</v>
      </c>
      <c r="S725" s="27" t="e">
        <f>R725*ROUND(O725,2)</f>
        <v>#DIV/0!</v>
      </c>
    </row>
    <row r="726" spans="1:19" x14ac:dyDescent="0.2">
      <c r="A726" s="90" t="s">
        <v>936</v>
      </c>
      <c r="B726" s="91" t="s">
        <v>35</v>
      </c>
      <c r="C726" s="91" t="s">
        <v>313</v>
      </c>
      <c r="D726" s="91" t="s">
        <v>336</v>
      </c>
      <c r="E726" s="92" t="s">
        <v>419</v>
      </c>
      <c r="F726" s="91" t="s">
        <v>422</v>
      </c>
      <c r="G726" s="91" t="s">
        <v>283</v>
      </c>
      <c r="H726" s="91" t="s">
        <v>13</v>
      </c>
      <c r="I726" s="91" t="s">
        <v>235</v>
      </c>
      <c r="J726" s="92" t="s">
        <v>284</v>
      </c>
      <c r="K726" s="93">
        <v>36.6</v>
      </c>
      <c r="L726" s="93">
        <f>K726*VLOOKUP(H726,dagsoorttabel1,2,FALSE)</f>
        <v>7.32</v>
      </c>
      <c r="M726" s="94">
        <f>prodnorm106</f>
        <v>0</v>
      </c>
      <c r="N726" s="91" t="s">
        <v>101</v>
      </c>
      <c r="O726" s="26">
        <f>uurtarief106</f>
        <v>0</v>
      </c>
      <c r="P726" s="93" t="e">
        <f>IF(ISBLANK(M726),0,L726/ROUND(M726,4))</f>
        <v>#DIV/0!</v>
      </c>
      <c r="Q726" s="26" t="e">
        <f>ROUND(O726,2)*P726</f>
        <v>#DIV/0!</v>
      </c>
      <c r="R726" s="93" t="e">
        <f>P726*dagenperjaar1</f>
        <v>#DIV/0!</v>
      </c>
      <c r="S726" s="27" t="e">
        <f>R726*ROUND(O726,2)</f>
        <v>#DIV/0!</v>
      </c>
    </row>
    <row r="727" spans="1:19" x14ac:dyDescent="0.2">
      <c r="A727" s="90" t="s">
        <v>936</v>
      </c>
      <c r="B727" s="91" t="s">
        <v>35</v>
      </c>
      <c r="C727" s="91" t="s">
        <v>313</v>
      </c>
      <c r="D727" s="91" t="s">
        <v>338</v>
      </c>
      <c r="E727" s="92" t="s">
        <v>505</v>
      </c>
      <c r="F727" s="91" t="s">
        <v>329</v>
      </c>
      <c r="G727" s="91" t="s">
        <v>352</v>
      </c>
      <c r="H727" s="91"/>
      <c r="I727" s="91"/>
      <c r="J727" s="91"/>
      <c r="K727" s="93">
        <v>34.849999999999994</v>
      </c>
      <c r="L727" s="93"/>
      <c r="M727" s="94"/>
      <c r="N727" s="91"/>
      <c r="O727" s="26"/>
      <c r="P727" s="93"/>
      <c r="Q727" s="26"/>
      <c r="R727" s="95"/>
      <c r="S727" s="27"/>
    </row>
    <row r="728" spans="1:19" x14ac:dyDescent="0.2">
      <c r="A728" s="90" t="s">
        <v>936</v>
      </c>
      <c r="B728" s="91" t="s">
        <v>35</v>
      </c>
      <c r="C728" s="91" t="s">
        <v>313</v>
      </c>
      <c r="D728" s="91" t="s">
        <v>339</v>
      </c>
      <c r="E728" s="92" t="s">
        <v>505</v>
      </c>
      <c r="F728" s="91" t="s">
        <v>329</v>
      </c>
      <c r="G728" s="91" t="s">
        <v>352</v>
      </c>
      <c r="H728" s="91"/>
      <c r="I728" s="91"/>
      <c r="J728" s="91"/>
      <c r="K728" s="93">
        <v>16.600000000000001</v>
      </c>
      <c r="L728" s="93"/>
      <c r="M728" s="94"/>
      <c r="N728" s="91"/>
      <c r="O728" s="26"/>
      <c r="P728" s="93"/>
      <c r="Q728" s="26"/>
      <c r="R728" s="95"/>
      <c r="S728" s="27"/>
    </row>
    <row r="729" spans="1:19" x14ac:dyDescent="0.2">
      <c r="A729" s="90" t="s">
        <v>936</v>
      </c>
      <c r="B729" s="91" t="s">
        <v>35</v>
      </c>
      <c r="C729" s="91" t="s">
        <v>313</v>
      </c>
      <c r="D729" s="91" t="s">
        <v>341</v>
      </c>
      <c r="E729" s="92" t="s">
        <v>438</v>
      </c>
      <c r="F729" s="91" t="s">
        <v>329</v>
      </c>
      <c r="G729" s="91" t="s">
        <v>352</v>
      </c>
      <c r="H729" s="91"/>
      <c r="I729" s="91"/>
      <c r="J729" s="91"/>
      <c r="K729" s="93">
        <v>4.25</v>
      </c>
      <c r="L729" s="93"/>
      <c r="M729" s="94"/>
      <c r="N729" s="91"/>
      <c r="O729" s="26"/>
      <c r="P729" s="93"/>
      <c r="Q729" s="26"/>
      <c r="R729" s="95"/>
      <c r="S729" s="27"/>
    </row>
    <row r="730" spans="1:19" x14ac:dyDescent="0.2">
      <c r="A730" s="90" t="s">
        <v>936</v>
      </c>
      <c r="B730" s="91" t="s">
        <v>35</v>
      </c>
      <c r="C730" s="91" t="s">
        <v>313</v>
      </c>
      <c r="D730" s="91" t="s">
        <v>372</v>
      </c>
      <c r="E730" s="92" t="s">
        <v>423</v>
      </c>
      <c r="F730" s="91" t="s">
        <v>329</v>
      </c>
      <c r="G730" s="91" t="s">
        <v>252</v>
      </c>
      <c r="H730" s="91" t="s">
        <v>21</v>
      </c>
      <c r="I730" s="91" t="s">
        <v>235</v>
      </c>
      <c r="J730" s="92" t="s">
        <v>253</v>
      </c>
      <c r="K730" s="93">
        <v>120.5</v>
      </c>
      <c r="L730" s="93">
        <f>K730*VLOOKUP(H730,dagsoorttabel1,2,FALSE)</f>
        <v>0.46346153846153848</v>
      </c>
      <c r="M730" s="94">
        <f>prodnorm67</f>
        <v>0</v>
      </c>
      <c r="N730" s="91" t="s">
        <v>101</v>
      </c>
      <c r="O730" s="26">
        <f>uurtarief67</f>
        <v>0</v>
      </c>
      <c r="P730" s="93" t="e">
        <f>IF(ISBLANK(M730),0,L730/ROUND(M730,4))</f>
        <v>#DIV/0!</v>
      </c>
      <c r="Q730" s="26" t="e">
        <f>ROUND(O730,2)*P730</f>
        <v>#DIV/0!</v>
      </c>
      <c r="R730" s="93" t="e">
        <f>P730*dagenperjaar1</f>
        <v>#DIV/0!</v>
      </c>
      <c r="S730" s="27" t="e">
        <f>R730*ROUND(O730,2)</f>
        <v>#DIV/0!</v>
      </c>
    </row>
    <row r="731" spans="1:19" x14ac:dyDescent="0.2">
      <c r="A731" s="90" t="s">
        <v>936</v>
      </c>
      <c r="B731" s="91" t="s">
        <v>35</v>
      </c>
      <c r="C731" s="91" t="s">
        <v>313</v>
      </c>
      <c r="D731" s="91" t="s">
        <v>391</v>
      </c>
      <c r="E731" s="92" t="s">
        <v>418</v>
      </c>
      <c r="F731" s="91" t="s">
        <v>319</v>
      </c>
      <c r="G731" s="91" t="s">
        <v>298</v>
      </c>
      <c r="H731" s="91" t="s">
        <v>13</v>
      </c>
      <c r="I731" s="91" t="s">
        <v>235</v>
      </c>
      <c r="J731" s="92" t="s">
        <v>299</v>
      </c>
      <c r="K731" s="93">
        <v>3</v>
      </c>
      <c r="L731" s="93">
        <f>K731*VLOOKUP(H731,dagsoorttabel1,2,FALSE)</f>
        <v>0.60000000000000009</v>
      </c>
      <c r="M731" s="94">
        <f>prodnorm124</f>
        <v>0</v>
      </c>
      <c r="N731" s="91" t="s">
        <v>101</v>
      </c>
      <c r="O731" s="26">
        <f>uurtarief124</f>
        <v>0</v>
      </c>
      <c r="P731" s="93" t="e">
        <f>IF(ISBLANK(M731),0,L731/ROUND(M731,4))</f>
        <v>#DIV/0!</v>
      </c>
      <c r="Q731" s="26" t="e">
        <f>ROUND(O731,2)*P731</f>
        <v>#DIV/0!</v>
      </c>
      <c r="R731" s="93" t="e">
        <f>P731*dagenperjaar1</f>
        <v>#DIV/0!</v>
      </c>
      <c r="S731" s="27" t="e">
        <f>R731*ROUND(O731,2)</f>
        <v>#DIV/0!</v>
      </c>
    </row>
    <row r="732" spans="1:19" x14ac:dyDescent="0.2">
      <c r="A732" s="90" t="s">
        <v>936</v>
      </c>
      <c r="B732" s="91" t="s">
        <v>35</v>
      </c>
      <c r="C732" s="91" t="s">
        <v>313</v>
      </c>
      <c r="D732" s="91" t="s">
        <v>392</v>
      </c>
      <c r="E732" s="92" t="s">
        <v>460</v>
      </c>
      <c r="F732" s="91" t="s">
        <v>329</v>
      </c>
      <c r="G732" s="91" t="s">
        <v>277</v>
      </c>
      <c r="H732" s="91" t="s">
        <v>13</v>
      </c>
      <c r="I732" s="91" t="s">
        <v>235</v>
      </c>
      <c r="J732" s="92" t="s">
        <v>278</v>
      </c>
      <c r="K732" s="93">
        <v>33.5</v>
      </c>
      <c r="L732" s="93">
        <f>K732*VLOOKUP(H732,dagsoorttabel1,2,FALSE)</f>
        <v>6.7</v>
      </c>
      <c r="M732" s="94">
        <f>prodnorm97</f>
        <v>0</v>
      </c>
      <c r="N732" s="91" t="s">
        <v>101</v>
      </c>
      <c r="O732" s="26">
        <f>uurtarief97</f>
        <v>0</v>
      </c>
      <c r="P732" s="93" t="e">
        <f>IF(ISBLANK(M732),0,L732/ROUND(M732,4))</f>
        <v>#DIV/0!</v>
      </c>
      <c r="Q732" s="26" t="e">
        <f>ROUND(O732,2)*P732</f>
        <v>#DIV/0!</v>
      </c>
      <c r="R732" s="93" t="e">
        <f>P732*dagenperjaar1</f>
        <v>#DIV/0!</v>
      </c>
      <c r="S732" s="27" t="e">
        <f>R732*ROUND(O732,2)</f>
        <v>#DIV/0!</v>
      </c>
    </row>
    <row r="733" spans="1:19" x14ac:dyDescent="0.2">
      <c r="A733" s="90" t="s">
        <v>936</v>
      </c>
      <c r="B733" s="91" t="s">
        <v>35</v>
      </c>
      <c r="C733" s="91" t="s">
        <v>313</v>
      </c>
      <c r="D733" s="91" t="s">
        <v>393</v>
      </c>
      <c r="E733" s="92" t="s">
        <v>934</v>
      </c>
      <c r="F733" s="91" t="s">
        <v>329</v>
      </c>
      <c r="G733" s="91" t="s">
        <v>275</v>
      </c>
      <c r="H733" s="91" t="s">
        <v>13</v>
      </c>
      <c r="I733" s="91" t="s">
        <v>235</v>
      </c>
      <c r="J733" s="92" t="s">
        <v>276</v>
      </c>
      <c r="K733" s="93">
        <v>1.55</v>
      </c>
      <c r="L733" s="93">
        <f>K733*VLOOKUP(H733,dagsoorttabel1,2,FALSE)</f>
        <v>0.31000000000000005</v>
      </c>
      <c r="M733" s="94">
        <f>prodnorm94</f>
        <v>0</v>
      </c>
      <c r="N733" s="91" t="s">
        <v>101</v>
      </c>
      <c r="O733" s="26">
        <f>uurtarief94</f>
        <v>0</v>
      </c>
      <c r="P733" s="93" t="e">
        <f>IF(ISBLANK(M733),0,L733/ROUND(M733,4))</f>
        <v>#DIV/0!</v>
      </c>
      <c r="Q733" s="26" t="e">
        <f>ROUND(O733,2)*P733</f>
        <v>#DIV/0!</v>
      </c>
      <c r="R733" s="93" t="e">
        <f>P733*dagenperjaar1</f>
        <v>#DIV/0!</v>
      </c>
      <c r="S733" s="27" t="e">
        <f>R733*ROUND(O733,2)</f>
        <v>#DIV/0!</v>
      </c>
    </row>
    <row r="734" spans="1:19" x14ac:dyDescent="0.2">
      <c r="A734" s="90" t="s">
        <v>936</v>
      </c>
      <c r="B734" s="91" t="s">
        <v>35</v>
      </c>
      <c r="C734" s="91" t="s">
        <v>313</v>
      </c>
      <c r="D734" s="91" t="s">
        <v>394</v>
      </c>
      <c r="E734" s="92" t="s">
        <v>460</v>
      </c>
      <c r="F734" s="91" t="s">
        <v>329</v>
      </c>
      <c r="G734" s="91" t="s">
        <v>277</v>
      </c>
      <c r="H734" s="91" t="s">
        <v>13</v>
      </c>
      <c r="I734" s="91" t="s">
        <v>235</v>
      </c>
      <c r="J734" s="92" t="s">
        <v>278</v>
      </c>
      <c r="K734" s="93">
        <v>11</v>
      </c>
      <c r="L734" s="93">
        <f>K734*VLOOKUP(H734,dagsoorttabel1,2,FALSE)</f>
        <v>2.2000000000000002</v>
      </c>
      <c r="M734" s="94">
        <f>prodnorm97</f>
        <v>0</v>
      </c>
      <c r="N734" s="91" t="s">
        <v>101</v>
      </c>
      <c r="O734" s="26">
        <f>uurtarief97</f>
        <v>0</v>
      </c>
      <c r="P734" s="93" t="e">
        <f>IF(ISBLANK(M734),0,L734/ROUND(M734,4))</f>
        <v>#DIV/0!</v>
      </c>
      <c r="Q734" s="26" t="e">
        <f>ROUND(O734,2)*P734</f>
        <v>#DIV/0!</v>
      </c>
      <c r="R734" s="93" t="e">
        <f>P734*dagenperjaar1</f>
        <v>#DIV/0!</v>
      </c>
      <c r="S734" s="27" t="e">
        <f>R734*ROUND(O734,2)</f>
        <v>#DIV/0!</v>
      </c>
    </row>
    <row r="735" spans="1:19" x14ac:dyDescent="0.2">
      <c r="A735" s="90" t="s">
        <v>936</v>
      </c>
      <c r="B735" s="91" t="s">
        <v>35</v>
      </c>
      <c r="C735" s="91" t="s">
        <v>313</v>
      </c>
      <c r="D735" s="91" t="s">
        <v>938</v>
      </c>
      <c r="E735" s="92" t="s">
        <v>439</v>
      </c>
      <c r="F735" s="91" t="s">
        <v>422</v>
      </c>
      <c r="G735" s="91" t="s">
        <v>270</v>
      </c>
      <c r="H735" s="91" t="s">
        <v>13</v>
      </c>
      <c r="I735" s="91" t="s">
        <v>235</v>
      </c>
      <c r="J735" s="92" t="s">
        <v>271</v>
      </c>
      <c r="K735" s="93">
        <v>33.849999999999994</v>
      </c>
      <c r="L735" s="93">
        <f>K735*VLOOKUP(H735,dagsoorttabel1,2,FALSE)</f>
        <v>6.77</v>
      </c>
      <c r="M735" s="94">
        <f>prodnorm89</f>
        <v>0</v>
      </c>
      <c r="N735" s="91" t="s">
        <v>101</v>
      </c>
      <c r="O735" s="26">
        <f>uurtarief89</f>
        <v>0</v>
      </c>
      <c r="P735" s="93" t="e">
        <f>IF(ISBLANK(M735),0,L735/ROUND(M735,4))</f>
        <v>#DIV/0!</v>
      </c>
      <c r="Q735" s="26" t="e">
        <f>ROUND(O735,2)*P735</f>
        <v>#DIV/0!</v>
      </c>
      <c r="R735" s="93" t="e">
        <f>P735*dagenperjaar1</f>
        <v>#DIV/0!</v>
      </c>
      <c r="S735" s="27" t="e">
        <f>R735*ROUND(O735,2)</f>
        <v>#DIV/0!</v>
      </c>
    </row>
    <row r="736" spans="1:19" x14ac:dyDescent="0.2">
      <c r="A736" s="90" t="s">
        <v>936</v>
      </c>
      <c r="B736" s="91" t="s">
        <v>35</v>
      </c>
      <c r="C736" s="91" t="s">
        <v>313</v>
      </c>
      <c r="D736" s="91" t="s">
        <v>395</v>
      </c>
      <c r="E736" s="92" t="s">
        <v>910</v>
      </c>
      <c r="F736" s="91" t="s">
        <v>329</v>
      </c>
      <c r="G736" s="91" t="s">
        <v>279</v>
      </c>
      <c r="H736" s="91" t="s">
        <v>13</v>
      </c>
      <c r="I736" s="91" t="s">
        <v>235</v>
      </c>
      <c r="J736" s="92" t="s">
        <v>280</v>
      </c>
      <c r="K736" s="93">
        <v>1.2</v>
      </c>
      <c r="L736" s="93">
        <f>K736*VLOOKUP(H736,dagsoorttabel1,2,FALSE)</f>
        <v>0.24</v>
      </c>
      <c r="M736" s="94">
        <f>prodnorm100</f>
        <v>0</v>
      </c>
      <c r="N736" s="91" t="s">
        <v>101</v>
      </c>
      <c r="O736" s="26">
        <f>uurtarief100</f>
        <v>0</v>
      </c>
      <c r="P736" s="93" t="e">
        <f>IF(ISBLANK(M736),0,L736/ROUND(M736,4))</f>
        <v>#DIV/0!</v>
      </c>
      <c r="Q736" s="26" t="e">
        <f>ROUND(O736,2)*P736</f>
        <v>#DIV/0!</v>
      </c>
      <c r="R736" s="93" t="e">
        <f>P736*dagenperjaar1</f>
        <v>#DIV/0!</v>
      </c>
      <c r="S736" s="27" t="e">
        <f>R736*ROUND(O736,2)</f>
        <v>#DIV/0!</v>
      </c>
    </row>
    <row r="737" spans="1:19" x14ac:dyDescent="0.2">
      <c r="A737" s="90" t="s">
        <v>936</v>
      </c>
      <c r="B737" s="91" t="s">
        <v>35</v>
      </c>
      <c r="C737" s="91" t="s">
        <v>313</v>
      </c>
      <c r="D737" s="91" t="s">
        <v>397</v>
      </c>
      <c r="E737" s="92" t="s">
        <v>460</v>
      </c>
      <c r="F737" s="91" t="s">
        <v>329</v>
      </c>
      <c r="G737" s="91" t="s">
        <v>277</v>
      </c>
      <c r="H737" s="91" t="s">
        <v>13</v>
      </c>
      <c r="I737" s="91" t="s">
        <v>235</v>
      </c>
      <c r="J737" s="92" t="s">
        <v>278</v>
      </c>
      <c r="K737" s="93">
        <v>11.2</v>
      </c>
      <c r="L737" s="93">
        <f>K737*VLOOKUP(H737,dagsoorttabel1,2,FALSE)</f>
        <v>2.2399999999999998</v>
      </c>
      <c r="M737" s="94">
        <f>prodnorm97</f>
        <v>0</v>
      </c>
      <c r="N737" s="91" t="s">
        <v>101</v>
      </c>
      <c r="O737" s="26">
        <f>uurtarief97</f>
        <v>0</v>
      </c>
      <c r="P737" s="93" t="e">
        <f>IF(ISBLANK(M737),0,L737/ROUND(M737,4))</f>
        <v>#DIV/0!</v>
      </c>
      <c r="Q737" s="26" t="e">
        <f>ROUND(O737,2)*P737</f>
        <v>#DIV/0!</v>
      </c>
      <c r="R737" s="93" t="e">
        <f>P737*dagenperjaar1</f>
        <v>#DIV/0!</v>
      </c>
      <c r="S737" s="27" t="e">
        <f>R737*ROUND(O737,2)</f>
        <v>#DIV/0!</v>
      </c>
    </row>
    <row r="738" spans="1:19" x14ac:dyDescent="0.2">
      <c r="A738" s="90" t="s">
        <v>936</v>
      </c>
      <c r="B738" s="91" t="s">
        <v>35</v>
      </c>
      <c r="C738" s="91" t="s">
        <v>313</v>
      </c>
      <c r="D738" s="91" t="s">
        <v>399</v>
      </c>
      <c r="E738" s="92" t="s">
        <v>459</v>
      </c>
      <c r="F738" s="91" t="s">
        <v>329</v>
      </c>
      <c r="G738" s="91" t="s">
        <v>275</v>
      </c>
      <c r="H738" s="91" t="s">
        <v>13</v>
      </c>
      <c r="I738" s="91" t="s">
        <v>235</v>
      </c>
      <c r="J738" s="92" t="s">
        <v>276</v>
      </c>
      <c r="K738" s="93">
        <v>5</v>
      </c>
      <c r="L738" s="93">
        <f>K738*VLOOKUP(H738,dagsoorttabel1,2,FALSE)</f>
        <v>1</v>
      </c>
      <c r="M738" s="94">
        <f>prodnorm94</f>
        <v>0</v>
      </c>
      <c r="N738" s="91" t="s">
        <v>101</v>
      </c>
      <c r="O738" s="26">
        <f>uurtarief94</f>
        <v>0</v>
      </c>
      <c r="P738" s="93" t="e">
        <f>IF(ISBLANK(M738),0,L738/ROUND(M738,4))</f>
        <v>#DIV/0!</v>
      </c>
      <c r="Q738" s="26" t="e">
        <f>ROUND(O738,2)*P738</f>
        <v>#DIV/0!</v>
      </c>
      <c r="R738" s="93" t="e">
        <f>P738*dagenperjaar1</f>
        <v>#DIV/0!</v>
      </c>
      <c r="S738" s="27" t="e">
        <f>R738*ROUND(O738,2)</f>
        <v>#DIV/0!</v>
      </c>
    </row>
    <row r="739" spans="1:19" x14ac:dyDescent="0.2">
      <c r="A739" s="90" t="s">
        <v>936</v>
      </c>
      <c r="B739" s="91" t="s">
        <v>35</v>
      </c>
      <c r="C739" s="91" t="s">
        <v>313</v>
      </c>
      <c r="D739" s="91" t="s">
        <v>401</v>
      </c>
      <c r="E739" s="92" t="s">
        <v>417</v>
      </c>
      <c r="F739" s="91" t="s">
        <v>387</v>
      </c>
      <c r="G739" s="91" t="s">
        <v>289</v>
      </c>
      <c r="H739" s="91" t="s">
        <v>13</v>
      </c>
      <c r="I739" s="91" t="s">
        <v>235</v>
      </c>
      <c r="J739" s="92" t="s">
        <v>290</v>
      </c>
      <c r="K739" s="93">
        <v>4</v>
      </c>
      <c r="L739" s="93">
        <f>K739*VLOOKUP(H739,dagsoorttabel1,2,FALSE)</f>
        <v>0.8</v>
      </c>
      <c r="M739" s="94">
        <f>prodnorm113</f>
        <v>0</v>
      </c>
      <c r="N739" s="91" t="s">
        <v>101</v>
      </c>
      <c r="O739" s="26">
        <f>uurtarief113</f>
        <v>0</v>
      </c>
      <c r="P739" s="93" t="e">
        <f>IF(ISBLANK(M739),0,L739/ROUND(M739,4))</f>
        <v>#DIV/0!</v>
      </c>
      <c r="Q739" s="26" t="e">
        <f>ROUND(O739,2)*P739</f>
        <v>#DIV/0!</v>
      </c>
      <c r="R739" s="93" t="e">
        <f>P739*dagenperjaar1</f>
        <v>#DIV/0!</v>
      </c>
      <c r="S739" s="27" t="e">
        <f>R739*ROUND(O739,2)</f>
        <v>#DIV/0!</v>
      </c>
    </row>
    <row r="740" spans="1:19" x14ac:dyDescent="0.2">
      <c r="A740" s="90" t="s">
        <v>936</v>
      </c>
      <c r="B740" s="91" t="s">
        <v>35</v>
      </c>
      <c r="C740" s="91" t="s">
        <v>313</v>
      </c>
      <c r="D740" s="91" t="s">
        <v>486</v>
      </c>
      <c r="E740" s="92" t="s">
        <v>910</v>
      </c>
      <c r="F740" s="91" t="s">
        <v>329</v>
      </c>
      <c r="G740" s="91" t="s">
        <v>279</v>
      </c>
      <c r="H740" s="91" t="s">
        <v>13</v>
      </c>
      <c r="I740" s="91" t="s">
        <v>235</v>
      </c>
      <c r="J740" s="92" t="s">
        <v>280</v>
      </c>
      <c r="K740" s="93">
        <v>1.55</v>
      </c>
      <c r="L740" s="93">
        <f>K740*VLOOKUP(H740,dagsoorttabel1,2,FALSE)</f>
        <v>0.31000000000000005</v>
      </c>
      <c r="M740" s="94">
        <f>prodnorm100</f>
        <v>0</v>
      </c>
      <c r="N740" s="91" t="s">
        <v>101</v>
      </c>
      <c r="O740" s="26">
        <f>uurtarief100</f>
        <v>0</v>
      </c>
      <c r="P740" s="93" t="e">
        <f>IF(ISBLANK(M740),0,L740/ROUND(M740,4))</f>
        <v>#DIV/0!</v>
      </c>
      <c r="Q740" s="26" t="e">
        <f>ROUND(O740,2)*P740</f>
        <v>#DIV/0!</v>
      </c>
      <c r="R740" s="93" t="e">
        <f>P740*dagenperjaar1</f>
        <v>#DIV/0!</v>
      </c>
      <c r="S740" s="27" t="e">
        <f>R740*ROUND(O740,2)</f>
        <v>#DIV/0!</v>
      </c>
    </row>
    <row r="741" spans="1:19" x14ac:dyDescent="0.2">
      <c r="A741" s="90" t="s">
        <v>936</v>
      </c>
      <c r="B741" s="91" t="s">
        <v>35</v>
      </c>
      <c r="C741" s="91" t="s">
        <v>313</v>
      </c>
      <c r="D741" s="91" t="s">
        <v>486</v>
      </c>
      <c r="E741" s="92" t="s">
        <v>421</v>
      </c>
      <c r="F741" s="91" t="s">
        <v>329</v>
      </c>
      <c r="G741" s="91" t="s">
        <v>239</v>
      </c>
      <c r="H741" s="91" t="s">
        <v>13</v>
      </c>
      <c r="I741" s="91" t="s">
        <v>235</v>
      </c>
      <c r="J741" s="92" t="s">
        <v>240</v>
      </c>
      <c r="K741" s="93">
        <v>7.7</v>
      </c>
      <c r="L741" s="93">
        <f>K741*VLOOKUP(H741,dagsoorttabel1,2,FALSE)</f>
        <v>1.54</v>
      </c>
      <c r="M741" s="94">
        <f>prodnorm53</f>
        <v>0</v>
      </c>
      <c r="N741" s="91" t="s">
        <v>101</v>
      </c>
      <c r="O741" s="26">
        <f>uurtarief53</f>
        <v>0</v>
      </c>
      <c r="P741" s="93" t="e">
        <f>IF(ISBLANK(M741),0,L741/ROUND(M741,4))</f>
        <v>#DIV/0!</v>
      </c>
      <c r="Q741" s="26" t="e">
        <f>ROUND(O741,2)*P741</f>
        <v>#DIV/0!</v>
      </c>
      <c r="R741" s="93" t="e">
        <f>P741*dagenperjaar1</f>
        <v>#DIV/0!</v>
      </c>
      <c r="S741" s="27" t="e">
        <f>R741*ROUND(O741,2)</f>
        <v>#DIV/0!</v>
      </c>
    </row>
    <row r="742" spans="1:19" x14ac:dyDescent="0.2">
      <c r="A742" s="90" t="s">
        <v>936</v>
      </c>
      <c r="B742" s="91" t="s">
        <v>35</v>
      </c>
      <c r="C742" s="91" t="s">
        <v>313</v>
      </c>
      <c r="D742" s="91" t="s">
        <v>939</v>
      </c>
      <c r="E742" s="92" t="s">
        <v>467</v>
      </c>
      <c r="F742" s="91" t="s">
        <v>422</v>
      </c>
      <c r="G742" s="91" t="s">
        <v>266</v>
      </c>
      <c r="H742" s="91" t="s">
        <v>13</v>
      </c>
      <c r="I742" s="91" t="s">
        <v>235</v>
      </c>
      <c r="J742" s="92" t="s">
        <v>267</v>
      </c>
      <c r="K742" s="93">
        <v>12.850000000000001</v>
      </c>
      <c r="L742" s="93">
        <f>K742*VLOOKUP(H742,dagsoorttabel1,2,FALSE)</f>
        <v>2.5700000000000003</v>
      </c>
      <c r="M742" s="94">
        <f>prodnorm83</f>
        <v>0</v>
      </c>
      <c r="N742" s="91" t="s">
        <v>101</v>
      </c>
      <c r="O742" s="26">
        <f>uurtarief83</f>
        <v>0</v>
      </c>
      <c r="P742" s="93" t="e">
        <f>IF(ISBLANK(M742),0,L742/ROUND(M742,4))</f>
        <v>#DIV/0!</v>
      </c>
      <c r="Q742" s="26" t="e">
        <f>ROUND(O742,2)*P742</f>
        <v>#DIV/0!</v>
      </c>
      <c r="R742" s="93" t="e">
        <f>P742*dagenperjaar1</f>
        <v>#DIV/0!</v>
      </c>
      <c r="S742" s="27" t="e">
        <f>R742*ROUND(O742,2)</f>
        <v>#DIV/0!</v>
      </c>
    </row>
    <row r="743" spans="1:19" x14ac:dyDescent="0.2">
      <c r="A743" s="90" t="s">
        <v>936</v>
      </c>
      <c r="B743" s="91" t="s">
        <v>35</v>
      </c>
      <c r="C743" s="91" t="s">
        <v>313</v>
      </c>
      <c r="D743" s="91" t="s">
        <v>940</v>
      </c>
      <c r="E743" s="92" t="s">
        <v>467</v>
      </c>
      <c r="F743" s="91" t="s">
        <v>422</v>
      </c>
      <c r="G743" s="91" t="s">
        <v>266</v>
      </c>
      <c r="H743" s="91" t="s">
        <v>13</v>
      </c>
      <c r="I743" s="91" t="s">
        <v>235</v>
      </c>
      <c r="J743" s="92" t="s">
        <v>267</v>
      </c>
      <c r="K743" s="93">
        <v>9.1999999999999993</v>
      </c>
      <c r="L743" s="93">
        <f>K743*VLOOKUP(H743,dagsoorttabel1,2,FALSE)</f>
        <v>1.8399999999999999</v>
      </c>
      <c r="M743" s="94">
        <f>prodnorm83</f>
        <v>0</v>
      </c>
      <c r="N743" s="91" t="s">
        <v>101</v>
      </c>
      <c r="O743" s="26">
        <f>uurtarief83</f>
        <v>0</v>
      </c>
      <c r="P743" s="93" t="e">
        <f>IF(ISBLANK(M743),0,L743/ROUND(M743,4))</f>
        <v>#DIV/0!</v>
      </c>
      <c r="Q743" s="26" t="e">
        <f>ROUND(O743,2)*P743</f>
        <v>#DIV/0!</v>
      </c>
      <c r="R743" s="93" t="e">
        <f>P743*dagenperjaar1</f>
        <v>#DIV/0!</v>
      </c>
      <c r="S743" s="27" t="e">
        <f>R743*ROUND(O743,2)</f>
        <v>#DIV/0!</v>
      </c>
    </row>
    <row r="744" spans="1:19" x14ac:dyDescent="0.2">
      <c r="A744" s="90" t="s">
        <v>936</v>
      </c>
      <c r="B744" s="91" t="s">
        <v>35</v>
      </c>
      <c r="C744" s="91" t="s">
        <v>313</v>
      </c>
      <c r="D744" s="91" t="s">
        <v>941</v>
      </c>
      <c r="E744" s="92" t="s">
        <v>438</v>
      </c>
      <c r="F744" s="91" t="s">
        <v>422</v>
      </c>
      <c r="G744" s="91" t="s">
        <v>264</v>
      </c>
      <c r="H744" s="91" t="s">
        <v>21</v>
      </c>
      <c r="I744" s="91" t="s">
        <v>235</v>
      </c>
      <c r="J744" s="92" t="s">
        <v>265</v>
      </c>
      <c r="K744" s="93">
        <v>5</v>
      </c>
      <c r="L744" s="93">
        <f>K744*VLOOKUP(H744,dagsoorttabel1,2,FALSE)</f>
        <v>1.9230769230769232E-2</v>
      </c>
      <c r="M744" s="94">
        <f>prodnorm81</f>
        <v>0</v>
      </c>
      <c r="N744" s="91" t="s">
        <v>101</v>
      </c>
      <c r="O744" s="26">
        <f>uurtarief81</f>
        <v>0</v>
      </c>
      <c r="P744" s="93" t="e">
        <f>IF(ISBLANK(M744),0,L744/ROUND(M744,4))</f>
        <v>#DIV/0!</v>
      </c>
      <c r="Q744" s="26" t="e">
        <f>ROUND(O744,2)*P744</f>
        <v>#DIV/0!</v>
      </c>
      <c r="R744" s="93" t="e">
        <f>P744*dagenperjaar1</f>
        <v>#DIV/0!</v>
      </c>
      <c r="S744" s="27" t="e">
        <f>R744*ROUND(O744,2)</f>
        <v>#DIV/0!</v>
      </c>
    </row>
    <row r="745" spans="1:19" ht="25.2" x14ac:dyDescent="0.2">
      <c r="A745" s="90" t="s">
        <v>936</v>
      </c>
      <c r="B745" s="91" t="s">
        <v>35</v>
      </c>
      <c r="C745" s="91" t="s">
        <v>313</v>
      </c>
      <c r="D745" s="91" t="s">
        <v>942</v>
      </c>
      <c r="E745" s="92" t="s">
        <v>516</v>
      </c>
      <c r="F745" s="91" t="s">
        <v>422</v>
      </c>
      <c r="G745" s="91" t="s">
        <v>293</v>
      </c>
      <c r="H745" s="91" t="s">
        <v>13</v>
      </c>
      <c r="I745" s="91" t="s">
        <v>235</v>
      </c>
      <c r="J745" s="92" t="s">
        <v>294</v>
      </c>
      <c r="K745" s="93">
        <v>4</v>
      </c>
      <c r="L745" s="93">
        <f>K745*VLOOKUP(H745,dagsoorttabel1,2,FALSE)</f>
        <v>0.8</v>
      </c>
      <c r="M745" s="94">
        <f>prodnorm119</f>
        <v>0</v>
      </c>
      <c r="N745" s="91" t="s">
        <v>101</v>
      </c>
      <c r="O745" s="26">
        <f>uurtarief119</f>
        <v>0</v>
      </c>
      <c r="P745" s="93" t="e">
        <f>IF(ISBLANK(M745),0,L745/ROUND(M745,4))</f>
        <v>#DIV/0!</v>
      </c>
      <c r="Q745" s="26" t="e">
        <f>ROUND(O745,2)*P745</f>
        <v>#DIV/0!</v>
      </c>
      <c r="R745" s="93" t="e">
        <f>P745*dagenperjaar1</f>
        <v>#DIV/0!</v>
      </c>
      <c r="S745" s="27" t="e">
        <f>R745*ROUND(O745,2)</f>
        <v>#DIV/0!</v>
      </c>
    </row>
    <row r="746" spans="1:19" x14ac:dyDescent="0.2">
      <c r="A746" s="90" t="s">
        <v>936</v>
      </c>
      <c r="B746" s="91" t="s">
        <v>35</v>
      </c>
      <c r="C746" s="91" t="s">
        <v>313</v>
      </c>
      <c r="D746" s="91" t="s">
        <v>943</v>
      </c>
      <c r="E746" s="92" t="s">
        <v>444</v>
      </c>
      <c r="F746" s="91" t="s">
        <v>329</v>
      </c>
      <c r="G746" s="91" t="s">
        <v>279</v>
      </c>
      <c r="H746" s="91" t="s">
        <v>13</v>
      </c>
      <c r="I746" s="91" t="s">
        <v>235</v>
      </c>
      <c r="J746" s="92" t="s">
        <v>280</v>
      </c>
      <c r="K746" s="93">
        <v>3.7</v>
      </c>
      <c r="L746" s="93">
        <f>K746*VLOOKUP(H746,dagsoorttabel1,2,FALSE)</f>
        <v>0.7400000000000001</v>
      </c>
      <c r="M746" s="94">
        <f>prodnorm100</f>
        <v>0</v>
      </c>
      <c r="N746" s="91" t="s">
        <v>101</v>
      </c>
      <c r="O746" s="26">
        <f>uurtarief100</f>
        <v>0</v>
      </c>
      <c r="P746" s="93" t="e">
        <f>IF(ISBLANK(M746),0,L746/ROUND(M746,4))</f>
        <v>#DIV/0!</v>
      </c>
      <c r="Q746" s="26" t="e">
        <f>ROUND(O746,2)*P746</f>
        <v>#DIV/0!</v>
      </c>
      <c r="R746" s="93" t="e">
        <f>P746*dagenperjaar1</f>
        <v>#DIV/0!</v>
      </c>
      <c r="S746" s="27" t="e">
        <f>R746*ROUND(O746,2)</f>
        <v>#DIV/0!</v>
      </c>
    </row>
    <row r="747" spans="1:19" x14ac:dyDescent="0.2">
      <c r="A747" s="90" t="s">
        <v>936</v>
      </c>
      <c r="B747" s="91" t="s">
        <v>35</v>
      </c>
      <c r="C747" s="91" t="s">
        <v>313</v>
      </c>
      <c r="D747" s="91" t="s">
        <v>944</v>
      </c>
      <c r="E747" s="92" t="s">
        <v>442</v>
      </c>
      <c r="F747" s="91" t="s">
        <v>329</v>
      </c>
      <c r="G747" s="91" t="s">
        <v>279</v>
      </c>
      <c r="H747" s="91" t="s">
        <v>13</v>
      </c>
      <c r="I747" s="91" t="s">
        <v>235</v>
      </c>
      <c r="J747" s="92" t="s">
        <v>280</v>
      </c>
      <c r="K747" s="93">
        <v>8</v>
      </c>
      <c r="L747" s="93">
        <f>K747*VLOOKUP(H747,dagsoorttabel1,2,FALSE)</f>
        <v>1.6</v>
      </c>
      <c r="M747" s="94">
        <f>prodnorm100</f>
        <v>0</v>
      </c>
      <c r="N747" s="91" t="s">
        <v>101</v>
      </c>
      <c r="O747" s="26">
        <f>uurtarief100</f>
        <v>0</v>
      </c>
      <c r="P747" s="93" t="e">
        <f>IF(ISBLANK(M747),0,L747/ROUND(M747,4))</f>
        <v>#DIV/0!</v>
      </c>
      <c r="Q747" s="26" t="e">
        <f>ROUND(O747,2)*P747</f>
        <v>#DIV/0!</v>
      </c>
      <c r="R747" s="93" t="e">
        <f>P747*dagenperjaar1</f>
        <v>#DIV/0!</v>
      </c>
      <c r="S747" s="27" t="e">
        <f>R747*ROUND(O747,2)</f>
        <v>#DIV/0!</v>
      </c>
    </row>
    <row r="748" spans="1:19" x14ac:dyDescent="0.2">
      <c r="A748" s="90" t="s">
        <v>936</v>
      </c>
      <c r="B748" s="91" t="s">
        <v>35</v>
      </c>
      <c r="C748" s="91" t="s">
        <v>313</v>
      </c>
      <c r="D748" s="91" t="s">
        <v>436</v>
      </c>
      <c r="E748" s="92" t="s">
        <v>945</v>
      </c>
      <c r="F748" s="91" t="s">
        <v>329</v>
      </c>
      <c r="G748" s="91" t="s">
        <v>352</v>
      </c>
      <c r="H748" s="91"/>
      <c r="I748" s="91"/>
      <c r="J748" s="91"/>
      <c r="K748" s="93">
        <v>3.2</v>
      </c>
      <c r="L748" s="93"/>
      <c r="M748" s="94"/>
      <c r="N748" s="91"/>
      <c r="O748" s="26"/>
      <c r="P748" s="93"/>
      <c r="Q748" s="26"/>
      <c r="R748" s="95"/>
      <c r="S748" s="27"/>
    </row>
    <row r="749" spans="1:19" x14ac:dyDescent="0.2">
      <c r="A749" s="90" t="s">
        <v>936</v>
      </c>
      <c r="B749" s="91" t="s">
        <v>35</v>
      </c>
      <c r="C749" s="91" t="s">
        <v>343</v>
      </c>
      <c r="D749" s="91" t="s">
        <v>344</v>
      </c>
      <c r="E749" s="92" t="s">
        <v>469</v>
      </c>
      <c r="F749" s="91" t="s">
        <v>329</v>
      </c>
      <c r="G749" s="91" t="s">
        <v>352</v>
      </c>
      <c r="H749" s="91"/>
      <c r="I749" s="91"/>
      <c r="J749" s="91"/>
      <c r="K749" s="93">
        <v>31</v>
      </c>
      <c r="L749" s="93"/>
      <c r="M749" s="94"/>
      <c r="N749" s="91"/>
      <c r="O749" s="26"/>
      <c r="P749" s="93"/>
      <c r="Q749" s="26"/>
      <c r="R749" s="95"/>
      <c r="S749" s="27"/>
    </row>
    <row r="750" spans="1:19" x14ac:dyDescent="0.2">
      <c r="A750" s="96" t="s">
        <v>936</v>
      </c>
      <c r="B750" s="97" t="s">
        <v>35</v>
      </c>
      <c r="C750" s="97" t="s">
        <v>343</v>
      </c>
      <c r="D750" s="97" t="s">
        <v>345</v>
      </c>
      <c r="E750" s="98" t="s">
        <v>437</v>
      </c>
      <c r="F750" s="97" t="s">
        <v>329</v>
      </c>
      <c r="G750" s="97" t="s">
        <v>352</v>
      </c>
      <c r="H750" s="97"/>
      <c r="I750" s="97"/>
      <c r="J750" s="97"/>
      <c r="K750" s="99">
        <v>31</v>
      </c>
      <c r="L750" s="99"/>
      <c r="M750" s="100"/>
      <c r="N750" s="97"/>
      <c r="O750" s="36"/>
      <c r="P750" s="99"/>
      <c r="Q750" s="36"/>
      <c r="R750" s="102"/>
      <c r="S750" s="37"/>
    </row>
    <row r="751" spans="1:19" x14ac:dyDescent="0.2">
      <c r="A751" s="101" t="s">
        <v>356</v>
      </c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6" t="e">
        <f>IF(_xlfn.SINGLE(object21_urenjaar1)&gt;0,_xlfn.SINGLE(object21_prijsjaar1)/_xlfn.SINGLE(object21_urenjaar1),0)</f>
        <v>#DIV/0!</v>
      </c>
      <c r="P751" s="75" t="e">
        <f>SUM(P724:P750)</f>
        <v>#DIV/0!</v>
      </c>
      <c r="Q751" s="76" t="e">
        <f>SUM(Q724:Q750)</f>
        <v>#DIV/0!</v>
      </c>
      <c r="R751" s="75" t="e">
        <f>SUM(R724:R750)</f>
        <v>#DIV/0!</v>
      </c>
      <c r="S751" s="77" t="e">
        <f>SUM(S724:S750)</f>
        <v>#DIV/0!</v>
      </c>
    </row>
    <row r="752" spans="1:19" x14ac:dyDescent="0.2">
      <c r="A752" s="82" t="s">
        <v>946</v>
      </c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72"/>
    </row>
    <row r="753" spans="1:19" x14ac:dyDescent="0.2">
      <c r="A753" s="83" t="s">
        <v>947</v>
      </c>
      <c r="B753" s="84" t="s">
        <v>35</v>
      </c>
      <c r="C753" s="84" t="s">
        <v>313</v>
      </c>
      <c r="D753" s="84" t="s">
        <v>314</v>
      </c>
      <c r="E753" s="85" t="s">
        <v>417</v>
      </c>
      <c r="F753" s="84" t="s">
        <v>387</v>
      </c>
      <c r="G753" s="84" t="s">
        <v>289</v>
      </c>
      <c r="H753" s="84" t="s">
        <v>13</v>
      </c>
      <c r="I753" s="84" t="s">
        <v>235</v>
      </c>
      <c r="J753" s="85" t="s">
        <v>290</v>
      </c>
      <c r="K753" s="86">
        <v>6.5</v>
      </c>
      <c r="L753" s="86">
        <f>K753*VLOOKUP(H753,dagsoorttabel1,2,FALSE)</f>
        <v>1.3</v>
      </c>
      <c r="M753" s="87">
        <f>prodnorm113</f>
        <v>0</v>
      </c>
      <c r="N753" s="84" t="s">
        <v>101</v>
      </c>
      <c r="O753" s="88">
        <f>uurtarief113</f>
        <v>0</v>
      </c>
      <c r="P753" s="86" t="e">
        <f>IF(ISBLANK(M753),0,L753/ROUND(M753,4))</f>
        <v>#DIV/0!</v>
      </c>
      <c r="Q753" s="88" t="e">
        <f>ROUND(O753,2)*P753</f>
        <v>#DIV/0!</v>
      </c>
      <c r="R753" s="86" t="e">
        <f>P753*dagenperjaar1</f>
        <v>#DIV/0!</v>
      </c>
      <c r="S753" s="89" t="e">
        <f>R753*ROUND(O753,2)</f>
        <v>#DIV/0!</v>
      </c>
    </row>
    <row r="754" spans="1:19" x14ac:dyDescent="0.2">
      <c r="A754" s="90" t="s">
        <v>947</v>
      </c>
      <c r="B754" s="91" t="s">
        <v>35</v>
      </c>
      <c r="C754" s="91" t="s">
        <v>313</v>
      </c>
      <c r="D754" s="91" t="s">
        <v>317</v>
      </c>
      <c r="E754" s="92" t="s">
        <v>419</v>
      </c>
      <c r="F754" s="91" t="s">
        <v>422</v>
      </c>
      <c r="G754" s="91" t="s">
        <v>283</v>
      </c>
      <c r="H754" s="91" t="s">
        <v>13</v>
      </c>
      <c r="I754" s="91" t="s">
        <v>235</v>
      </c>
      <c r="J754" s="92" t="s">
        <v>284</v>
      </c>
      <c r="K754" s="93">
        <v>8</v>
      </c>
      <c r="L754" s="93">
        <f>K754*VLOOKUP(H754,dagsoorttabel1,2,FALSE)</f>
        <v>1.6</v>
      </c>
      <c r="M754" s="94">
        <f>prodnorm106</f>
        <v>0</v>
      </c>
      <c r="N754" s="91" t="s">
        <v>101</v>
      </c>
      <c r="O754" s="26">
        <f>uurtarief106</f>
        <v>0</v>
      </c>
      <c r="P754" s="93" t="e">
        <f>IF(ISBLANK(M754),0,L754/ROUND(M754,4))</f>
        <v>#DIV/0!</v>
      </c>
      <c r="Q754" s="26" t="e">
        <f>ROUND(O754,2)*P754</f>
        <v>#DIV/0!</v>
      </c>
      <c r="R754" s="93" t="e">
        <f>P754*dagenperjaar1</f>
        <v>#DIV/0!</v>
      </c>
      <c r="S754" s="27" t="e">
        <f>R754*ROUND(O754,2)</f>
        <v>#DIV/0!</v>
      </c>
    </row>
    <row r="755" spans="1:19" x14ac:dyDescent="0.2">
      <c r="A755" s="90" t="s">
        <v>947</v>
      </c>
      <c r="B755" s="91" t="s">
        <v>35</v>
      </c>
      <c r="C755" s="91" t="s">
        <v>313</v>
      </c>
      <c r="D755" s="91" t="s">
        <v>320</v>
      </c>
      <c r="E755" s="92" t="s">
        <v>439</v>
      </c>
      <c r="F755" s="91" t="s">
        <v>422</v>
      </c>
      <c r="G755" s="91" t="s">
        <v>270</v>
      </c>
      <c r="H755" s="91" t="s">
        <v>13</v>
      </c>
      <c r="I755" s="91" t="s">
        <v>235</v>
      </c>
      <c r="J755" s="92" t="s">
        <v>271</v>
      </c>
      <c r="K755" s="93">
        <v>56.2</v>
      </c>
      <c r="L755" s="93">
        <f>K755*VLOOKUP(H755,dagsoorttabel1,2,FALSE)</f>
        <v>11.240000000000002</v>
      </c>
      <c r="M755" s="94">
        <f>prodnorm89</f>
        <v>0</v>
      </c>
      <c r="N755" s="91" t="s">
        <v>101</v>
      </c>
      <c r="O755" s="26">
        <f>uurtarief89</f>
        <v>0</v>
      </c>
      <c r="P755" s="93" t="e">
        <f>IF(ISBLANK(M755),0,L755/ROUND(M755,4))</f>
        <v>#DIV/0!</v>
      </c>
      <c r="Q755" s="26" t="e">
        <f>ROUND(O755,2)*P755</f>
        <v>#DIV/0!</v>
      </c>
      <c r="R755" s="93" t="e">
        <f>P755*dagenperjaar1</f>
        <v>#DIV/0!</v>
      </c>
      <c r="S755" s="27" t="e">
        <f>R755*ROUND(O755,2)</f>
        <v>#DIV/0!</v>
      </c>
    </row>
    <row r="756" spans="1:19" x14ac:dyDescent="0.2">
      <c r="A756" s="90" t="s">
        <v>947</v>
      </c>
      <c r="B756" s="91" t="s">
        <v>35</v>
      </c>
      <c r="C756" s="91" t="s">
        <v>313</v>
      </c>
      <c r="D756" s="91" t="s">
        <v>322</v>
      </c>
      <c r="E756" s="92" t="s">
        <v>517</v>
      </c>
      <c r="F756" s="91" t="s">
        <v>422</v>
      </c>
      <c r="G756" s="91" t="s">
        <v>260</v>
      </c>
      <c r="H756" s="91" t="s">
        <v>13</v>
      </c>
      <c r="I756" s="91" t="s">
        <v>235</v>
      </c>
      <c r="J756" s="92" t="s">
        <v>261</v>
      </c>
      <c r="K756" s="93">
        <v>31.9</v>
      </c>
      <c r="L756" s="93">
        <f>K756*VLOOKUP(H756,dagsoorttabel1,2,FALSE)</f>
        <v>6.38</v>
      </c>
      <c r="M756" s="94">
        <f>prodnorm75</f>
        <v>0</v>
      </c>
      <c r="N756" s="91" t="s">
        <v>101</v>
      </c>
      <c r="O756" s="26">
        <f>uurtarief75</f>
        <v>0</v>
      </c>
      <c r="P756" s="93" t="e">
        <f>IF(ISBLANK(M756),0,L756/ROUND(M756,4))</f>
        <v>#DIV/0!</v>
      </c>
      <c r="Q756" s="26" t="e">
        <f>ROUND(O756,2)*P756</f>
        <v>#DIV/0!</v>
      </c>
      <c r="R756" s="93" t="e">
        <f>P756*dagenperjaar1</f>
        <v>#DIV/0!</v>
      </c>
      <c r="S756" s="27" t="e">
        <f>R756*ROUND(O756,2)</f>
        <v>#DIV/0!</v>
      </c>
    </row>
    <row r="757" spans="1:19" x14ac:dyDescent="0.2">
      <c r="A757" s="90" t="s">
        <v>947</v>
      </c>
      <c r="B757" s="91" t="s">
        <v>35</v>
      </c>
      <c r="C757" s="91" t="s">
        <v>313</v>
      </c>
      <c r="D757" s="91" t="s">
        <v>324</v>
      </c>
      <c r="E757" s="92" t="s">
        <v>467</v>
      </c>
      <c r="F757" s="91" t="s">
        <v>422</v>
      </c>
      <c r="G757" s="91" t="s">
        <v>266</v>
      </c>
      <c r="H757" s="91" t="s">
        <v>13</v>
      </c>
      <c r="I757" s="91" t="s">
        <v>235</v>
      </c>
      <c r="J757" s="92" t="s">
        <v>267</v>
      </c>
      <c r="K757" s="93">
        <v>11.5</v>
      </c>
      <c r="L757" s="93">
        <f>K757*VLOOKUP(H757,dagsoorttabel1,2,FALSE)</f>
        <v>2.3000000000000003</v>
      </c>
      <c r="M757" s="94">
        <f>prodnorm83</f>
        <v>0</v>
      </c>
      <c r="N757" s="91" t="s">
        <v>101</v>
      </c>
      <c r="O757" s="26">
        <f>uurtarief83</f>
        <v>0</v>
      </c>
      <c r="P757" s="93" t="e">
        <f>IF(ISBLANK(M757),0,L757/ROUND(M757,4))</f>
        <v>#DIV/0!</v>
      </c>
      <c r="Q757" s="26" t="e">
        <f>ROUND(O757,2)*P757</f>
        <v>#DIV/0!</v>
      </c>
      <c r="R757" s="93" t="e">
        <f>P757*dagenperjaar1</f>
        <v>#DIV/0!</v>
      </c>
      <c r="S757" s="27" t="e">
        <f>R757*ROUND(O757,2)</f>
        <v>#DIV/0!</v>
      </c>
    </row>
    <row r="758" spans="1:19" x14ac:dyDescent="0.2">
      <c r="A758" s="90" t="s">
        <v>947</v>
      </c>
      <c r="B758" s="91" t="s">
        <v>35</v>
      </c>
      <c r="C758" s="91" t="s">
        <v>313</v>
      </c>
      <c r="D758" s="91" t="s">
        <v>325</v>
      </c>
      <c r="E758" s="92" t="s">
        <v>910</v>
      </c>
      <c r="F758" s="91" t="s">
        <v>329</v>
      </c>
      <c r="G758" s="91" t="s">
        <v>279</v>
      </c>
      <c r="H758" s="91" t="s">
        <v>13</v>
      </c>
      <c r="I758" s="91" t="s">
        <v>235</v>
      </c>
      <c r="J758" s="92" t="s">
        <v>280</v>
      </c>
      <c r="K758" s="93">
        <v>1.3</v>
      </c>
      <c r="L758" s="93">
        <f>K758*VLOOKUP(H758,dagsoorttabel1,2,FALSE)</f>
        <v>0.26</v>
      </c>
      <c r="M758" s="94">
        <f>prodnorm100</f>
        <v>0</v>
      </c>
      <c r="N758" s="91" t="s">
        <v>101</v>
      </c>
      <c r="O758" s="26">
        <f>uurtarief100</f>
        <v>0</v>
      </c>
      <c r="P758" s="93" t="e">
        <f>IF(ISBLANK(M758),0,L758/ROUND(M758,4))</f>
        <v>#DIV/0!</v>
      </c>
      <c r="Q758" s="26" t="e">
        <f>ROUND(O758,2)*P758</f>
        <v>#DIV/0!</v>
      </c>
      <c r="R758" s="93" t="e">
        <f>P758*dagenperjaar1</f>
        <v>#DIV/0!</v>
      </c>
      <c r="S758" s="27" t="e">
        <f>R758*ROUND(O758,2)</f>
        <v>#DIV/0!</v>
      </c>
    </row>
    <row r="759" spans="1:19" x14ac:dyDescent="0.2">
      <c r="A759" s="90" t="s">
        <v>947</v>
      </c>
      <c r="B759" s="91" t="s">
        <v>35</v>
      </c>
      <c r="C759" s="91" t="s">
        <v>313</v>
      </c>
      <c r="D759" s="91" t="s">
        <v>327</v>
      </c>
      <c r="E759" s="92" t="s">
        <v>910</v>
      </c>
      <c r="F759" s="91" t="s">
        <v>329</v>
      </c>
      <c r="G759" s="91" t="s">
        <v>279</v>
      </c>
      <c r="H759" s="91" t="s">
        <v>13</v>
      </c>
      <c r="I759" s="91" t="s">
        <v>235</v>
      </c>
      <c r="J759" s="92" t="s">
        <v>280</v>
      </c>
      <c r="K759" s="93">
        <v>1.3</v>
      </c>
      <c r="L759" s="93">
        <f>K759*VLOOKUP(H759,dagsoorttabel1,2,FALSE)</f>
        <v>0.26</v>
      </c>
      <c r="M759" s="94">
        <f>prodnorm100</f>
        <v>0</v>
      </c>
      <c r="N759" s="91" t="s">
        <v>101</v>
      </c>
      <c r="O759" s="26">
        <f>uurtarief100</f>
        <v>0</v>
      </c>
      <c r="P759" s="93" t="e">
        <f>IF(ISBLANK(M759),0,L759/ROUND(M759,4))</f>
        <v>#DIV/0!</v>
      </c>
      <c r="Q759" s="26" t="e">
        <f>ROUND(O759,2)*P759</f>
        <v>#DIV/0!</v>
      </c>
      <c r="R759" s="93" t="e">
        <f>P759*dagenperjaar1</f>
        <v>#DIV/0!</v>
      </c>
      <c r="S759" s="27" t="e">
        <f>R759*ROUND(O759,2)</f>
        <v>#DIV/0!</v>
      </c>
    </row>
    <row r="760" spans="1:19" x14ac:dyDescent="0.2">
      <c r="A760" s="90" t="s">
        <v>947</v>
      </c>
      <c r="B760" s="91" t="s">
        <v>35</v>
      </c>
      <c r="C760" s="91" t="s">
        <v>313</v>
      </c>
      <c r="D760" s="91" t="s">
        <v>330</v>
      </c>
      <c r="E760" s="92" t="s">
        <v>421</v>
      </c>
      <c r="F760" s="91" t="s">
        <v>422</v>
      </c>
      <c r="G760" s="91" t="s">
        <v>239</v>
      </c>
      <c r="H760" s="91" t="s">
        <v>13</v>
      </c>
      <c r="I760" s="91" t="s">
        <v>235</v>
      </c>
      <c r="J760" s="92" t="s">
        <v>240</v>
      </c>
      <c r="K760" s="93">
        <v>1.45</v>
      </c>
      <c r="L760" s="93">
        <f>K760*VLOOKUP(H760,dagsoorttabel1,2,FALSE)</f>
        <v>0.28999999999999998</v>
      </c>
      <c r="M760" s="94">
        <f>prodnorm53</f>
        <v>0</v>
      </c>
      <c r="N760" s="91" t="s">
        <v>101</v>
      </c>
      <c r="O760" s="26">
        <f>uurtarief53</f>
        <v>0</v>
      </c>
      <c r="P760" s="93" t="e">
        <f>IF(ISBLANK(M760),0,L760/ROUND(M760,4))</f>
        <v>#DIV/0!</v>
      </c>
      <c r="Q760" s="26" t="e">
        <f>ROUND(O760,2)*P760</f>
        <v>#DIV/0!</v>
      </c>
      <c r="R760" s="93" t="e">
        <f>P760*dagenperjaar1</f>
        <v>#DIV/0!</v>
      </c>
      <c r="S760" s="27" t="e">
        <f>R760*ROUND(O760,2)</f>
        <v>#DIV/0!</v>
      </c>
    </row>
    <row r="761" spans="1:19" x14ac:dyDescent="0.2">
      <c r="A761" s="90" t="s">
        <v>947</v>
      </c>
      <c r="B761" s="91" t="s">
        <v>35</v>
      </c>
      <c r="C761" s="91" t="s">
        <v>313</v>
      </c>
      <c r="D761" s="91" t="s">
        <v>332</v>
      </c>
      <c r="E761" s="92" t="s">
        <v>423</v>
      </c>
      <c r="F761" s="91" t="s">
        <v>329</v>
      </c>
      <c r="G761" s="91" t="s">
        <v>252</v>
      </c>
      <c r="H761" s="91" t="s">
        <v>21</v>
      </c>
      <c r="I761" s="91" t="s">
        <v>235</v>
      </c>
      <c r="J761" s="92" t="s">
        <v>253</v>
      </c>
      <c r="K761" s="93">
        <v>174.8</v>
      </c>
      <c r="L761" s="93">
        <f>K761*VLOOKUP(H761,dagsoorttabel1,2,FALSE)</f>
        <v>0.67230769230769238</v>
      </c>
      <c r="M761" s="94">
        <f>prodnorm67</f>
        <v>0</v>
      </c>
      <c r="N761" s="91" t="s">
        <v>101</v>
      </c>
      <c r="O761" s="26">
        <f>uurtarief67</f>
        <v>0</v>
      </c>
      <c r="P761" s="93" t="e">
        <f>IF(ISBLANK(M761),0,L761/ROUND(M761,4))</f>
        <v>#DIV/0!</v>
      </c>
      <c r="Q761" s="26" t="e">
        <f>ROUND(O761,2)*P761</f>
        <v>#DIV/0!</v>
      </c>
      <c r="R761" s="93" t="e">
        <f>P761*dagenperjaar1</f>
        <v>#DIV/0!</v>
      </c>
      <c r="S761" s="27" t="e">
        <f>R761*ROUND(O761,2)</f>
        <v>#DIV/0!</v>
      </c>
    </row>
    <row r="762" spans="1:19" x14ac:dyDescent="0.2">
      <c r="A762" s="90" t="s">
        <v>947</v>
      </c>
      <c r="B762" s="91" t="s">
        <v>35</v>
      </c>
      <c r="C762" s="91" t="s">
        <v>313</v>
      </c>
      <c r="D762" s="91" t="s">
        <v>948</v>
      </c>
      <c r="E762" s="92" t="s">
        <v>418</v>
      </c>
      <c r="F762" s="91" t="s">
        <v>319</v>
      </c>
      <c r="G762" s="91" t="s">
        <v>298</v>
      </c>
      <c r="H762" s="91" t="s">
        <v>13</v>
      </c>
      <c r="I762" s="91" t="s">
        <v>235</v>
      </c>
      <c r="J762" s="92" t="s">
        <v>299</v>
      </c>
      <c r="K762" s="93">
        <v>2.4</v>
      </c>
      <c r="L762" s="93">
        <f>K762*VLOOKUP(H762,dagsoorttabel1,2,FALSE)</f>
        <v>0.48</v>
      </c>
      <c r="M762" s="94">
        <f>prodnorm124</f>
        <v>0</v>
      </c>
      <c r="N762" s="91" t="s">
        <v>101</v>
      </c>
      <c r="O762" s="26">
        <f>uurtarief124</f>
        <v>0</v>
      </c>
      <c r="P762" s="93" t="e">
        <f>IF(ISBLANK(M762),0,L762/ROUND(M762,4))</f>
        <v>#DIV/0!</v>
      </c>
      <c r="Q762" s="26" t="e">
        <f>ROUND(O762,2)*P762</f>
        <v>#DIV/0!</v>
      </c>
      <c r="R762" s="93" t="e">
        <f>P762*dagenperjaar1</f>
        <v>#DIV/0!</v>
      </c>
      <c r="S762" s="27" t="e">
        <f>R762*ROUND(O762,2)</f>
        <v>#DIV/0!</v>
      </c>
    </row>
    <row r="763" spans="1:19" x14ac:dyDescent="0.2">
      <c r="A763" s="90" t="s">
        <v>947</v>
      </c>
      <c r="B763" s="91" t="s">
        <v>35</v>
      </c>
      <c r="C763" s="91" t="s">
        <v>313</v>
      </c>
      <c r="D763" s="91" t="s">
        <v>334</v>
      </c>
      <c r="E763" s="92" t="s">
        <v>438</v>
      </c>
      <c r="F763" s="91" t="s">
        <v>329</v>
      </c>
      <c r="G763" s="91" t="s">
        <v>352</v>
      </c>
      <c r="H763" s="91"/>
      <c r="I763" s="91"/>
      <c r="J763" s="91"/>
      <c r="K763" s="93">
        <v>11.5</v>
      </c>
      <c r="L763" s="93"/>
      <c r="M763" s="94"/>
      <c r="N763" s="91"/>
      <c r="O763" s="26"/>
      <c r="P763" s="93"/>
      <c r="Q763" s="26"/>
      <c r="R763" s="95"/>
      <c r="S763" s="27"/>
    </row>
    <row r="764" spans="1:19" x14ac:dyDescent="0.2">
      <c r="A764" s="90" t="s">
        <v>947</v>
      </c>
      <c r="B764" s="91" t="s">
        <v>35</v>
      </c>
      <c r="C764" s="91" t="s">
        <v>313</v>
      </c>
      <c r="D764" s="91" t="s">
        <v>336</v>
      </c>
      <c r="E764" s="92" t="s">
        <v>506</v>
      </c>
      <c r="F764" s="91" t="s">
        <v>329</v>
      </c>
      <c r="G764" s="91" t="s">
        <v>277</v>
      </c>
      <c r="H764" s="91" t="s">
        <v>13</v>
      </c>
      <c r="I764" s="91" t="s">
        <v>235</v>
      </c>
      <c r="J764" s="92" t="s">
        <v>278</v>
      </c>
      <c r="K764" s="93">
        <v>26.45</v>
      </c>
      <c r="L764" s="93">
        <f>K764*VLOOKUP(H764,dagsoorttabel1,2,FALSE)</f>
        <v>5.29</v>
      </c>
      <c r="M764" s="94">
        <f>prodnorm97</f>
        <v>0</v>
      </c>
      <c r="N764" s="91" t="s">
        <v>101</v>
      </c>
      <c r="O764" s="26">
        <f>uurtarief97</f>
        <v>0</v>
      </c>
      <c r="P764" s="93" t="e">
        <f>IF(ISBLANK(M764),0,L764/ROUND(M764,4))</f>
        <v>#DIV/0!</v>
      </c>
      <c r="Q764" s="26" t="e">
        <f>ROUND(O764,2)*P764</f>
        <v>#DIV/0!</v>
      </c>
      <c r="R764" s="93" t="e">
        <f>P764*dagenperjaar1</f>
        <v>#DIV/0!</v>
      </c>
      <c r="S764" s="27" t="e">
        <f>R764*ROUND(O764,2)</f>
        <v>#DIV/0!</v>
      </c>
    </row>
    <row r="765" spans="1:19" x14ac:dyDescent="0.2">
      <c r="A765" s="90" t="s">
        <v>947</v>
      </c>
      <c r="B765" s="91" t="s">
        <v>35</v>
      </c>
      <c r="C765" s="91" t="s">
        <v>313</v>
      </c>
      <c r="D765" s="91" t="s">
        <v>338</v>
      </c>
      <c r="E765" s="92" t="s">
        <v>459</v>
      </c>
      <c r="F765" s="91" t="s">
        <v>329</v>
      </c>
      <c r="G765" s="91" t="s">
        <v>275</v>
      </c>
      <c r="H765" s="91" t="s">
        <v>13</v>
      </c>
      <c r="I765" s="91" t="s">
        <v>235</v>
      </c>
      <c r="J765" s="92" t="s">
        <v>276</v>
      </c>
      <c r="K765" s="93">
        <v>16.100000000000001</v>
      </c>
      <c r="L765" s="93">
        <f>K765*VLOOKUP(H765,dagsoorttabel1,2,FALSE)</f>
        <v>3.2200000000000006</v>
      </c>
      <c r="M765" s="94">
        <f>prodnorm94</f>
        <v>0</v>
      </c>
      <c r="N765" s="91" t="s">
        <v>101</v>
      </c>
      <c r="O765" s="26">
        <f>uurtarief94</f>
        <v>0</v>
      </c>
      <c r="P765" s="93" t="e">
        <f>IF(ISBLANK(M765),0,L765/ROUND(M765,4))</f>
        <v>#DIV/0!</v>
      </c>
      <c r="Q765" s="26" t="e">
        <f>ROUND(O765,2)*P765</f>
        <v>#DIV/0!</v>
      </c>
      <c r="R765" s="93" t="e">
        <f>P765*dagenperjaar1</f>
        <v>#DIV/0!</v>
      </c>
      <c r="S765" s="27" t="e">
        <f>R765*ROUND(O765,2)</f>
        <v>#DIV/0!</v>
      </c>
    </row>
    <row r="766" spans="1:19" x14ac:dyDescent="0.2">
      <c r="A766" s="90" t="s">
        <v>947</v>
      </c>
      <c r="B766" s="91" t="s">
        <v>35</v>
      </c>
      <c r="C766" s="91" t="s">
        <v>313</v>
      </c>
      <c r="D766" s="91" t="s">
        <v>339</v>
      </c>
      <c r="E766" s="92" t="s">
        <v>459</v>
      </c>
      <c r="F766" s="91" t="s">
        <v>329</v>
      </c>
      <c r="G766" s="91" t="s">
        <v>275</v>
      </c>
      <c r="H766" s="91" t="s">
        <v>13</v>
      </c>
      <c r="I766" s="91" t="s">
        <v>235</v>
      </c>
      <c r="J766" s="92" t="s">
        <v>276</v>
      </c>
      <c r="K766" s="93">
        <v>2.7</v>
      </c>
      <c r="L766" s="93">
        <f>K766*VLOOKUP(H766,dagsoorttabel1,2,FALSE)</f>
        <v>0.54</v>
      </c>
      <c r="M766" s="94">
        <f>prodnorm94</f>
        <v>0</v>
      </c>
      <c r="N766" s="91" t="s">
        <v>101</v>
      </c>
      <c r="O766" s="26">
        <f>uurtarief94</f>
        <v>0</v>
      </c>
      <c r="P766" s="93" t="e">
        <f>IF(ISBLANK(M766),0,L766/ROUND(M766,4))</f>
        <v>#DIV/0!</v>
      </c>
      <c r="Q766" s="26" t="e">
        <f>ROUND(O766,2)*P766</f>
        <v>#DIV/0!</v>
      </c>
      <c r="R766" s="93" t="e">
        <f>P766*dagenperjaar1</f>
        <v>#DIV/0!</v>
      </c>
      <c r="S766" s="27" t="e">
        <f>R766*ROUND(O766,2)</f>
        <v>#DIV/0!</v>
      </c>
    </row>
    <row r="767" spans="1:19" x14ac:dyDescent="0.2">
      <c r="A767" s="96" t="s">
        <v>947</v>
      </c>
      <c r="B767" s="97" t="s">
        <v>35</v>
      </c>
      <c r="C767" s="97" t="s">
        <v>313</v>
      </c>
      <c r="D767" s="97" t="s">
        <v>341</v>
      </c>
      <c r="E767" s="98" t="s">
        <v>910</v>
      </c>
      <c r="F767" s="97" t="s">
        <v>329</v>
      </c>
      <c r="G767" s="97" t="s">
        <v>279</v>
      </c>
      <c r="H767" s="97" t="s">
        <v>13</v>
      </c>
      <c r="I767" s="97" t="s">
        <v>235</v>
      </c>
      <c r="J767" s="98" t="s">
        <v>280</v>
      </c>
      <c r="K767" s="99">
        <v>1.4</v>
      </c>
      <c r="L767" s="99">
        <f>K767*VLOOKUP(H767,dagsoorttabel1,2,FALSE)</f>
        <v>0.27999999999999997</v>
      </c>
      <c r="M767" s="100">
        <f>prodnorm100</f>
        <v>0</v>
      </c>
      <c r="N767" s="97" t="s">
        <v>101</v>
      </c>
      <c r="O767" s="36">
        <f>uurtarief100</f>
        <v>0</v>
      </c>
      <c r="P767" s="99" t="e">
        <f>IF(ISBLANK(M767),0,L767/ROUND(M767,4))</f>
        <v>#DIV/0!</v>
      </c>
      <c r="Q767" s="36" t="e">
        <f>ROUND(O767,2)*P767</f>
        <v>#DIV/0!</v>
      </c>
      <c r="R767" s="99" t="e">
        <f>P767*dagenperjaar1</f>
        <v>#DIV/0!</v>
      </c>
      <c r="S767" s="37" t="e">
        <f>R767*ROUND(O767,2)</f>
        <v>#DIV/0!</v>
      </c>
    </row>
    <row r="768" spans="1:19" x14ac:dyDescent="0.2">
      <c r="A768" s="101" t="s">
        <v>356</v>
      </c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6" t="e">
        <f>IF(_xlfn.SINGLE(object22_urenjaar1)&gt;0,_xlfn.SINGLE(object22_prijsjaar1)/_xlfn.SINGLE(object22_urenjaar1),0)</f>
        <v>#DIV/0!</v>
      </c>
      <c r="P768" s="75" t="e">
        <f>SUM(P753:P767)</f>
        <v>#DIV/0!</v>
      </c>
      <c r="Q768" s="76" t="e">
        <f>SUM(Q753:Q767)</f>
        <v>#DIV/0!</v>
      </c>
      <c r="R768" s="75" t="e">
        <f>SUM(R753:R767)</f>
        <v>#DIV/0!</v>
      </c>
      <c r="S768" s="77" t="e">
        <f>SUM(S753:S767)</f>
        <v>#DIV/0!</v>
      </c>
    </row>
    <row r="769" spans="1:19" x14ac:dyDescent="0.2">
      <c r="A769" s="82" t="s">
        <v>949</v>
      </c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72"/>
    </row>
    <row r="770" spans="1:19" x14ac:dyDescent="0.2">
      <c r="A770" s="83" t="s">
        <v>950</v>
      </c>
      <c r="B770" s="84" t="s">
        <v>35</v>
      </c>
      <c r="C770" s="84" t="s">
        <v>313</v>
      </c>
      <c r="D770" s="84" t="s">
        <v>314</v>
      </c>
      <c r="E770" s="85" t="s">
        <v>951</v>
      </c>
      <c r="F770" s="84" t="s">
        <v>387</v>
      </c>
      <c r="G770" s="84" t="s">
        <v>285</v>
      </c>
      <c r="H770" s="84" t="s">
        <v>13</v>
      </c>
      <c r="I770" s="84" t="s">
        <v>235</v>
      </c>
      <c r="J770" s="85" t="s">
        <v>286</v>
      </c>
      <c r="K770" s="86">
        <v>7.13</v>
      </c>
      <c r="L770" s="86">
        <f>K770*VLOOKUP(H770,dagsoorttabel1,2,FALSE)</f>
        <v>1.4260000000000002</v>
      </c>
      <c r="M770" s="87">
        <f>prodnorm109</f>
        <v>0</v>
      </c>
      <c r="N770" s="84" t="s">
        <v>101</v>
      </c>
      <c r="O770" s="88">
        <f>uurtarief109</f>
        <v>0</v>
      </c>
      <c r="P770" s="86" t="e">
        <f>IF(ISBLANK(M770),0,L770/ROUND(M770,4))</f>
        <v>#DIV/0!</v>
      </c>
      <c r="Q770" s="88" t="e">
        <f>ROUND(O770,2)*P770</f>
        <v>#DIV/0!</v>
      </c>
      <c r="R770" s="86" t="e">
        <f>P770*dagenperjaar1</f>
        <v>#DIV/0!</v>
      </c>
      <c r="S770" s="89" t="e">
        <f>R770*ROUND(O770,2)</f>
        <v>#DIV/0!</v>
      </c>
    </row>
    <row r="771" spans="1:19" x14ac:dyDescent="0.2">
      <c r="A771" s="90" t="s">
        <v>950</v>
      </c>
      <c r="B771" s="91" t="s">
        <v>35</v>
      </c>
      <c r="C771" s="91" t="s">
        <v>313</v>
      </c>
      <c r="D771" s="91" t="s">
        <v>317</v>
      </c>
      <c r="E771" s="92" t="s">
        <v>560</v>
      </c>
      <c r="F771" s="91" t="s">
        <v>347</v>
      </c>
      <c r="G771" s="91" t="s">
        <v>283</v>
      </c>
      <c r="H771" s="91" t="s">
        <v>13</v>
      </c>
      <c r="I771" s="91" t="s">
        <v>235</v>
      </c>
      <c r="J771" s="92" t="s">
        <v>284</v>
      </c>
      <c r="K771" s="93">
        <v>18.150000000000002</v>
      </c>
      <c r="L771" s="93">
        <f>K771*VLOOKUP(H771,dagsoorttabel1,2,FALSE)</f>
        <v>3.6300000000000008</v>
      </c>
      <c r="M771" s="94">
        <f>prodnorm106</f>
        <v>0</v>
      </c>
      <c r="N771" s="91" t="s">
        <v>101</v>
      </c>
      <c r="O771" s="26">
        <f>uurtarief106</f>
        <v>0</v>
      </c>
      <c r="P771" s="93" t="e">
        <f>IF(ISBLANK(M771),0,L771/ROUND(M771,4))</f>
        <v>#DIV/0!</v>
      </c>
      <c r="Q771" s="26" t="e">
        <f>ROUND(O771,2)*P771</f>
        <v>#DIV/0!</v>
      </c>
      <c r="R771" s="93" t="e">
        <f>P771*dagenperjaar1</f>
        <v>#DIV/0!</v>
      </c>
      <c r="S771" s="27" t="e">
        <f>R771*ROUND(O771,2)</f>
        <v>#DIV/0!</v>
      </c>
    </row>
    <row r="772" spans="1:19" x14ac:dyDescent="0.2">
      <c r="A772" s="90" t="s">
        <v>950</v>
      </c>
      <c r="B772" s="91" t="s">
        <v>35</v>
      </c>
      <c r="C772" s="91" t="s">
        <v>313</v>
      </c>
      <c r="D772" s="91" t="s">
        <v>892</v>
      </c>
      <c r="E772" s="92" t="s">
        <v>318</v>
      </c>
      <c r="F772" s="91" t="s">
        <v>385</v>
      </c>
      <c r="G772" s="91" t="s">
        <v>298</v>
      </c>
      <c r="H772" s="91" t="s">
        <v>13</v>
      </c>
      <c r="I772" s="91" t="s">
        <v>235</v>
      </c>
      <c r="J772" s="92" t="s">
        <v>299</v>
      </c>
      <c r="K772" s="93">
        <v>9</v>
      </c>
      <c r="L772" s="93">
        <f>K772*VLOOKUP(H772,dagsoorttabel1,2,FALSE)</f>
        <v>1.8</v>
      </c>
      <c r="M772" s="94">
        <f>prodnorm124</f>
        <v>0</v>
      </c>
      <c r="N772" s="91" t="s">
        <v>101</v>
      </c>
      <c r="O772" s="26">
        <f>uurtarief124</f>
        <v>0</v>
      </c>
      <c r="P772" s="93" t="e">
        <f>IF(ISBLANK(M772),0,L772/ROUND(M772,4))</f>
        <v>#DIV/0!</v>
      </c>
      <c r="Q772" s="26" t="e">
        <f>ROUND(O772,2)*P772</f>
        <v>#DIV/0!</v>
      </c>
      <c r="R772" s="93" t="e">
        <f>P772*dagenperjaar1</f>
        <v>#DIV/0!</v>
      </c>
      <c r="S772" s="27" t="e">
        <f>R772*ROUND(O772,2)</f>
        <v>#DIV/0!</v>
      </c>
    </row>
    <row r="773" spans="1:19" x14ac:dyDescent="0.2">
      <c r="A773" s="90" t="s">
        <v>950</v>
      </c>
      <c r="B773" s="91" t="s">
        <v>35</v>
      </c>
      <c r="C773" s="91" t="s">
        <v>313</v>
      </c>
      <c r="D773" s="91" t="s">
        <v>322</v>
      </c>
      <c r="E773" s="92" t="s">
        <v>952</v>
      </c>
      <c r="F773" s="91" t="s">
        <v>347</v>
      </c>
      <c r="G773" s="91" t="s">
        <v>239</v>
      </c>
      <c r="H773" s="91" t="s">
        <v>13</v>
      </c>
      <c r="I773" s="91" t="s">
        <v>235</v>
      </c>
      <c r="J773" s="92" t="s">
        <v>240</v>
      </c>
      <c r="K773" s="93">
        <v>16.77</v>
      </c>
      <c r="L773" s="93">
        <f>K773*VLOOKUP(H773,dagsoorttabel1,2,FALSE)</f>
        <v>3.3540000000000001</v>
      </c>
      <c r="M773" s="94">
        <f>prodnorm53</f>
        <v>0</v>
      </c>
      <c r="N773" s="91" t="s">
        <v>101</v>
      </c>
      <c r="O773" s="26">
        <f>uurtarief53</f>
        <v>0</v>
      </c>
      <c r="P773" s="93" t="e">
        <f>IF(ISBLANK(M773),0,L773/ROUND(M773,4))</f>
        <v>#DIV/0!</v>
      </c>
      <c r="Q773" s="26" t="e">
        <f>ROUND(O773,2)*P773</f>
        <v>#DIV/0!</v>
      </c>
      <c r="R773" s="93" t="e">
        <f>P773*dagenperjaar1</f>
        <v>#DIV/0!</v>
      </c>
      <c r="S773" s="27" t="e">
        <f>R773*ROUND(O773,2)</f>
        <v>#DIV/0!</v>
      </c>
    </row>
    <row r="774" spans="1:19" x14ac:dyDescent="0.2">
      <c r="A774" s="90" t="s">
        <v>950</v>
      </c>
      <c r="B774" s="91" t="s">
        <v>35</v>
      </c>
      <c r="C774" s="91" t="s">
        <v>313</v>
      </c>
      <c r="D774" s="91" t="s">
        <v>324</v>
      </c>
      <c r="E774" s="92" t="s">
        <v>333</v>
      </c>
      <c r="F774" s="91" t="s">
        <v>329</v>
      </c>
      <c r="G774" s="91" t="s">
        <v>279</v>
      </c>
      <c r="H774" s="91" t="s">
        <v>13</v>
      </c>
      <c r="I774" s="91" t="s">
        <v>235</v>
      </c>
      <c r="J774" s="92" t="s">
        <v>280</v>
      </c>
      <c r="K774" s="93">
        <v>4.2300000000000004</v>
      </c>
      <c r="L774" s="93">
        <f>K774*VLOOKUP(H774,dagsoorttabel1,2,FALSE)</f>
        <v>0.84600000000000009</v>
      </c>
      <c r="M774" s="94">
        <f>prodnorm100</f>
        <v>0</v>
      </c>
      <c r="N774" s="91" t="s">
        <v>101</v>
      </c>
      <c r="O774" s="26">
        <f>uurtarief100</f>
        <v>0</v>
      </c>
      <c r="P774" s="93" t="e">
        <f>IF(ISBLANK(M774),0,L774/ROUND(M774,4))</f>
        <v>#DIV/0!</v>
      </c>
      <c r="Q774" s="26" t="e">
        <f>ROUND(O774,2)*P774</f>
        <v>#DIV/0!</v>
      </c>
      <c r="R774" s="93" t="e">
        <f>P774*dagenperjaar1</f>
        <v>#DIV/0!</v>
      </c>
      <c r="S774" s="27" t="e">
        <f>R774*ROUND(O774,2)</f>
        <v>#DIV/0!</v>
      </c>
    </row>
    <row r="775" spans="1:19" x14ac:dyDescent="0.2">
      <c r="A775" s="90" t="s">
        <v>950</v>
      </c>
      <c r="B775" s="91" t="s">
        <v>35</v>
      </c>
      <c r="C775" s="91" t="s">
        <v>313</v>
      </c>
      <c r="D775" s="91" t="s">
        <v>325</v>
      </c>
      <c r="E775" s="92" t="s">
        <v>331</v>
      </c>
      <c r="F775" s="91" t="s">
        <v>329</v>
      </c>
      <c r="G775" s="91" t="s">
        <v>279</v>
      </c>
      <c r="H775" s="91" t="s">
        <v>13</v>
      </c>
      <c r="I775" s="91" t="s">
        <v>235</v>
      </c>
      <c r="J775" s="92" t="s">
        <v>280</v>
      </c>
      <c r="K775" s="93">
        <v>3.8699999999999997</v>
      </c>
      <c r="L775" s="93">
        <f>K775*VLOOKUP(H775,dagsoorttabel1,2,FALSE)</f>
        <v>0.77400000000000002</v>
      </c>
      <c r="M775" s="94">
        <f>prodnorm100</f>
        <v>0</v>
      </c>
      <c r="N775" s="91" t="s">
        <v>101</v>
      </c>
      <c r="O775" s="26">
        <f>uurtarief100</f>
        <v>0</v>
      </c>
      <c r="P775" s="93" t="e">
        <f>IF(ISBLANK(M775),0,L775/ROUND(M775,4))</f>
        <v>#DIV/0!</v>
      </c>
      <c r="Q775" s="26" t="e">
        <f>ROUND(O775,2)*P775</f>
        <v>#DIV/0!</v>
      </c>
      <c r="R775" s="93" t="e">
        <f>P775*dagenperjaar1</f>
        <v>#DIV/0!</v>
      </c>
      <c r="S775" s="27" t="e">
        <f>R775*ROUND(O775,2)</f>
        <v>#DIV/0!</v>
      </c>
    </row>
    <row r="776" spans="1:19" x14ac:dyDescent="0.2">
      <c r="A776" s="90" t="s">
        <v>950</v>
      </c>
      <c r="B776" s="91" t="s">
        <v>35</v>
      </c>
      <c r="C776" s="91" t="s">
        <v>313</v>
      </c>
      <c r="D776" s="91" t="s">
        <v>327</v>
      </c>
      <c r="E776" s="92" t="s">
        <v>380</v>
      </c>
      <c r="F776" s="91" t="s">
        <v>347</v>
      </c>
      <c r="G776" s="91" t="s">
        <v>352</v>
      </c>
      <c r="H776" s="91"/>
      <c r="I776" s="91"/>
      <c r="J776" s="91"/>
      <c r="K776" s="93">
        <v>1.86</v>
      </c>
      <c r="L776" s="93"/>
      <c r="M776" s="94"/>
      <c r="N776" s="91"/>
      <c r="O776" s="26"/>
      <c r="P776" s="93"/>
      <c r="Q776" s="26"/>
      <c r="R776" s="95"/>
      <c r="S776" s="27"/>
    </row>
    <row r="777" spans="1:19" x14ac:dyDescent="0.2">
      <c r="A777" s="90" t="s">
        <v>950</v>
      </c>
      <c r="B777" s="91" t="s">
        <v>35</v>
      </c>
      <c r="C777" s="91" t="s">
        <v>313</v>
      </c>
      <c r="D777" s="91" t="s">
        <v>330</v>
      </c>
      <c r="E777" s="92" t="s">
        <v>383</v>
      </c>
      <c r="F777" s="91" t="s">
        <v>953</v>
      </c>
      <c r="G777" s="91" t="s">
        <v>291</v>
      </c>
      <c r="H777" s="91" t="s">
        <v>13</v>
      </c>
      <c r="I777" s="91" t="s">
        <v>235</v>
      </c>
      <c r="J777" s="92" t="s">
        <v>292</v>
      </c>
      <c r="K777" s="93">
        <v>2.17</v>
      </c>
      <c r="L777" s="93">
        <f>K777*VLOOKUP(H777,dagsoorttabel1,2,FALSE)</f>
        <v>0.434</v>
      </c>
      <c r="M777" s="94">
        <f>prodnorm116</f>
        <v>0</v>
      </c>
      <c r="N777" s="91" t="s">
        <v>101</v>
      </c>
      <c r="O777" s="26">
        <f>uurtarief116</f>
        <v>0</v>
      </c>
      <c r="P777" s="93" t="e">
        <f>IF(ISBLANK(M777),0,L777/ROUND(M777,4))</f>
        <v>#DIV/0!</v>
      </c>
      <c r="Q777" s="26" t="e">
        <f>ROUND(O777,2)*P777</f>
        <v>#DIV/0!</v>
      </c>
      <c r="R777" s="93" t="e">
        <f>P777*dagenperjaar1</f>
        <v>#DIV/0!</v>
      </c>
      <c r="S777" s="27" t="e">
        <f>R777*ROUND(O777,2)</f>
        <v>#DIV/0!</v>
      </c>
    </row>
    <row r="778" spans="1:19" x14ac:dyDescent="0.2">
      <c r="A778" s="90" t="s">
        <v>950</v>
      </c>
      <c r="B778" s="91" t="s">
        <v>35</v>
      </c>
      <c r="C778" s="91" t="s">
        <v>313</v>
      </c>
      <c r="D778" s="91" t="s">
        <v>332</v>
      </c>
      <c r="E778" s="92" t="s">
        <v>340</v>
      </c>
      <c r="F778" s="91" t="s">
        <v>329</v>
      </c>
      <c r="G778" s="91" t="s">
        <v>252</v>
      </c>
      <c r="H778" s="91" t="s">
        <v>21</v>
      </c>
      <c r="I778" s="91" t="s">
        <v>235</v>
      </c>
      <c r="J778" s="92" t="s">
        <v>253</v>
      </c>
      <c r="K778" s="93">
        <v>33.730000000000004</v>
      </c>
      <c r="L778" s="93">
        <f>K778*VLOOKUP(H778,dagsoorttabel1,2,FALSE)</f>
        <v>0.12973076923076926</v>
      </c>
      <c r="M778" s="94">
        <f>prodnorm67</f>
        <v>0</v>
      </c>
      <c r="N778" s="91" t="s">
        <v>101</v>
      </c>
      <c r="O778" s="26">
        <f>uurtarief67</f>
        <v>0</v>
      </c>
      <c r="P778" s="93" t="e">
        <f>IF(ISBLANK(M778),0,L778/ROUND(M778,4))</f>
        <v>#DIV/0!</v>
      </c>
      <c r="Q778" s="26" t="e">
        <f>ROUND(O778,2)*P778</f>
        <v>#DIV/0!</v>
      </c>
      <c r="R778" s="93" t="e">
        <f>P778*dagenperjaar1</f>
        <v>#DIV/0!</v>
      </c>
      <c r="S778" s="27" t="e">
        <f>R778*ROUND(O778,2)</f>
        <v>#DIV/0!</v>
      </c>
    </row>
    <row r="779" spans="1:19" x14ac:dyDescent="0.2">
      <c r="A779" s="90" t="s">
        <v>950</v>
      </c>
      <c r="B779" s="91" t="s">
        <v>35</v>
      </c>
      <c r="C779" s="91" t="s">
        <v>313</v>
      </c>
      <c r="D779" s="91" t="s">
        <v>334</v>
      </c>
      <c r="E779" s="92" t="s">
        <v>590</v>
      </c>
      <c r="F779" s="91" t="s">
        <v>329</v>
      </c>
      <c r="G779" s="91" t="s">
        <v>275</v>
      </c>
      <c r="H779" s="91" t="s">
        <v>13</v>
      </c>
      <c r="I779" s="91" t="s">
        <v>235</v>
      </c>
      <c r="J779" s="92" t="s">
        <v>276</v>
      </c>
      <c r="K779" s="93">
        <v>10.46</v>
      </c>
      <c r="L779" s="93">
        <f>K779*VLOOKUP(H779,dagsoorttabel1,2,FALSE)</f>
        <v>2.0920000000000001</v>
      </c>
      <c r="M779" s="94">
        <f>prodnorm94</f>
        <v>0</v>
      </c>
      <c r="N779" s="91" t="s">
        <v>101</v>
      </c>
      <c r="O779" s="26">
        <f>uurtarief94</f>
        <v>0</v>
      </c>
      <c r="P779" s="93" t="e">
        <f>IF(ISBLANK(M779),0,L779/ROUND(M779,4))</f>
        <v>#DIV/0!</v>
      </c>
      <c r="Q779" s="26" t="e">
        <f>ROUND(O779,2)*P779</f>
        <v>#DIV/0!</v>
      </c>
      <c r="R779" s="93" t="e">
        <f>P779*dagenperjaar1</f>
        <v>#DIV/0!</v>
      </c>
      <c r="S779" s="27" t="e">
        <f>R779*ROUND(O779,2)</f>
        <v>#DIV/0!</v>
      </c>
    </row>
    <row r="780" spans="1:19" x14ac:dyDescent="0.2">
      <c r="A780" s="90" t="s">
        <v>950</v>
      </c>
      <c r="B780" s="91" t="s">
        <v>35</v>
      </c>
      <c r="C780" s="91" t="s">
        <v>313</v>
      </c>
      <c r="D780" s="91" t="s">
        <v>338</v>
      </c>
      <c r="E780" s="92" t="s">
        <v>337</v>
      </c>
      <c r="F780" s="91" t="s">
        <v>329</v>
      </c>
      <c r="G780" s="91" t="s">
        <v>277</v>
      </c>
      <c r="H780" s="91" t="s">
        <v>13</v>
      </c>
      <c r="I780" s="91" t="s">
        <v>235</v>
      </c>
      <c r="J780" s="92" t="s">
        <v>278</v>
      </c>
      <c r="K780" s="93">
        <v>11.850000000000001</v>
      </c>
      <c r="L780" s="93">
        <f>K780*VLOOKUP(H780,dagsoorttabel1,2,FALSE)</f>
        <v>2.3700000000000006</v>
      </c>
      <c r="M780" s="94">
        <f>prodnorm97</f>
        <v>0</v>
      </c>
      <c r="N780" s="91" t="s">
        <v>101</v>
      </c>
      <c r="O780" s="26">
        <f>uurtarief97</f>
        <v>0</v>
      </c>
      <c r="P780" s="93" t="e">
        <f>IF(ISBLANK(M780),0,L780/ROUND(M780,4))</f>
        <v>#DIV/0!</v>
      </c>
      <c r="Q780" s="26" t="e">
        <f>ROUND(O780,2)*P780</f>
        <v>#DIV/0!</v>
      </c>
      <c r="R780" s="93" t="e">
        <f>P780*dagenperjaar1</f>
        <v>#DIV/0!</v>
      </c>
      <c r="S780" s="27" t="e">
        <f>R780*ROUND(O780,2)</f>
        <v>#DIV/0!</v>
      </c>
    </row>
    <row r="781" spans="1:19" x14ac:dyDescent="0.2">
      <c r="A781" s="90" t="s">
        <v>950</v>
      </c>
      <c r="B781" s="91" t="s">
        <v>35</v>
      </c>
      <c r="C781" s="91" t="s">
        <v>313</v>
      </c>
      <c r="D781" s="91" t="s">
        <v>339</v>
      </c>
      <c r="E781" s="92" t="s">
        <v>954</v>
      </c>
      <c r="F781" s="91" t="s">
        <v>329</v>
      </c>
      <c r="G781" s="91" t="s">
        <v>277</v>
      </c>
      <c r="H781" s="91" t="s">
        <v>13</v>
      </c>
      <c r="I781" s="91" t="s">
        <v>235</v>
      </c>
      <c r="J781" s="92" t="s">
        <v>278</v>
      </c>
      <c r="K781" s="93">
        <v>2.6</v>
      </c>
      <c r="L781" s="93">
        <f>K781*VLOOKUP(H781,dagsoorttabel1,2,FALSE)</f>
        <v>0.52</v>
      </c>
      <c r="M781" s="94">
        <f>prodnorm97</f>
        <v>0</v>
      </c>
      <c r="N781" s="91" t="s">
        <v>101</v>
      </c>
      <c r="O781" s="26">
        <f>uurtarief97</f>
        <v>0</v>
      </c>
      <c r="P781" s="93" t="e">
        <f>IF(ISBLANK(M781),0,L781/ROUND(M781,4))</f>
        <v>#DIV/0!</v>
      </c>
      <c r="Q781" s="26" t="e">
        <f>ROUND(O781,2)*P781</f>
        <v>#DIV/0!</v>
      </c>
      <c r="R781" s="93" t="e">
        <f>P781*dagenperjaar1</f>
        <v>#DIV/0!</v>
      </c>
      <c r="S781" s="27" t="e">
        <f>R781*ROUND(O781,2)</f>
        <v>#DIV/0!</v>
      </c>
    </row>
    <row r="782" spans="1:19" x14ac:dyDescent="0.2">
      <c r="A782" s="90" t="s">
        <v>950</v>
      </c>
      <c r="B782" s="91" t="s">
        <v>35</v>
      </c>
      <c r="C782" s="91" t="s">
        <v>313</v>
      </c>
      <c r="D782" s="91" t="s">
        <v>341</v>
      </c>
      <c r="E782" s="92" t="s">
        <v>955</v>
      </c>
      <c r="F782" s="91" t="s">
        <v>329</v>
      </c>
      <c r="G782" s="91" t="s">
        <v>275</v>
      </c>
      <c r="H782" s="91" t="s">
        <v>13</v>
      </c>
      <c r="I782" s="91" t="s">
        <v>235</v>
      </c>
      <c r="J782" s="92" t="s">
        <v>276</v>
      </c>
      <c r="K782" s="93">
        <v>2.2800000000000002</v>
      </c>
      <c r="L782" s="93">
        <f>K782*VLOOKUP(H782,dagsoorttabel1,2,FALSE)</f>
        <v>0.45600000000000007</v>
      </c>
      <c r="M782" s="94">
        <f>prodnorm94</f>
        <v>0</v>
      </c>
      <c r="N782" s="91" t="s">
        <v>101</v>
      </c>
      <c r="O782" s="26">
        <f>uurtarief94</f>
        <v>0</v>
      </c>
      <c r="P782" s="93" t="e">
        <f>IF(ISBLANK(M782),0,L782/ROUND(M782,4))</f>
        <v>#DIV/0!</v>
      </c>
      <c r="Q782" s="26" t="e">
        <f>ROUND(O782,2)*P782</f>
        <v>#DIV/0!</v>
      </c>
      <c r="R782" s="93" t="e">
        <f>P782*dagenperjaar1</f>
        <v>#DIV/0!</v>
      </c>
      <c r="S782" s="27" t="e">
        <f>R782*ROUND(O782,2)</f>
        <v>#DIV/0!</v>
      </c>
    </row>
    <row r="783" spans="1:19" x14ac:dyDescent="0.2">
      <c r="A783" s="90" t="s">
        <v>950</v>
      </c>
      <c r="B783" s="91" t="s">
        <v>35</v>
      </c>
      <c r="C783" s="91" t="s">
        <v>313</v>
      </c>
      <c r="D783" s="91" t="s">
        <v>372</v>
      </c>
      <c r="E783" s="92" t="s">
        <v>333</v>
      </c>
      <c r="F783" s="91" t="s">
        <v>329</v>
      </c>
      <c r="G783" s="91" t="s">
        <v>279</v>
      </c>
      <c r="H783" s="91" t="s">
        <v>13</v>
      </c>
      <c r="I783" s="91" t="s">
        <v>235</v>
      </c>
      <c r="J783" s="92" t="s">
        <v>280</v>
      </c>
      <c r="K783" s="93">
        <v>2.96</v>
      </c>
      <c r="L783" s="93">
        <f>K783*VLOOKUP(H783,dagsoorttabel1,2,FALSE)</f>
        <v>0.59199999999999997</v>
      </c>
      <c r="M783" s="94">
        <f>prodnorm100</f>
        <v>0</v>
      </c>
      <c r="N783" s="91" t="s">
        <v>101</v>
      </c>
      <c r="O783" s="26">
        <f>uurtarief100</f>
        <v>0</v>
      </c>
      <c r="P783" s="93" t="e">
        <f>IF(ISBLANK(M783),0,L783/ROUND(M783,4))</f>
        <v>#DIV/0!</v>
      </c>
      <c r="Q783" s="26" t="e">
        <f>ROUND(O783,2)*P783</f>
        <v>#DIV/0!</v>
      </c>
      <c r="R783" s="93" t="e">
        <f>P783*dagenperjaar1</f>
        <v>#DIV/0!</v>
      </c>
      <c r="S783" s="27" t="e">
        <f>R783*ROUND(O783,2)</f>
        <v>#DIV/0!</v>
      </c>
    </row>
    <row r="784" spans="1:19" x14ac:dyDescent="0.2">
      <c r="A784" s="90" t="s">
        <v>950</v>
      </c>
      <c r="B784" s="91" t="s">
        <v>35</v>
      </c>
      <c r="C784" s="91" t="s">
        <v>313</v>
      </c>
      <c r="D784" s="91" t="s">
        <v>391</v>
      </c>
      <c r="E784" s="92" t="s">
        <v>333</v>
      </c>
      <c r="F784" s="91" t="s">
        <v>329</v>
      </c>
      <c r="G784" s="91" t="s">
        <v>279</v>
      </c>
      <c r="H784" s="91" t="s">
        <v>13</v>
      </c>
      <c r="I784" s="91" t="s">
        <v>235</v>
      </c>
      <c r="J784" s="92" t="s">
        <v>280</v>
      </c>
      <c r="K784" s="93">
        <v>1.6400000000000001</v>
      </c>
      <c r="L784" s="93">
        <f>K784*VLOOKUP(H784,dagsoorttabel1,2,FALSE)</f>
        <v>0.32800000000000007</v>
      </c>
      <c r="M784" s="94">
        <f>prodnorm100</f>
        <v>0</v>
      </c>
      <c r="N784" s="91" t="s">
        <v>101</v>
      </c>
      <c r="O784" s="26">
        <f>uurtarief100</f>
        <v>0</v>
      </c>
      <c r="P784" s="93" t="e">
        <f>IF(ISBLANK(M784),0,L784/ROUND(M784,4))</f>
        <v>#DIV/0!</v>
      </c>
      <c r="Q784" s="26" t="e">
        <f>ROUND(O784,2)*P784</f>
        <v>#DIV/0!</v>
      </c>
      <c r="R784" s="93" t="e">
        <f>P784*dagenperjaar1</f>
        <v>#DIV/0!</v>
      </c>
      <c r="S784" s="27" t="e">
        <f>R784*ROUND(O784,2)</f>
        <v>#DIV/0!</v>
      </c>
    </row>
    <row r="785" spans="1:19" ht="25.2" x14ac:dyDescent="0.2">
      <c r="A785" s="90" t="s">
        <v>950</v>
      </c>
      <c r="B785" s="91" t="s">
        <v>35</v>
      </c>
      <c r="C785" s="91" t="s">
        <v>313</v>
      </c>
      <c r="D785" s="91" t="s">
        <v>392</v>
      </c>
      <c r="E785" s="92" t="s">
        <v>956</v>
      </c>
      <c r="F785" s="91" t="s">
        <v>329</v>
      </c>
      <c r="G785" s="91" t="s">
        <v>293</v>
      </c>
      <c r="H785" s="91" t="s">
        <v>21</v>
      </c>
      <c r="I785" s="91" t="s">
        <v>235</v>
      </c>
      <c r="J785" s="92" t="s">
        <v>294</v>
      </c>
      <c r="K785" s="93">
        <v>38.49</v>
      </c>
      <c r="L785" s="93">
        <f>K785*VLOOKUP(H785,dagsoorttabel1,2,FALSE)</f>
        <v>0.14803846153846156</v>
      </c>
      <c r="M785" s="94">
        <f>prodnorm118</f>
        <v>0</v>
      </c>
      <c r="N785" s="91" t="s">
        <v>101</v>
      </c>
      <c r="O785" s="26">
        <f>uurtarief118</f>
        <v>0</v>
      </c>
      <c r="P785" s="93" t="e">
        <f>IF(ISBLANK(M785),0,L785/ROUND(M785,4))</f>
        <v>#DIV/0!</v>
      </c>
      <c r="Q785" s="26" t="e">
        <f>ROUND(O785,2)*P785</f>
        <v>#DIV/0!</v>
      </c>
      <c r="R785" s="93" t="e">
        <f>P785*dagenperjaar1</f>
        <v>#DIV/0!</v>
      </c>
      <c r="S785" s="27" t="e">
        <f>R785*ROUND(O785,2)</f>
        <v>#DIV/0!</v>
      </c>
    </row>
    <row r="786" spans="1:19" x14ac:dyDescent="0.2">
      <c r="A786" s="90" t="s">
        <v>950</v>
      </c>
      <c r="B786" s="91" t="s">
        <v>35</v>
      </c>
      <c r="C786" s="91" t="s">
        <v>313</v>
      </c>
      <c r="D786" s="91" t="s">
        <v>393</v>
      </c>
      <c r="E786" s="92" t="s">
        <v>957</v>
      </c>
      <c r="F786" s="91" t="s">
        <v>958</v>
      </c>
      <c r="G786" s="91" t="s">
        <v>252</v>
      </c>
      <c r="H786" s="91" t="s">
        <v>20</v>
      </c>
      <c r="I786" s="91" t="s">
        <v>235</v>
      </c>
      <c r="J786" s="92" t="s">
        <v>253</v>
      </c>
      <c r="K786" s="93">
        <v>25.86</v>
      </c>
      <c r="L786" s="93">
        <f>K786*VLOOKUP(H786,dagsoorttabel1,2,FALSE)</f>
        <v>0.19892307692307692</v>
      </c>
      <c r="M786" s="94">
        <f>prodnorm69</f>
        <v>0</v>
      </c>
      <c r="N786" s="91" t="s">
        <v>101</v>
      </c>
      <c r="O786" s="26">
        <f>uurtarief69</f>
        <v>0</v>
      </c>
      <c r="P786" s="93" t="e">
        <f>IF(ISBLANK(M786),0,L786/ROUND(M786,4))</f>
        <v>#DIV/0!</v>
      </c>
      <c r="Q786" s="26" t="e">
        <f>ROUND(O786,2)*P786</f>
        <v>#DIV/0!</v>
      </c>
      <c r="R786" s="93" t="e">
        <f>P786*dagenperjaar1</f>
        <v>#DIV/0!</v>
      </c>
      <c r="S786" s="27" t="e">
        <f>R786*ROUND(O786,2)</f>
        <v>#DIV/0!</v>
      </c>
    </row>
    <row r="787" spans="1:19" x14ac:dyDescent="0.2">
      <c r="A787" s="90" t="s">
        <v>950</v>
      </c>
      <c r="B787" s="91" t="s">
        <v>35</v>
      </c>
      <c r="C787" s="91" t="s">
        <v>313</v>
      </c>
      <c r="D787" s="91" t="s">
        <v>395</v>
      </c>
      <c r="E787" s="92" t="s">
        <v>340</v>
      </c>
      <c r="F787" s="91" t="s">
        <v>329</v>
      </c>
      <c r="G787" s="91" t="s">
        <v>252</v>
      </c>
      <c r="H787" s="91" t="s">
        <v>21</v>
      </c>
      <c r="I787" s="91" t="s">
        <v>235</v>
      </c>
      <c r="J787" s="92" t="s">
        <v>253</v>
      </c>
      <c r="K787" s="93">
        <v>120.11999999999999</v>
      </c>
      <c r="L787" s="93">
        <f>K787*VLOOKUP(H787,dagsoorttabel1,2,FALSE)</f>
        <v>0.46199999999999997</v>
      </c>
      <c r="M787" s="94">
        <f>prodnorm67</f>
        <v>0</v>
      </c>
      <c r="N787" s="91" t="s">
        <v>101</v>
      </c>
      <c r="O787" s="26">
        <f>uurtarief67</f>
        <v>0</v>
      </c>
      <c r="P787" s="93" t="e">
        <f>IF(ISBLANK(M787),0,L787/ROUND(M787,4))</f>
        <v>#DIV/0!</v>
      </c>
      <c r="Q787" s="26" t="e">
        <f>ROUND(O787,2)*P787</f>
        <v>#DIV/0!</v>
      </c>
      <c r="R787" s="93" t="e">
        <f>P787*dagenperjaar1</f>
        <v>#DIV/0!</v>
      </c>
      <c r="S787" s="27" t="e">
        <f>R787*ROUND(O787,2)</f>
        <v>#DIV/0!</v>
      </c>
    </row>
    <row r="788" spans="1:19" x14ac:dyDescent="0.2">
      <c r="A788" s="90" t="s">
        <v>950</v>
      </c>
      <c r="B788" s="91" t="s">
        <v>35</v>
      </c>
      <c r="C788" s="91" t="s">
        <v>343</v>
      </c>
      <c r="D788" s="91" t="s">
        <v>344</v>
      </c>
      <c r="E788" s="92" t="s">
        <v>898</v>
      </c>
      <c r="F788" s="91" t="s">
        <v>347</v>
      </c>
      <c r="G788" s="91" t="s">
        <v>283</v>
      </c>
      <c r="H788" s="91" t="s">
        <v>13</v>
      </c>
      <c r="I788" s="91" t="s">
        <v>235</v>
      </c>
      <c r="J788" s="92" t="s">
        <v>284</v>
      </c>
      <c r="K788" s="93">
        <v>19.350000000000001</v>
      </c>
      <c r="L788" s="93">
        <f>K788*VLOOKUP(H788,dagsoorttabel1,2,FALSE)</f>
        <v>3.8700000000000006</v>
      </c>
      <c r="M788" s="94">
        <f>prodnorm106</f>
        <v>0</v>
      </c>
      <c r="N788" s="91" t="s">
        <v>101</v>
      </c>
      <c r="O788" s="26">
        <f>uurtarief106</f>
        <v>0</v>
      </c>
      <c r="P788" s="93" t="e">
        <f>IF(ISBLANK(M788),0,L788/ROUND(M788,4))</f>
        <v>#DIV/0!</v>
      </c>
      <c r="Q788" s="26" t="e">
        <f>ROUND(O788,2)*P788</f>
        <v>#DIV/0!</v>
      </c>
      <c r="R788" s="93" t="e">
        <f>P788*dagenperjaar1</f>
        <v>#DIV/0!</v>
      </c>
      <c r="S788" s="27" t="e">
        <f>R788*ROUND(O788,2)</f>
        <v>#DIV/0!</v>
      </c>
    </row>
    <row r="789" spans="1:19" x14ac:dyDescent="0.2">
      <c r="A789" s="90" t="s">
        <v>950</v>
      </c>
      <c r="B789" s="91" t="s">
        <v>35</v>
      </c>
      <c r="C789" s="91" t="s">
        <v>343</v>
      </c>
      <c r="D789" s="91" t="s">
        <v>345</v>
      </c>
      <c r="E789" s="92" t="s">
        <v>959</v>
      </c>
      <c r="F789" s="91" t="s">
        <v>347</v>
      </c>
      <c r="G789" s="91" t="s">
        <v>352</v>
      </c>
      <c r="H789" s="91"/>
      <c r="I789" s="91"/>
      <c r="J789" s="91"/>
      <c r="K789" s="93">
        <v>5.22</v>
      </c>
      <c r="L789" s="93"/>
      <c r="M789" s="94"/>
      <c r="N789" s="91"/>
      <c r="O789" s="26"/>
      <c r="P789" s="93"/>
      <c r="Q789" s="26"/>
      <c r="R789" s="95"/>
      <c r="S789" s="27"/>
    </row>
    <row r="790" spans="1:19" x14ac:dyDescent="0.2">
      <c r="A790" s="90" t="s">
        <v>950</v>
      </c>
      <c r="B790" s="91" t="s">
        <v>35</v>
      </c>
      <c r="C790" s="91" t="s">
        <v>343</v>
      </c>
      <c r="D790" s="91" t="s">
        <v>348</v>
      </c>
      <c r="E790" s="92" t="s">
        <v>331</v>
      </c>
      <c r="F790" s="91" t="s">
        <v>329</v>
      </c>
      <c r="G790" s="91" t="s">
        <v>279</v>
      </c>
      <c r="H790" s="91" t="s">
        <v>13</v>
      </c>
      <c r="I790" s="91" t="s">
        <v>235</v>
      </c>
      <c r="J790" s="92" t="s">
        <v>280</v>
      </c>
      <c r="K790" s="93">
        <v>3.67</v>
      </c>
      <c r="L790" s="93">
        <f>K790*VLOOKUP(H790,dagsoorttabel1,2,FALSE)</f>
        <v>0.73399999999999999</v>
      </c>
      <c r="M790" s="94">
        <f>prodnorm100</f>
        <v>0</v>
      </c>
      <c r="N790" s="91" t="s">
        <v>101</v>
      </c>
      <c r="O790" s="26">
        <f>uurtarief100</f>
        <v>0</v>
      </c>
      <c r="P790" s="93" t="e">
        <f>IF(ISBLANK(M790),0,L790/ROUND(M790,4))</f>
        <v>#DIV/0!</v>
      </c>
      <c r="Q790" s="26" t="e">
        <f>ROUND(O790,2)*P790</f>
        <v>#DIV/0!</v>
      </c>
      <c r="R790" s="93" t="e">
        <f>P790*dagenperjaar1</f>
        <v>#DIV/0!</v>
      </c>
      <c r="S790" s="27" t="e">
        <f>R790*ROUND(O790,2)</f>
        <v>#DIV/0!</v>
      </c>
    </row>
    <row r="791" spans="1:19" x14ac:dyDescent="0.2">
      <c r="A791" s="90" t="s">
        <v>950</v>
      </c>
      <c r="B791" s="91" t="s">
        <v>35</v>
      </c>
      <c r="C791" s="91" t="s">
        <v>343</v>
      </c>
      <c r="D791" s="91" t="s">
        <v>350</v>
      </c>
      <c r="E791" s="92" t="s">
        <v>333</v>
      </c>
      <c r="F791" s="91" t="s">
        <v>329</v>
      </c>
      <c r="G791" s="91" t="s">
        <v>279</v>
      </c>
      <c r="H791" s="91" t="s">
        <v>13</v>
      </c>
      <c r="I791" s="91" t="s">
        <v>235</v>
      </c>
      <c r="J791" s="92" t="s">
        <v>280</v>
      </c>
      <c r="K791" s="93">
        <v>1.61</v>
      </c>
      <c r="L791" s="93">
        <f>K791*VLOOKUP(H791,dagsoorttabel1,2,FALSE)</f>
        <v>0.32200000000000006</v>
      </c>
      <c r="M791" s="94">
        <f>prodnorm100</f>
        <v>0</v>
      </c>
      <c r="N791" s="91" t="s">
        <v>101</v>
      </c>
      <c r="O791" s="26">
        <f>uurtarief100</f>
        <v>0</v>
      </c>
      <c r="P791" s="93" t="e">
        <f>IF(ISBLANK(M791),0,L791/ROUND(M791,4))</f>
        <v>#DIV/0!</v>
      </c>
      <c r="Q791" s="26" t="e">
        <f>ROUND(O791,2)*P791</f>
        <v>#DIV/0!</v>
      </c>
      <c r="R791" s="93" t="e">
        <f>P791*dagenperjaar1</f>
        <v>#DIV/0!</v>
      </c>
      <c r="S791" s="27" t="e">
        <f>R791*ROUND(O791,2)</f>
        <v>#DIV/0!</v>
      </c>
    </row>
    <row r="792" spans="1:19" x14ac:dyDescent="0.2">
      <c r="A792" s="90" t="s">
        <v>950</v>
      </c>
      <c r="B792" s="91" t="s">
        <v>35</v>
      </c>
      <c r="C792" s="91" t="s">
        <v>343</v>
      </c>
      <c r="D792" s="91" t="s">
        <v>353</v>
      </c>
      <c r="E792" s="92" t="s">
        <v>333</v>
      </c>
      <c r="F792" s="91" t="s">
        <v>329</v>
      </c>
      <c r="G792" s="91" t="s">
        <v>279</v>
      </c>
      <c r="H792" s="91" t="s">
        <v>13</v>
      </c>
      <c r="I792" s="91" t="s">
        <v>235</v>
      </c>
      <c r="J792" s="92" t="s">
        <v>280</v>
      </c>
      <c r="K792" s="93">
        <v>2.15</v>
      </c>
      <c r="L792" s="93">
        <f>K792*VLOOKUP(H792,dagsoorttabel1,2,FALSE)</f>
        <v>0.43</v>
      </c>
      <c r="M792" s="94">
        <f>prodnorm100</f>
        <v>0</v>
      </c>
      <c r="N792" s="91" t="s">
        <v>101</v>
      </c>
      <c r="O792" s="26">
        <f>uurtarief100</f>
        <v>0</v>
      </c>
      <c r="P792" s="93" t="e">
        <f>IF(ISBLANK(M792),0,L792/ROUND(M792,4))</f>
        <v>#DIV/0!</v>
      </c>
      <c r="Q792" s="26" t="e">
        <f>ROUND(O792,2)*P792</f>
        <v>#DIV/0!</v>
      </c>
      <c r="R792" s="93" t="e">
        <f>P792*dagenperjaar1</f>
        <v>#DIV/0!</v>
      </c>
      <c r="S792" s="27" t="e">
        <f>R792*ROUND(O792,2)</f>
        <v>#DIV/0!</v>
      </c>
    </row>
    <row r="793" spans="1:19" x14ac:dyDescent="0.2">
      <c r="A793" s="90" t="s">
        <v>950</v>
      </c>
      <c r="B793" s="91" t="s">
        <v>35</v>
      </c>
      <c r="C793" s="91" t="s">
        <v>343</v>
      </c>
      <c r="D793" s="91" t="s">
        <v>355</v>
      </c>
      <c r="E793" s="92" t="s">
        <v>354</v>
      </c>
      <c r="F793" s="91" t="s">
        <v>347</v>
      </c>
      <c r="G793" s="91" t="s">
        <v>264</v>
      </c>
      <c r="H793" s="91" t="s">
        <v>13</v>
      </c>
      <c r="I793" s="91" t="s">
        <v>235</v>
      </c>
      <c r="J793" s="92" t="s">
        <v>265</v>
      </c>
      <c r="K793" s="93">
        <v>5.57</v>
      </c>
      <c r="L793" s="93">
        <f>K793*VLOOKUP(H793,dagsoorttabel1,2,FALSE)</f>
        <v>1.1140000000000001</v>
      </c>
      <c r="M793" s="94">
        <f>prodnorm82</f>
        <v>0</v>
      </c>
      <c r="N793" s="91" t="s">
        <v>101</v>
      </c>
      <c r="O793" s="26">
        <f>uurtarief82</f>
        <v>0</v>
      </c>
      <c r="P793" s="93" t="e">
        <f>IF(ISBLANK(M793),0,L793/ROUND(M793,4))</f>
        <v>#DIV/0!</v>
      </c>
      <c r="Q793" s="26" t="e">
        <f>ROUND(O793,2)*P793</f>
        <v>#DIV/0!</v>
      </c>
      <c r="R793" s="93" t="e">
        <f>P793*dagenperjaar1</f>
        <v>#DIV/0!</v>
      </c>
      <c r="S793" s="27" t="e">
        <f>R793*ROUND(O793,2)</f>
        <v>#DIV/0!</v>
      </c>
    </row>
    <row r="794" spans="1:19" x14ac:dyDescent="0.2">
      <c r="A794" s="90" t="s">
        <v>950</v>
      </c>
      <c r="B794" s="91" t="s">
        <v>35</v>
      </c>
      <c r="C794" s="91" t="s">
        <v>343</v>
      </c>
      <c r="D794" s="91" t="s">
        <v>379</v>
      </c>
      <c r="E794" s="92" t="s">
        <v>404</v>
      </c>
      <c r="F794" s="91" t="s">
        <v>347</v>
      </c>
      <c r="G794" s="91" t="s">
        <v>260</v>
      </c>
      <c r="H794" s="91" t="s">
        <v>13</v>
      </c>
      <c r="I794" s="91" t="s">
        <v>235</v>
      </c>
      <c r="J794" s="92" t="s">
        <v>261</v>
      </c>
      <c r="K794" s="93">
        <v>38.349999999999994</v>
      </c>
      <c r="L794" s="93">
        <f>K794*VLOOKUP(H794,dagsoorttabel1,2,FALSE)</f>
        <v>7.669999999999999</v>
      </c>
      <c r="M794" s="94">
        <f>prodnorm75</f>
        <v>0</v>
      </c>
      <c r="N794" s="91" t="s">
        <v>101</v>
      </c>
      <c r="O794" s="26">
        <f>uurtarief75</f>
        <v>0</v>
      </c>
      <c r="P794" s="93" t="e">
        <f>IF(ISBLANK(M794),0,L794/ROUND(M794,4))</f>
        <v>#DIV/0!</v>
      </c>
      <c r="Q794" s="26" t="e">
        <f>ROUND(O794,2)*P794</f>
        <v>#DIV/0!</v>
      </c>
      <c r="R794" s="93" t="e">
        <f>P794*dagenperjaar1</f>
        <v>#DIV/0!</v>
      </c>
      <c r="S794" s="27" t="e">
        <f>R794*ROUND(O794,2)</f>
        <v>#DIV/0!</v>
      </c>
    </row>
    <row r="795" spans="1:19" x14ac:dyDescent="0.2">
      <c r="A795" s="90" t="s">
        <v>950</v>
      </c>
      <c r="B795" s="91" t="s">
        <v>35</v>
      </c>
      <c r="C795" s="91" t="s">
        <v>343</v>
      </c>
      <c r="D795" s="91" t="s">
        <v>405</v>
      </c>
      <c r="E795" s="92" t="s">
        <v>882</v>
      </c>
      <c r="F795" s="91" t="s">
        <v>347</v>
      </c>
      <c r="G795" s="91" t="s">
        <v>270</v>
      </c>
      <c r="H795" s="91" t="s">
        <v>13</v>
      </c>
      <c r="I795" s="91" t="s">
        <v>235</v>
      </c>
      <c r="J795" s="92" t="s">
        <v>271</v>
      </c>
      <c r="K795" s="93">
        <v>36.190000000000005</v>
      </c>
      <c r="L795" s="93">
        <f>K795*VLOOKUP(H795,dagsoorttabel1,2,FALSE)</f>
        <v>7.2380000000000013</v>
      </c>
      <c r="M795" s="94">
        <f>prodnorm89</f>
        <v>0</v>
      </c>
      <c r="N795" s="91" t="s">
        <v>101</v>
      </c>
      <c r="O795" s="26">
        <f>uurtarief89</f>
        <v>0</v>
      </c>
      <c r="P795" s="93" t="e">
        <f>IF(ISBLANK(M795),0,L795/ROUND(M795,4))</f>
        <v>#DIV/0!</v>
      </c>
      <c r="Q795" s="26" t="e">
        <f>ROUND(O795,2)*P795</f>
        <v>#DIV/0!</v>
      </c>
      <c r="R795" s="93" t="e">
        <f>P795*dagenperjaar1</f>
        <v>#DIV/0!</v>
      </c>
      <c r="S795" s="27" t="e">
        <f>R795*ROUND(O795,2)</f>
        <v>#DIV/0!</v>
      </c>
    </row>
    <row r="796" spans="1:19" x14ac:dyDescent="0.2">
      <c r="A796" s="90" t="s">
        <v>950</v>
      </c>
      <c r="B796" s="91" t="s">
        <v>35</v>
      </c>
      <c r="C796" s="91" t="s">
        <v>343</v>
      </c>
      <c r="D796" s="91" t="s">
        <v>407</v>
      </c>
      <c r="E796" s="92" t="s">
        <v>354</v>
      </c>
      <c r="F796" s="91" t="s">
        <v>347</v>
      </c>
      <c r="G796" s="91" t="s">
        <v>352</v>
      </c>
      <c r="H796" s="91"/>
      <c r="I796" s="91"/>
      <c r="J796" s="91"/>
      <c r="K796" s="93">
        <v>3.44</v>
      </c>
      <c r="L796" s="93"/>
      <c r="M796" s="94"/>
      <c r="N796" s="91"/>
      <c r="O796" s="26"/>
      <c r="P796" s="93"/>
      <c r="Q796" s="26"/>
      <c r="R796" s="95"/>
      <c r="S796" s="27"/>
    </row>
    <row r="797" spans="1:19" x14ac:dyDescent="0.2">
      <c r="A797" s="90" t="s">
        <v>950</v>
      </c>
      <c r="B797" s="91" t="s">
        <v>35</v>
      </c>
      <c r="C797" s="91" t="s">
        <v>343</v>
      </c>
      <c r="D797" s="91" t="s">
        <v>408</v>
      </c>
      <c r="E797" s="92" t="s">
        <v>349</v>
      </c>
      <c r="F797" s="91" t="s">
        <v>329</v>
      </c>
      <c r="G797" s="91" t="s">
        <v>266</v>
      </c>
      <c r="H797" s="91" t="s">
        <v>13</v>
      </c>
      <c r="I797" s="91" t="s">
        <v>235</v>
      </c>
      <c r="J797" s="92" t="s">
        <v>267</v>
      </c>
      <c r="K797" s="93">
        <v>9.49</v>
      </c>
      <c r="L797" s="93">
        <f>K797*VLOOKUP(H797,dagsoorttabel1,2,FALSE)</f>
        <v>1.8980000000000001</v>
      </c>
      <c r="M797" s="94">
        <f>prodnorm83</f>
        <v>0</v>
      </c>
      <c r="N797" s="91" t="s">
        <v>101</v>
      </c>
      <c r="O797" s="26">
        <f>uurtarief83</f>
        <v>0</v>
      </c>
      <c r="P797" s="93" t="e">
        <f>IF(ISBLANK(M797),0,L797/ROUND(M797,4))</f>
        <v>#DIV/0!</v>
      </c>
      <c r="Q797" s="26" t="e">
        <f>ROUND(O797,2)*P797</f>
        <v>#DIV/0!</v>
      </c>
      <c r="R797" s="93" t="e">
        <f>P797*dagenperjaar1</f>
        <v>#DIV/0!</v>
      </c>
      <c r="S797" s="27" t="e">
        <f>R797*ROUND(O797,2)</f>
        <v>#DIV/0!</v>
      </c>
    </row>
    <row r="798" spans="1:19" x14ac:dyDescent="0.2">
      <c r="A798" s="96" t="s">
        <v>950</v>
      </c>
      <c r="B798" s="97" t="s">
        <v>35</v>
      </c>
      <c r="C798" s="97" t="s">
        <v>343</v>
      </c>
      <c r="D798" s="97" t="s">
        <v>409</v>
      </c>
      <c r="E798" s="98" t="s">
        <v>960</v>
      </c>
      <c r="F798" s="97" t="s">
        <v>329</v>
      </c>
      <c r="G798" s="97" t="s">
        <v>352</v>
      </c>
      <c r="H798" s="97"/>
      <c r="I798" s="97"/>
      <c r="J798" s="97"/>
      <c r="K798" s="99">
        <v>8.0399999999999991</v>
      </c>
      <c r="L798" s="99"/>
      <c r="M798" s="100"/>
      <c r="N798" s="97"/>
      <c r="O798" s="36"/>
      <c r="P798" s="99"/>
      <c r="Q798" s="36"/>
      <c r="R798" s="102"/>
      <c r="S798" s="37"/>
    </row>
    <row r="799" spans="1:19" x14ac:dyDescent="0.2">
      <c r="A799" s="101" t="s">
        <v>356</v>
      </c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6" t="e">
        <f>IF(_xlfn.SINGLE(object23_urenjaar1)&gt;0,_xlfn.SINGLE(object23_prijsjaar1)/_xlfn.SINGLE(object23_urenjaar1),0)</f>
        <v>#DIV/0!</v>
      </c>
      <c r="P799" s="75" t="e">
        <f>SUM(P770:P798)</f>
        <v>#DIV/0!</v>
      </c>
      <c r="Q799" s="76" t="e">
        <f>SUM(Q770:Q798)</f>
        <v>#DIV/0!</v>
      </c>
      <c r="R799" s="75" t="e">
        <f>SUM(R770:R798)</f>
        <v>#DIV/0!</v>
      </c>
      <c r="S799" s="77" t="e">
        <f>SUM(S770:S798)</f>
        <v>#DIV/0!</v>
      </c>
    </row>
    <row r="800" spans="1:19" x14ac:dyDescent="0.2">
      <c r="A800" s="82" t="s">
        <v>961</v>
      </c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72"/>
    </row>
    <row r="801" spans="1:19" x14ac:dyDescent="0.2">
      <c r="A801" s="83" t="s">
        <v>962</v>
      </c>
      <c r="B801" s="84" t="s">
        <v>35</v>
      </c>
      <c r="C801" s="84" t="s">
        <v>313</v>
      </c>
      <c r="D801" s="84" t="s">
        <v>963</v>
      </c>
      <c r="E801" s="85" t="s">
        <v>964</v>
      </c>
      <c r="F801" s="84" t="s">
        <v>965</v>
      </c>
      <c r="G801" s="84" t="s">
        <v>289</v>
      </c>
      <c r="H801" s="84" t="s">
        <v>9</v>
      </c>
      <c r="I801" s="84" t="s">
        <v>235</v>
      </c>
      <c r="J801" s="85" t="s">
        <v>290</v>
      </c>
      <c r="K801" s="86">
        <v>4</v>
      </c>
      <c r="L801" s="86">
        <f>K801*VLOOKUP(H801,dagsoorttabel1,2,FALSE)</f>
        <v>4</v>
      </c>
      <c r="M801" s="87">
        <f>prodnorm115</f>
        <v>0</v>
      </c>
      <c r="N801" s="84" t="s">
        <v>101</v>
      </c>
      <c r="O801" s="88">
        <f>uurtarief115</f>
        <v>0</v>
      </c>
      <c r="P801" s="86" t="e">
        <f>IF(ISBLANK(M801),0,L801/ROUND(M801,4))</f>
        <v>#DIV/0!</v>
      </c>
      <c r="Q801" s="88" t="e">
        <f>ROUND(O801,2)*P801</f>
        <v>#DIV/0!</v>
      </c>
      <c r="R801" s="86" t="e">
        <f>P801*dagenperjaar1</f>
        <v>#DIV/0!</v>
      </c>
      <c r="S801" s="89" t="e">
        <f>R801*ROUND(O801,2)</f>
        <v>#DIV/0!</v>
      </c>
    </row>
    <row r="802" spans="1:19" x14ac:dyDescent="0.2">
      <c r="A802" s="90" t="s">
        <v>962</v>
      </c>
      <c r="B802" s="91" t="s">
        <v>35</v>
      </c>
      <c r="C802" s="91" t="s">
        <v>313</v>
      </c>
      <c r="D802" s="91" t="s">
        <v>314</v>
      </c>
      <c r="E802" s="92" t="s">
        <v>966</v>
      </c>
      <c r="F802" s="91" t="s">
        <v>329</v>
      </c>
      <c r="G802" s="91" t="s">
        <v>252</v>
      </c>
      <c r="H802" s="91" t="s">
        <v>21</v>
      </c>
      <c r="I802" s="91" t="s">
        <v>235</v>
      </c>
      <c r="J802" s="92" t="s">
        <v>253</v>
      </c>
      <c r="K802" s="93">
        <v>61.849999999999994</v>
      </c>
      <c r="L802" s="93">
        <f>K802*VLOOKUP(H802,dagsoorttabel1,2,FALSE)</f>
        <v>0.23788461538461539</v>
      </c>
      <c r="M802" s="94">
        <f>prodnorm67</f>
        <v>0</v>
      </c>
      <c r="N802" s="91" t="s">
        <v>101</v>
      </c>
      <c r="O802" s="26">
        <f>uurtarief67</f>
        <v>0</v>
      </c>
      <c r="P802" s="93" t="e">
        <f>IF(ISBLANK(M802),0,L802/ROUND(M802,4))</f>
        <v>#DIV/0!</v>
      </c>
      <c r="Q802" s="26" t="e">
        <f>ROUND(O802,2)*P802</f>
        <v>#DIV/0!</v>
      </c>
      <c r="R802" s="93" t="e">
        <f>P802*dagenperjaar1</f>
        <v>#DIV/0!</v>
      </c>
      <c r="S802" s="27" t="e">
        <f>R802*ROUND(O802,2)</f>
        <v>#DIV/0!</v>
      </c>
    </row>
    <row r="803" spans="1:19" x14ac:dyDescent="0.2">
      <c r="A803" s="90" t="s">
        <v>962</v>
      </c>
      <c r="B803" s="91" t="s">
        <v>35</v>
      </c>
      <c r="C803" s="91" t="s">
        <v>313</v>
      </c>
      <c r="D803" s="91" t="s">
        <v>317</v>
      </c>
      <c r="E803" s="92" t="s">
        <v>967</v>
      </c>
      <c r="F803" s="91" t="s">
        <v>329</v>
      </c>
      <c r="G803" s="91" t="s">
        <v>252</v>
      </c>
      <c r="H803" s="91" t="s">
        <v>21</v>
      </c>
      <c r="I803" s="91" t="s">
        <v>235</v>
      </c>
      <c r="J803" s="92" t="s">
        <v>253</v>
      </c>
      <c r="K803" s="93">
        <v>61.39</v>
      </c>
      <c r="L803" s="93">
        <f>K803*VLOOKUP(H803,dagsoorttabel1,2,FALSE)</f>
        <v>0.23611538461538464</v>
      </c>
      <c r="M803" s="94">
        <f>prodnorm67</f>
        <v>0</v>
      </c>
      <c r="N803" s="91" t="s">
        <v>101</v>
      </c>
      <c r="O803" s="26">
        <f>uurtarief67</f>
        <v>0</v>
      </c>
      <c r="P803" s="93" t="e">
        <f>IF(ISBLANK(M803),0,L803/ROUND(M803,4))</f>
        <v>#DIV/0!</v>
      </c>
      <c r="Q803" s="26" t="e">
        <f>ROUND(O803,2)*P803</f>
        <v>#DIV/0!</v>
      </c>
      <c r="R803" s="93" t="e">
        <f>P803*dagenperjaar1</f>
        <v>#DIV/0!</v>
      </c>
      <c r="S803" s="27" t="e">
        <f>R803*ROUND(O803,2)</f>
        <v>#DIV/0!</v>
      </c>
    </row>
    <row r="804" spans="1:19" x14ac:dyDescent="0.2">
      <c r="A804" s="90" t="s">
        <v>962</v>
      </c>
      <c r="B804" s="91" t="s">
        <v>35</v>
      </c>
      <c r="C804" s="91" t="s">
        <v>313</v>
      </c>
      <c r="D804" s="91" t="s">
        <v>320</v>
      </c>
      <c r="E804" s="92" t="s">
        <v>968</v>
      </c>
      <c r="F804" s="91" t="s">
        <v>329</v>
      </c>
      <c r="G804" s="91" t="s">
        <v>252</v>
      </c>
      <c r="H804" s="91" t="s">
        <v>21</v>
      </c>
      <c r="I804" s="91" t="s">
        <v>235</v>
      </c>
      <c r="J804" s="92" t="s">
        <v>253</v>
      </c>
      <c r="K804" s="93">
        <v>61.39</v>
      </c>
      <c r="L804" s="93">
        <f>K804*VLOOKUP(H804,dagsoorttabel1,2,FALSE)</f>
        <v>0.23611538461538464</v>
      </c>
      <c r="M804" s="94">
        <f>prodnorm67</f>
        <v>0</v>
      </c>
      <c r="N804" s="91" t="s">
        <v>101</v>
      </c>
      <c r="O804" s="26">
        <f>uurtarief67</f>
        <v>0</v>
      </c>
      <c r="P804" s="93" t="e">
        <f>IF(ISBLANK(M804),0,L804/ROUND(M804,4))</f>
        <v>#DIV/0!</v>
      </c>
      <c r="Q804" s="26" t="e">
        <f>ROUND(O804,2)*P804</f>
        <v>#DIV/0!</v>
      </c>
      <c r="R804" s="93" t="e">
        <f>P804*dagenperjaar1</f>
        <v>#DIV/0!</v>
      </c>
      <c r="S804" s="27" t="e">
        <f>R804*ROUND(O804,2)</f>
        <v>#DIV/0!</v>
      </c>
    </row>
    <row r="805" spans="1:19" x14ac:dyDescent="0.2">
      <c r="A805" s="90" t="s">
        <v>962</v>
      </c>
      <c r="B805" s="91" t="s">
        <v>35</v>
      </c>
      <c r="C805" s="91" t="s">
        <v>313</v>
      </c>
      <c r="D805" s="91" t="s">
        <v>322</v>
      </c>
      <c r="E805" s="92" t="s">
        <v>969</v>
      </c>
      <c r="F805" s="91" t="s">
        <v>329</v>
      </c>
      <c r="G805" s="91" t="s">
        <v>252</v>
      </c>
      <c r="H805" s="91" t="s">
        <v>21</v>
      </c>
      <c r="I805" s="91" t="s">
        <v>235</v>
      </c>
      <c r="J805" s="92" t="s">
        <v>253</v>
      </c>
      <c r="K805" s="93">
        <v>39.309999999999995</v>
      </c>
      <c r="L805" s="93">
        <f>K805*VLOOKUP(H805,dagsoorttabel1,2,FALSE)</f>
        <v>0.15119230769230768</v>
      </c>
      <c r="M805" s="94">
        <f>prodnorm67</f>
        <v>0</v>
      </c>
      <c r="N805" s="91" t="s">
        <v>101</v>
      </c>
      <c r="O805" s="26">
        <f>uurtarief67</f>
        <v>0</v>
      </c>
      <c r="P805" s="93" t="e">
        <f>IF(ISBLANK(M805),0,L805/ROUND(M805,4))</f>
        <v>#DIV/0!</v>
      </c>
      <c r="Q805" s="26" t="e">
        <f>ROUND(O805,2)*P805</f>
        <v>#DIV/0!</v>
      </c>
      <c r="R805" s="93" t="e">
        <f>P805*dagenperjaar1</f>
        <v>#DIV/0!</v>
      </c>
      <c r="S805" s="27" t="e">
        <f>R805*ROUND(O805,2)</f>
        <v>#DIV/0!</v>
      </c>
    </row>
    <row r="806" spans="1:19" x14ac:dyDescent="0.2">
      <c r="A806" s="90" t="s">
        <v>962</v>
      </c>
      <c r="B806" s="91" t="s">
        <v>35</v>
      </c>
      <c r="C806" s="91" t="s">
        <v>313</v>
      </c>
      <c r="D806" s="91" t="s">
        <v>324</v>
      </c>
      <c r="E806" s="92" t="s">
        <v>970</v>
      </c>
      <c r="F806" s="91" t="s">
        <v>329</v>
      </c>
      <c r="G806" s="91" t="s">
        <v>283</v>
      </c>
      <c r="H806" s="91" t="s">
        <v>13</v>
      </c>
      <c r="I806" s="91" t="s">
        <v>235</v>
      </c>
      <c r="J806" s="92" t="s">
        <v>284</v>
      </c>
      <c r="K806" s="93">
        <v>18.82</v>
      </c>
      <c r="L806" s="93">
        <f>K806*VLOOKUP(H806,dagsoorttabel1,2,FALSE)</f>
        <v>3.7640000000000002</v>
      </c>
      <c r="M806" s="94">
        <f>prodnorm106</f>
        <v>0</v>
      </c>
      <c r="N806" s="91" t="s">
        <v>101</v>
      </c>
      <c r="O806" s="26">
        <f>uurtarief106</f>
        <v>0</v>
      </c>
      <c r="P806" s="93" t="e">
        <f>IF(ISBLANK(M806),0,L806/ROUND(M806,4))</f>
        <v>#DIV/0!</v>
      </c>
      <c r="Q806" s="26" t="e">
        <f>ROUND(O806,2)*P806</f>
        <v>#DIV/0!</v>
      </c>
      <c r="R806" s="93" t="e">
        <f>P806*dagenperjaar1</f>
        <v>#DIV/0!</v>
      </c>
      <c r="S806" s="27" t="e">
        <f>R806*ROUND(O806,2)</f>
        <v>#DIV/0!</v>
      </c>
    </row>
    <row r="807" spans="1:19" x14ac:dyDescent="0.2">
      <c r="A807" s="90" t="s">
        <v>962</v>
      </c>
      <c r="B807" s="91" t="s">
        <v>35</v>
      </c>
      <c r="C807" s="91" t="s">
        <v>313</v>
      </c>
      <c r="D807" s="91" t="s">
        <v>325</v>
      </c>
      <c r="E807" s="92" t="s">
        <v>323</v>
      </c>
      <c r="F807" s="91" t="s">
        <v>971</v>
      </c>
      <c r="G807" s="91" t="s">
        <v>239</v>
      </c>
      <c r="H807" s="91" t="s">
        <v>13</v>
      </c>
      <c r="I807" s="91" t="s">
        <v>235</v>
      </c>
      <c r="J807" s="92" t="s">
        <v>240</v>
      </c>
      <c r="K807" s="93">
        <v>25.93</v>
      </c>
      <c r="L807" s="93">
        <f>K807*VLOOKUP(H807,dagsoorttabel1,2,FALSE)</f>
        <v>5.1859999999999999</v>
      </c>
      <c r="M807" s="94">
        <f>prodnorm53</f>
        <v>0</v>
      </c>
      <c r="N807" s="91" t="s">
        <v>101</v>
      </c>
      <c r="O807" s="26">
        <f>uurtarief53</f>
        <v>0</v>
      </c>
      <c r="P807" s="93" t="e">
        <f>IF(ISBLANK(M807),0,L807/ROUND(M807,4))</f>
        <v>#DIV/0!</v>
      </c>
      <c r="Q807" s="26" t="e">
        <f>ROUND(O807,2)*P807</f>
        <v>#DIV/0!</v>
      </c>
      <c r="R807" s="93" t="e">
        <f>P807*dagenperjaar1</f>
        <v>#DIV/0!</v>
      </c>
      <c r="S807" s="27" t="e">
        <f>R807*ROUND(O807,2)</f>
        <v>#DIV/0!</v>
      </c>
    </row>
    <row r="808" spans="1:19" x14ac:dyDescent="0.2">
      <c r="A808" s="90" t="s">
        <v>962</v>
      </c>
      <c r="B808" s="91" t="s">
        <v>35</v>
      </c>
      <c r="C808" s="91" t="s">
        <v>313</v>
      </c>
      <c r="D808" s="91" t="s">
        <v>327</v>
      </c>
      <c r="E808" s="92" t="s">
        <v>354</v>
      </c>
      <c r="F808" s="91" t="s">
        <v>329</v>
      </c>
      <c r="G808" s="91" t="s">
        <v>352</v>
      </c>
      <c r="H808" s="91"/>
      <c r="I808" s="91"/>
      <c r="J808" s="91"/>
      <c r="K808" s="93">
        <v>4.1599999999999993</v>
      </c>
      <c r="L808" s="93"/>
      <c r="M808" s="94"/>
      <c r="N808" s="91"/>
      <c r="O808" s="26"/>
      <c r="P808" s="93"/>
      <c r="Q808" s="26"/>
      <c r="R808" s="95"/>
      <c r="S808" s="27"/>
    </row>
    <row r="809" spans="1:19" x14ac:dyDescent="0.2">
      <c r="A809" s="90" t="s">
        <v>962</v>
      </c>
      <c r="B809" s="91" t="s">
        <v>35</v>
      </c>
      <c r="C809" s="91" t="s">
        <v>313</v>
      </c>
      <c r="D809" s="91" t="s">
        <v>330</v>
      </c>
      <c r="E809" s="92" t="s">
        <v>972</v>
      </c>
      <c r="F809" s="91" t="s">
        <v>329</v>
      </c>
      <c r="G809" s="91" t="s">
        <v>277</v>
      </c>
      <c r="H809" s="91" t="s">
        <v>13</v>
      </c>
      <c r="I809" s="91" t="s">
        <v>235</v>
      </c>
      <c r="J809" s="92" t="s">
        <v>278</v>
      </c>
      <c r="K809" s="93">
        <v>4.05</v>
      </c>
      <c r="L809" s="93">
        <f>K809*VLOOKUP(H809,dagsoorttabel1,2,FALSE)</f>
        <v>0.81</v>
      </c>
      <c r="M809" s="94">
        <f>prodnorm97</f>
        <v>0</v>
      </c>
      <c r="N809" s="91" t="s">
        <v>101</v>
      </c>
      <c r="O809" s="26">
        <f>uurtarief97</f>
        <v>0</v>
      </c>
      <c r="P809" s="93" t="e">
        <f>IF(ISBLANK(M809),0,L809/ROUND(M809,4))</f>
        <v>#DIV/0!</v>
      </c>
      <c r="Q809" s="26" t="e">
        <f>ROUND(O809,2)*P809</f>
        <v>#DIV/0!</v>
      </c>
      <c r="R809" s="93" t="e">
        <f>P809*dagenperjaar1</f>
        <v>#DIV/0!</v>
      </c>
      <c r="S809" s="27" t="e">
        <f>R809*ROUND(O809,2)</f>
        <v>#DIV/0!</v>
      </c>
    </row>
    <row r="810" spans="1:19" x14ac:dyDescent="0.2">
      <c r="A810" s="90" t="s">
        <v>962</v>
      </c>
      <c r="B810" s="91" t="s">
        <v>35</v>
      </c>
      <c r="C810" s="91" t="s">
        <v>313</v>
      </c>
      <c r="D810" s="91" t="s">
        <v>332</v>
      </c>
      <c r="E810" s="92" t="s">
        <v>973</v>
      </c>
      <c r="F810" s="91" t="s">
        <v>329</v>
      </c>
      <c r="G810" s="91" t="s">
        <v>279</v>
      </c>
      <c r="H810" s="91" t="s">
        <v>13</v>
      </c>
      <c r="I810" s="91" t="s">
        <v>235</v>
      </c>
      <c r="J810" s="92" t="s">
        <v>280</v>
      </c>
      <c r="K810" s="93">
        <v>6.95</v>
      </c>
      <c r="L810" s="93">
        <f>K810*VLOOKUP(H810,dagsoorttabel1,2,FALSE)</f>
        <v>1.3900000000000001</v>
      </c>
      <c r="M810" s="94">
        <f>prodnorm100</f>
        <v>0</v>
      </c>
      <c r="N810" s="91" t="s">
        <v>101</v>
      </c>
      <c r="O810" s="26">
        <f>uurtarief100</f>
        <v>0</v>
      </c>
      <c r="P810" s="93" t="e">
        <f>IF(ISBLANK(M810),0,L810/ROUND(M810,4))</f>
        <v>#DIV/0!</v>
      </c>
      <c r="Q810" s="26" t="e">
        <f>ROUND(O810,2)*P810</f>
        <v>#DIV/0!</v>
      </c>
      <c r="R810" s="93" t="e">
        <f>P810*dagenperjaar1</f>
        <v>#DIV/0!</v>
      </c>
      <c r="S810" s="27" t="e">
        <f>R810*ROUND(O810,2)</f>
        <v>#DIV/0!</v>
      </c>
    </row>
    <row r="811" spans="1:19" ht="25.2" x14ac:dyDescent="0.2">
      <c r="A811" s="90" t="s">
        <v>962</v>
      </c>
      <c r="B811" s="91" t="s">
        <v>35</v>
      </c>
      <c r="C811" s="91" t="s">
        <v>313</v>
      </c>
      <c r="D811" s="91" t="s">
        <v>334</v>
      </c>
      <c r="E811" s="92" t="s">
        <v>974</v>
      </c>
      <c r="F811" s="91" t="s">
        <v>329</v>
      </c>
      <c r="G811" s="91" t="s">
        <v>293</v>
      </c>
      <c r="H811" s="91" t="s">
        <v>13</v>
      </c>
      <c r="I811" s="91" t="s">
        <v>235</v>
      </c>
      <c r="J811" s="92" t="s">
        <v>294</v>
      </c>
      <c r="K811" s="93">
        <v>29.1</v>
      </c>
      <c r="L811" s="93">
        <f>K811*VLOOKUP(H811,dagsoorttabel1,2,FALSE)</f>
        <v>5.82</v>
      </c>
      <c r="M811" s="94">
        <f>prodnorm119</f>
        <v>0</v>
      </c>
      <c r="N811" s="91" t="s">
        <v>101</v>
      </c>
      <c r="O811" s="26">
        <f>uurtarief119</f>
        <v>0</v>
      </c>
      <c r="P811" s="93" t="e">
        <f>IF(ISBLANK(M811),0,L811/ROUND(M811,4))</f>
        <v>#DIV/0!</v>
      </c>
      <c r="Q811" s="26" t="e">
        <f>ROUND(O811,2)*P811</f>
        <v>#DIV/0!</v>
      </c>
      <c r="R811" s="93" t="e">
        <f>P811*dagenperjaar1</f>
        <v>#DIV/0!</v>
      </c>
      <c r="S811" s="27" t="e">
        <f>R811*ROUND(O811,2)</f>
        <v>#DIV/0!</v>
      </c>
    </row>
    <row r="812" spans="1:19" ht="25.2" x14ac:dyDescent="0.2">
      <c r="A812" s="90" t="s">
        <v>962</v>
      </c>
      <c r="B812" s="91" t="s">
        <v>35</v>
      </c>
      <c r="C812" s="91" t="s">
        <v>313</v>
      </c>
      <c r="D812" s="91" t="s">
        <v>336</v>
      </c>
      <c r="E812" s="92" t="s">
        <v>975</v>
      </c>
      <c r="F812" s="91" t="s">
        <v>329</v>
      </c>
      <c r="G812" s="91" t="s">
        <v>293</v>
      </c>
      <c r="H812" s="91" t="s">
        <v>13</v>
      </c>
      <c r="I812" s="91" t="s">
        <v>235</v>
      </c>
      <c r="J812" s="92" t="s">
        <v>294</v>
      </c>
      <c r="K812" s="93">
        <v>20.779999999999998</v>
      </c>
      <c r="L812" s="93">
        <f>K812*VLOOKUP(H812,dagsoorttabel1,2,FALSE)</f>
        <v>4.1559999999999997</v>
      </c>
      <c r="M812" s="94">
        <f>prodnorm119</f>
        <v>0</v>
      </c>
      <c r="N812" s="91" t="s">
        <v>101</v>
      </c>
      <c r="O812" s="26">
        <f>uurtarief119</f>
        <v>0</v>
      </c>
      <c r="P812" s="93" t="e">
        <f>IF(ISBLANK(M812),0,L812/ROUND(M812,4))</f>
        <v>#DIV/0!</v>
      </c>
      <c r="Q812" s="26" t="e">
        <f>ROUND(O812,2)*P812</f>
        <v>#DIV/0!</v>
      </c>
      <c r="R812" s="93" t="e">
        <f>P812*dagenperjaar1</f>
        <v>#DIV/0!</v>
      </c>
      <c r="S812" s="27" t="e">
        <f>R812*ROUND(O812,2)</f>
        <v>#DIV/0!</v>
      </c>
    </row>
    <row r="813" spans="1:19" x14ac:dyDescent="0.2">
      <c r="A813" s="90" t="s">
        <v>962</v>
      </c>
      <c r="B813" s="91" t="s">
        <v>35</v>
      </c>
      <c r="C813" s="91" t="s">
        <v>313</v>
      </c>
      <c r="D813" s="91" t="s">
        <v>338</v>
      </c>
      <c r="E813" s="92" t="s">
        <v>976</v>
      </c>
      <c r="F813" s="91" t="s">
        <v>329</v>
      </c>
      <c r="G813" s="91" t="s">
        <v>254</v>
      </c>
      <c r="H813" s="91" t="s">
        <v>21</v>
      </c>
      <c r="I813" s="91" t="s">
        <v>235</v>
      </c>
      <c r="J813" s="92" t="s">
        <v>255</v>
      </c>
      <c r="K813" s="93">
        <v>51.839999999999996</v>
      </c>
      <c r="L813" s="93">
        <f>K813*VLOOKUP(H813,dagsoorttabel1,2,FALSE)</f>
        <v>0.19938461538461538</v>
      </c>
      <c r="M813" s="94">
        <f>prodnorm70</f>
        <v>0</v>
      </c>
      <c r="N813" s="91" t="s">
        <v>101</v>
      </c>
      <c r="O813" s="26">
        <f>uurtarief70</f>
        <v>0</v>
      </c>
      <c r="P813" s="93" t="e">
        <f>IF(ISBLANK(M813),0,L813/ROUND(M813,4))</f>
        <v>#DIV/0!</v>
      </c>
      <c r="Q813" s="26" t="e">
        <f>ROUND(O813,2)*P813</f>
        <v>#DIV/0!</v>
      </c>
      <c r="R813" s="93" t="e">
        <f>P813*dagenperjaar1</f>
        <v>#DIV/0!</v>
      </c>
      <c r="S813" s="27" t="e">
        <f>R813*ROUND(O813,2)</f>
        <v>#DIV/0!</v>
      </c>
    </row>
    <row r="814" spans="1:19" x14ac:dyDescent="0.2">
      <c r="A814" s="90" t="s">
        <v>962</v>
      </c>
      <c r="B814" s="91" t="s">
        <v>35</v>
      </c>
      <c r="C814" s="91" t="s">
        <v>313</v>
      </c>
      <c r="D814" s="91" t="s">
        <v>339</v>
      </c>
      <c r="E814" s="92" t="s">
        <v>363</v>
      </c>
      <c r="F814" s="91" t="s">
        <v>329</v>
      </c>
      <c r="G814" s="91" t="s">
        <v>277</v>
      </c>
      <c r="H814" s="91" t="s">
        <v>12</v>
      </c>
      <c r="I814" s="91" t="s">
        <v>235</v>
      </c>
      <c r="J814" s="92" t="s">
        <v>278</v>
      </c>
      <c r="K814" s="93">
        <v>25.150000000000002</v>
      </c>
      <c r="L814" s="93">
        <f>K814*VLOOKUP(H814,dagsoorttabel1,2,FALSE)</f>
        <v>10.060000000000002</v>
      </c>
      <c r="M814" s="94">
        <f>prodnorm98</f>
        <v>0</v>
      </c>
      <c r="N814" s="91" t="s">
        <v>101</v>
      </c>
      <c r="O814" s="26">
        <f>uurtarief98</f>
        <v>0</v>
      </c>
      <c r="P814" s="93" t="e">
        <f>IF(ISBLANK(M814),0,L814/ROUND(M814,4))</f>
        <v>#DIV/0!</v>
      </c>
      <c r="Q814" s="26" t="e">
        <f>ROUND(O814,2)*P814</f>
        <v>#DIV/0!</v>
      </c>
      <c r="R814" s="93" t="e">
        <f>P814*dagenperjaar1</f>
        <v>#DIV/0!</v>
      </c>
      <c r="S814" s="27" t="e">
        <f>R814*ROUND(O814,2)</f>
        <v>#DIV/0!</v>
      </c>
    </row>
    <row r="815" spans="1:19" x14ac:dyDescent="0.2">
      <c r="A815" s="90" t="s">
        <v>962</v>
      </c>
      <c r="B815" s="91" t="s">
        <v>35</v>
      </c>
      <c r="C815" s="91" t="s">
        <v>313</v>
      </c>
      <c r="D815" s="91" t="s">
        <v>341</v>
      </c>
      <c r="E815" s="92" t="s">
        <v>362</v>
      </c>
      <c r="F815" s="91" t="s">
        <v>329</v>
      </c>
      <c r="G815" s="91" t="s">
        <v>277</v>
      </c>
      <c r="H815" s="91" t="s">
        <v>12</v>
      </c>
      <c r="I815" s="91" t="s">
        <v>235</v>
      </c>
      <c r="J815" s="92" t="s">
        <v>278</v>
      </c>
      <c r="K815" s="93">
        <v>12.56</v>
      </c>
      <c r="L815" s="93">
        <f>K815*VLOOKUP(H815,dagsoorttabel1,2,FALSE)</f>
        <v>5.0240000000000009</v>
      </c>
      <c r="M815" s="94">
        <f>prodnorm98</f>
        <v>0</v>
      </c>
      <c r="N815" s="91" t="s">
        <v>101</v>
      </c>
      <c r="O815" s="26">
        <f>uurtarief98</f>
        <v>0</v>
      </c>
      <c r="P815" s="93" t="e">
        <f>IF(ISBLANK(M815),0,L815/ROUND(M815,4))</f>
        <v>#DIV/0!</v>
      </c>
      <c r="Q815" s="26" t="e">
        <f>ROUND(O815,2)*P815</f>
        <v>#DIV/0!</v>
      </c>
      <c r="R815" s="93" t="e">
        <f>P815*dagenperjaar1</f>
        <v>#DIV/0!</v>
      </c>
      <c r="S815" s="27" t="e">
        <f>R815*ROUND(O815,2)</f>
        <v>#DIV/0!</v>
      </c>
    </row>
    <row r="816" spans="1:19" x14ac:dyDescent="0.2">
      <c r="A816" s="90" t="s">
        <v>962</v>
      </c>
      <c r="B816" s="91" t="s">
        <v>35</v>
      </c>
      <c r="C816" s="91" t="s">
        <v>313</v>
      </c>
      <c r="D816" s="91" t="s">
        <v>372</v>
      </c>
      <c r="E816" s="92" t="s">
        <v>342</v>
      </c>
      <c r="F816" s="91" t="s">
        <v>329</v>
      </c>
      <c r="G816" s="91" t="s">
        <v>252</v>
      </c>
      <c r="H816" s="91" t="s">
        <v>21</v>
      </c>
      <c r="I816" s="91" t="s">
        <v>235</v>
      </c>
      <c r="J816" s="92" t="s">
        <v>253</v>
      </c>
      <c r="K816" s="93">
        <v>24.69</v>
      </c>
      <c r="L816" s="93">
        <f>K816*VLOOKUP(H816,dagsoorttabel1,2,FALSE)</f>
        <v>9.4961538461538472E-2</v>
      </c>
      <c r="M816" s="94">
        <f>prodnorm67</f>
        <v>0</v>
      </c>
      <c r="N816" s="91" t="s">
        <v>101</v>
      </c>
      <c r="O816" s="26">
        <f>uurtarief67</f>
        <v>0</v>
      </c>
      <c r="P816" s="93" t="e">
        <f>IF(ISBLANK(M816),0,L816/ROUND(M816,4))</f>
        <v>#DIV/0!</v>
      </c>
      <c r="Q816" s="26" t="e">
        <f>ROUND(O816,2)*P816</f>
        <v>#DIV/0!</v>
      </c>
      <c r="R816" s="93" t="e">
        <f>P816*dagenperjaar1</f>
        <v>#DIV/0!</v>
      </c>
      <c r="S816" s="27" t="e">
        <f>R816*ROUND(O816,2)</f>
        <v>#DIV/0!</v>
      </c>
    </row>
    <row r="817" spans="1:19" x14ac:dyDescent="0.2">
      <c r="A817" s="90" t="s">
        <v>962</v>
      </c>
      <c r="B817" s="91" t="s">
        <v>35</v>
      </c>
      <c r="C817" s="91" t="s">
        <v>313</v>
      </c>
      <c r="D817" s="91" t="s">
        <v>977</v>
      </c>
      <c r="E817" s="92" t="s">
        <v>978</v>
      </c>
      <c r="F817" s="91" t="s">
        <v>329</v>
      </c>
      <c r="G817" s="91" t="s">
        <v>352</v>
      </c>
      <c r="H817" s="91"/>
      <c r="I817" s="91"/>
      <c r="J817" s="91"/>
      <c r="K817" s="93">
        <v>6.02</v>
      </c>
      <c r="L817" s="93"/>
      <c r="M817" s="94"/>
      <c r="N817" s="91"/>
      <c r="O817" s="26"/>
      <c r="P817" s="93"/>
      <c r="Q817" s="26"/>
      <c r="R817" s="95"/>
      <c r="S817" s="27"/>
    </row>
    <row r="818" spans="1:19" x14ac:dyDescent="0.2">
      <c r="A818" s="90" t="s">
        <v>962</v>
      </c>
      <c r="B818" s="91" t="s">
        <v>35</v>
      </c>
      <c r="C818" s="91" t="s">
        <v>313</v>
      </c>
      <c r="D818" s="91" t="s">
        <v>391</v>
      </c>
      <c r="E818" s="92" t="s">
        <v>979</v>
      </c>
      <c r="F818" s="91" t="s">
        <v>329</v>
      </c>
      <c r="G818" s="91" t="s">
        <v>352</v>
      </c>
      <c r="H818" s="91"/>
      <c r="I818" s="91"/>
      <c r="J818" s="91"/>
      <c r="K818" s="93">
        <v>2.7600000000000002</v>
      </c>
      <c r="L818" s="93"/>
      <c r="M818" s="94"/>
      <c r="N818" s="91"/>
      <c r="O818" s="26"/>
      <c r="P818" s="93"/>
      <c r="Q818" s="26"/>
      <c r="R818" s="95"/>
      <c r="S818" s="27"/>
    </row>
    <row r="819" spans="1:19" x14ac:dyDescent="0.2">
      <c r="A819" s="90" t="s">
        <v>962</v>
      </c>
      <c r="B819" s="91" t="s">
        <v>35</v>
      </c>
      <c r="C819" s="91" t="s">
        <v>313</v>
      </c>
      <c r="D819" s="91" t="s">
        <v>392</v>
      </c>
      <c r="E819" s="92" t="s">
        <v>980</v>
      </c>
      <c r="F819" s="91" t="s">
        <v>329</v>
      </c>
      <c r="G819" s="91" t="s">
        <v>283</v>
      </c>
      <c r="H819" s="91" t="s">
        <v>9</v>
      </c>
      <c r="I819" s="91" t="s">
        <v>235</v>
      </c>
      <c r="J819" s="92" t="s">
        <v>284</v>
      </c>
      <c r="K819" s="93">
        <v>95.61999999999999</v>
      </c>
      <c r="L819" s="93">
        <f>K819*VLOOKUP(H819,dagsoorttabel1,2,FALSE)</f>
        <v>95.61999999999999</v>
      </c>
      <c r="M819" s="94">
        <f>prodnorm108</f>
        <v>0</v>
      </c>
      <c r="N819" s="91" t="s">
        <v>101</v>
      </c>
      <c r="O819" s="26">
        <f>uurtarief108</f>
        <v>0</v>
      </c>
      <c r="P819" s="93" t="e">
        <f>IF(ISBLANK(M819),0,L819/ROUND(M819,4))</f>
        <v>#DIV/0!</v>
      </c>
      <c r="Q819" s="26" t="e">
        <f>ROUND(O819,2)*P819</f>
        <v>#DIV/0!</v>
      </c>
      <c r="R819" s="93" t="e">
        <f>P819*dagenperjaar1</f>
        <v>#DIV/0!</v>
      </c>
      <c r="S819" s="27" t="e">
        <f>R819*ROUND(O819,2)</f>
        <v>#DIV/0!</v>
      </c>
    </row>
    <row r="820" spans="1:19" x14ac:dyDescent="0.2">
      <c r="A820" s="90" t="s">
        <v>962</v>
      </c>
      <c r="B820" s="91" t="s">
        <v>35</v>
      </c>
      <c r="C820" s="91" t="s">
        <v>313</v>
      </c>
      <c r="D820" s="91" t="s">
        <v>981</v>
      </c>
      <c r="E820" s="92" t="s">
        <v>318</v>
      </c>
      <c r="F820" s="91" t="s">
        <v>390</v>
      </c>
      <c r="G820" s="91" t="s">
        <v>298</v>
      </c>
      <c r="H820" s="91" t="s">
        <v>9</v>
      </c>
      <c r="I820" s="91" t="s">
        <v>235</v>
      </c>
      <c r="J820" s="92" t="s">
        <v>299</v>
      </c>
      <c r="K820" s="93">
        <v>8</v>
      </c>
      <c r="L820" s="93">
        <f>K820*VLOOKUP(H820,dagsoorttabel1,2,FALSE)</f>
        <v>8</v>
      </c>
      <c r="M820" s="94">
        <f>prodnorm126</f>
        <v>0</v>
      </c>
      <c r="N820" s="91" t="s">
        <v>101</v>
      </c>
      <c r="O820" s="26">
        <f>uurtarief126</f>
        <v>0</v>
      </c>
      <c r="P820" s="93" t="e">
        <f>IF(ISBLANK(M820),0,L820/ROUND(M820,4))</f>
        <v>#DIV/0!</v>
      </c>
      <c r="Q820" s="26" t="e">
        <f>ROUND(O820,2)*P820</f>
        <v>#DIV/0!</v>
      </c>
      <c r="R820" s="93" t="e">
        <f>P820*dagenperjaar1</f>
        <v>#DIV/0!</v>
      </c>
      <c r="S820" s="27" t="e">
        <f>R820*ROUND(O820,2)</f>
        <v>#DIV/0!</v>
      </c>
    </row>
    <row r="821" spans="1:19" x14ac:dyDescent="0.2">
      <c r="A821" s="90" t="s">
        <v>962</v>
      </c>
      <c r="B821" s="91" t="s">
        <v>35</v>
      </c>
      <c r="C821" s="91" t="s">
        <v>313</v>
      </c>
      <c r="D821" s="91" t="s">
        <v>393</v>
      </c>
      <c r="E821" s="92" t="s">
        <v>982</v>
      </c>
      <c r="F821" s="91" t="s">
        <v>329</v>
      </c>
      <c r="G821" s="91" t="s">
        <v>283</v>
      </c>
      <c r="H821" s="91" t="s">
        <v>13</v>
      </c>
      <c r="I821" s="91" t="s">
        <v>235</v>
      </c>
      <c r="J821" s="92" t="s">
        <v>284</v>
      </c>
      <c r="K821" s="93">
        <v>18.82</v>
      </c>
      <c r="L821" s="93">
        <f>K821*VLOOKUP(H821,dagsoorttabel1,2,FALSE)</f>
        <v>3.7640000000000002</v>
      </c>
      <c r="M821" s="94">
        <f>prodnorm106</f>
        <v>0</v>
      </c>
      <c r="N821" s="91" t="s">
        <v>101</v>
      </c>
      <c r="O821" s="26">
        <f>uurtarief106</f>
        <v>0</v>
      </c>
      <c r="P821" s="93" t="e">
        <f>IF(ISBLANK(M821),0,L821/ROUND(M821,4))</f>
        <v>#DIV/0!</v>
      </c>
      <c r="Q821" s="26" t="e">
        <f>ROUND(O821,2)*P821</f>
        <v>#DIV/0!</v>
      </c>
      <c r="R821" s="93" t="e">
        <f>P821*dagenperjaar1</f>
        <v>#DIV/0!</v>
      </c>
      <c r="S821" s="27" t="e">
        <f>R821*ROUND(O821,2)</f>
        <v>#DIV/0!</v>
      </c>
    </row>
    <row r="822" spans="1:19" x14ac:dyDescent="0.2">
      <c r="A822" s="90" t="s">
        <v>962</v>
      </c>
      <c r="B822" s="91" t="s">
        <v>35</v>
      </c>
      <c r="C822" s="91" t="s">
        <v>313</v>
      </c>
      <c r="D822" s="91" t="s">
        <v>394</v>
      </c>
      <c r="E822" s="92" t="s">
        <v>380</v>
      </c>
      <c r="F822" s="91" t="s">
        <v>329</v>
      </c>
      <c r="G822" s="91" t="s">
        <v>352</v>
      </c>
      <c r="H822" s="91"/>
      <c r="I822" s="91"/>
      <c r="J822" s="91"/>
      <c r="K822" s="93">
        <v>2.2800000000000002</v>
      </c>
      <c r="L822" s="93"/>
      <c r="M822" s="94"/>
      <c r="N822" s="91"/>
      <c r="O822" s="26"/>
      <c r="P822" s="93"/>
      <c r="Q822" s="26"/>
      <c r="R822" s="95"/>
      <c r="S822" s="27"/>
    </row>
    <row r="823" spans="1:19" x14ac:dyDescent="0.2">
      <c r="A823" s="90" t="s">
        <v>962</v>
      </c>
      <c r="B823" s="91" t="s">
        <v>35</v>
      </c>
      <c r="C823" s="91" t="s">
        <v>313</v>
      </c>
      <c r="D823" s="91" t="s">
        <v>395</v>
      </c>
      <c r="E823" s="92" t="s">
        <v>983</v>
      </c>
      <c r="F823" s="91" t="s">
        <v>329</v>
      </c>
      <c r="G823" s="91" t="s">
        <v>283</v>
      </c>
      <c r="H823" s="91" t="s">
        <v>9</v>
      </c>
      <c r="I823" s="91" t="s">
        <v>235</v>
      </c>
      <c r="J823" s="92" t="s">
        <v>284</v>
      </c>
      <c r="K823" s="93">
        <v>31.4</v>
      </c>
      <c r="L823" s="93">
        <f>K823*VLOOKUP(H823,dagsoorttabel1,2,FALSE)</f>
        <v>31.4</v>
      </c>
      <c r="M823" s="94">
        <f>prodnorm108</f>
        <v>0</v>
      </c>
      <c r="N823" s="91" t="s">
        <v>101</v>
      </c>
      <c r="O823" s="26">
        <f>uurtarief108</f>
        <v>0</v>
      </c>
      <c r="P823" s="93" t="e">
        <f>IF(ISBLANK(M823),0,L823/ROUND(M823,4))</f>
        <v>#DIV/0!</v>
      </c>
      <c r="Q823" s="26" t="e">
        <f>ROUND(O823,2)*P823</f>
        <v>#DIV/0!</v>
      </c>
      <c r="R823" s="93" t="e">
        <f>P823*dagenperjaar1</f>
        <v>#DIV/0!</v>
      </c>
      <c r="S823" s="27" t="e">
        <f>R823*ROUND(O823,2)</f>
        <v>#DIV/0!</v>
      </c>
    </row>
    <row r="824" spans="1:19" x14ac:dyDescent="0.2">
      <c r="A824" s="90" t="s">
        <v>962</v>
      </c>
      <c r="B824" s="91" t="s">
        <v>35</v>
      </c>
      <c r="C824" s="91" t="s">
        <v>313</v>
      </c>
      <c r="D824" s="91" t="s">
        <v>984</v>
      </c>
      <c r="E824" s="92" t="s">
        <v>983</v>
      </c>
      <c r="F824" s="91" t="s">
        <v>329</v>
      </c>
      <c r="G824" s="91" t="s">
        <v>283</v>
      </c>
      <c r="H824" s="91" t="s">
        <v>9</v>
      </c>
      <c r="I824" s="91" t="s">
        <v>235</v>
      </c>
      <c r="J824" s="92" t="s">
        <v>284</v>
      </c>
      <c r="K824" s="93">
        <v>34</v>
      </c>
      <c r="L824" s="93">
        <f>K824*VLOOKUP(H824,dagsoorttabel1,2,FALSE)</f>
        <v>34</v>
      </c>
      <c r="M824" s="94">
        <f>prodnorm108</f>
        <v>0</v>
      </c>
      <c r="N824" s="91" t="s">
        <v>101</v>
      </c>
      <c r="O824" s="26">
        <f>uurtarief108</f>
        <v>0</v>
      </c>
      <c r="P824" s="93" t="e">
        <f>IF(ISBLANK(M824),0,L824/ROUND(M824,4))</f>
        <v>#DIV/0!</v>
      </c>
      <c r="Q824" s="26" t="e">
        <f>ROUND(O824,2)*P824</f>
        <v>#DIV/0!</v>
      </c>
      <c r="R824" s="93" t="e">
        <f>P824*dagenperjaar1</f>
        <v>#DIV/0!</v>
      </c>
      <c r="S824" s="27" t="e">
        <f>R824*ROUND(O824,2)</f>
        <v>#DIV/0!</v>
      </c>
    </row>
    <row r="825" spans="1:19" x14ac:dyDescent="0.2">
      <c r="A825" s="90" t="s">
        <v>962</v>
      </c>
      <c r="B825" s="91" t="s">
        <v>35</v>
      </c>
      <c r="C825" s="91" t="s">
        <v>313</v>
      </c>
      <c r="D825" s="91" t="s">
        <v>397</v>
      </c>
      <c r="E825" s="92" t="s">
        <v>985</v>
      </c>
      <c r="F825" s="91" t="s">
        <v>329</v>
      </c>
      <c r="G825" s="91" t="s">
        <v>283</v>
      </c>
      <c r="H825" s="91" t="s">
        <v>9</v>
      </c>
      <c r="I825" s="91" t="s">
        <v>235</v>
      </c>
      <c r="J825" s="92" t="s">
        <v>284</v>
      </c>
      <c r="K825" s="93">
        <v>69.09</v>
      </c>
      <c r="L825" s="93">
        <f>K825*VLOOKUP(H825,dagsoorttabel1,2,FALSE)</f>
        <v>69.09</v>
      </c>
      <c r="M825" s="94">
        <f>prodnorm108</f>
        <v>0</v>
      </c>
      <c r="N825" s="91" t="s">
        <v>101</v>
      </c>
      <c r="O825" s="26">
        <f>uurtarief108</f>
        <v>0</v>
      </c>
      <c r="P825" s="93" t="e">
        <f>IF(ISBLANK(M825),0,L825/ROUND(M825,4))</f>
        <v>#DIV/0!</v>
      </c>
      <c r="Q825" s="26" t="e">
        <f>ROUND(O825,2)*P825</f>
        <v>#DIV/0!</v>
      </c>
      <c r="R825" s="93" t="e">
        <f>P825*dagenperjaar1</f>
        <v>#DIV/0!</v>
      </c>
      <c r="S825" s="27" t="e">
        <f>R825*ROUND(O825,2)</f>
        <v>#DIV/0!</v>
      </c>
    </row>
    <row r="826" spans="1:19" x14ac:dyDescent="0.2">
      <c r="A826" s="90" t="s">
        <v>962</v>
      </c>
      <c r="B826" s="91" t="s">
        <v>35</v>
      </c>
      <c r="C826" s="91" t="s">
        <v>313</v>
      </c>
      <c r="D826" s="91" t="s">
        <v>399</v>
      </c>
      <c r="E826" s="92" t="s">
        <v>986</v>
      </c>
      <c r="F826" s="91" t="s">
        <v>965</v>
      </c>
      <c r="G826" s="91" t="s">
        <v>289</v>
      </c>
      <c r="H826" s="91" t="s">
        <v>13</v>
      </c>
      <c r="I826" s="91" t="s">
        <v>235</v>
      </c>
      <c r="J826" s="92" t="s">
        <v>290</v>
      </c>
      <c r="K826" s="93">
        <v>7</v>
      </c>
      <c r="L826" s="93">
        <f>K826*VLOOKUP(H826,dagsoorttabel1,2,FALSE)</f>
        <v>1.4000000000000001</v>
      </c>
      <c r="M826" s="94">
        <f>prodnorm113</f>
        <v>0</v>
      </c>
      <c r="N826" s="91" t="s">
        <v>101</v>
      </c>
      <c r="O826" s="26">
        <f>uurtarief113</f>
        <v>0</v>
      </c>
      <c r="P826" s="93" t="e">
        <f>IF(ISBLANK(M826),0,L826/ROUND(M826,4))</f>
        <v>#DIV/0!</v>
      </c>
      <c r="Q826" s="26" t="e">
        <f>ROUND(O826,2)*P826</f>
        <v>#DIV/0!</v>
      </c>
      <c r="R826" s="93" t="e">
        <f>P826*dagenperjaar1</f>
        <v>#DIV/0!</v>
      </c>
      <c r="S826" s="27" t="e">
        <f>R826*ROUND(O826,2)</f>
        <v>#DIV/0!</v>
      </c>
    </row>
    <row r="827" spans="1:19" x14ac:dyDescent="0.2">
      <c r="A827" s="90" t="s">
        <v>962</v>
      </c>
      <c r="B827" s="91" t="s">
        <v>35</v>
      </c>
      <c r="C827" s="91" t="s">
        <v>313</v>
      </c>
      <c r="D827" s="91" t="s">
        <v>987</v>
      </c>
      <c r="E827" s="92" t="s">
        <v>559</v>
      </c>
      <c r="F827" s="91" t="s">
        <v>385</v>
      </c>
      <c r="G827" s="91" t="s">
        <v>298</v>
      </c>
      <c r="H827" s="91" t="s">
        <v>9</v>
      </c>
      <c r="I827" s="91" t="s">
        <v>235</v>
      </c>
      <c r="J827" s="92" t="s">
        <v>299</v>
      </c>
      <c r="K827" s="93">
        <v>3.84</v>
      </c>
      <c r="L827" s="93">
        <f>K827*VLOOKUP(H827,dagsoorttabel1,2,FALSE)</f>
        <v>3.84</v>
      </c>
      <c r="M827" s="94">
        <f>prodnorm126</f>
        <v>0</v>
      </c>
      <c r="N827" s="91" t="s">
        <v>101</v>
      </c>
      <c r="O827" s="26">
        <f>uurtarief126</f>
        <v>0</v>
      </c>
      <c r="P827" s="93" t="e">
        <f>IF(ISBLANK(M827),0,L827/ROUND(M827,4))</f>
        <v>#DIV/0!</v>
      </c>
      <c r="Q827" s="26" t="e">
        <f>ROUND(O827,2)*P827</f>
        <v>#DIV/0!</v>
      </c>
      <c r="R827" s="93" t="e">
        <f>P827*dagenperjaar1</f>
        <v>#DIV/0!</v>
      </c>
      <c r="S827" s="27" t="e">
        <f>R827*ROUND(O827,2)</f>
        <v>#DIV/0!</v>
      </c>
    </row>
    <row r="828" spans="1:19" x14ac:dyDescent="0.2">
      <c r="A828" s="90" t="s">
        <v>962</v>
      </c>
      <c r="B828" s="91" t="s">
        <v>35</v>
      </c>
      <c r="C828" s="91" t="s">
        <v>313</v>
      </c>
      <c r="D828" s="91" t="s">
        <v>401</v>
      </c>
      <c r="E828" s="92" t="s">
        <v>333</v>
      </c>
      <c r="F828" s="91" t="s">
        <v>329</v>
      </c>
      <c r="G828" s="91" t="s">
        <v>279</v>
      </c>
      <c r="H828" s="91" t="s">
        <v>9</v>
      </c>
      <c r="I828" s="91" t="s">
        <v>235</v>
      </c>
      <c r="J828" s="92" t="s">
        <v>280</v>
      </c>
      <c r="K828" s="93">
        <v>4.8</v>
      </c>
      <c r="L828" s="93">
        <f>K828*VLOOKUP(H828,dagsoorttabel1,2,FALSE)</f>
        <v>4.8</v>
      </c>
      <c r="M828" s="94">
        <f>prodnorm102</f>
        <v>0</v>
      </c>
      <c r="N828" s="91" t="s">
        <v>101</v>
      </c>
      <c r="O828" s="26">
        <f>uurtarief102</f>
        <v>0</v>
      </c>
      <c r="P828" s="93" t="e">
        <f>IF(ISBLANK(M828),0,L828/ROUND(M828,4))</f>
        <v>#DIV/0!</v>
      </c>
      <c r="Q828" s="26" t="e">
        <f>ROUND(O828,2)*P828</f>
        <v>#DIV/0!</v>
      </c>
      <c r="R828" s="93" t="e">
        <f>P828*dagenperjaar1</f>
        <v>#DIV/0!</v>
      </c>
      <c r="S828" s="27" t="e">
        <f>R828*ROUND(O828,2)</f>
        <v>#DIV/0!</v>
      </c>
    </row>
    <row r="829" spans="1:19" x14ac:dyDescent="0.2">
      <c r="A829" s="90" t="s">
        <v>962</v>
      </c>
      <c r="B829" s="91" t="s">
        <v>35</v>
      </c>
      <c r="C829" s="91" t="s">
        <v>313</v>
      </c>
      <c r="D829" s="91" t="s">
        <v>486</v>
      </c>
      <c r="E829" s="92" t="s">
        <v>951</v>
      </c>
      <c r="F829" s="91" t="s">
        <v>965</v>
      </c>
      <c r="G829" s="91" t="s">
        <v>289</v>
      </c>
      <c r="H829" s="91" t="s">
        <v>9</v>
      </c>
      <c r="I829" s="91" t="s">
        <v>235</v>
      </c>
      <c r="J829" s="92" t="s">
        <v>290</v>
      </c>
      <c r="K829" s="93">
        <v>5.95</v>
      </c>
      <c r="L829" s="93">
        <f>K829*VLOOKUP(H829,dagsoorttabel1,2,FALSE)</f>
        <v>5.95</v>
      </c>
      <c r="M829" s="94">
        <f>prodnorm115</f>
        <v>0</v>
      </c>
      <c r="N829" s="91" t="s">
        <v>101</v>
      </c>
      <c r="O829" s="26">
        <f>uurtarief115</f>
        <v>0</v>
      </c>
      <c r="P829" s="93" t="e">
        <f>IF(ISBLANK(M829),0,L829/ROUND(M829,4))</f>
        <v>#DIV/0!</v>
      </c>
      <c r="Q829" s="26" t="e">
        <f>ROUND(O829,2)*P829</f>
        <v>#DIV/0!</v>
      </c>
      <c r="R829" s="93" t="e">
        <f>P829*dagenperjaar1</f>
        <v>#DIV/0!</v>
      </c>
      <c r="S829" s="27" t="e">
        <f>R829*ROUND(O829,2)</f>
        <v>#DIV/0!</v>
      </c>
    </row>
    <row r="830" spans="1:19" x14ac:dyDescent="0.2">
      <c r="A830" s="90" t="s">
        <v>962</v>
      </c>
      <c r="B830" s="91" t="s">
        <v>35</v>
      </c>
      <c r="C830" s="91" t="s">
        <v>313</v>
      </c>
      <c r="D830" s="91" t="s">
        <v>487</v>
      </c>
      <c r="E830" s="92" t="s">
        <v>988</v>
      </c>
      <c r="F830" s="91" t="s">
        <v>329</v>
      </c>
      <c r="G830" s="91" t="s">
        <v>252</v>
      </c>
      <c r="H830" s="91" t="s">
        <v>13</v>
      </c>
      <c r="I830" s="91" t="s">
        <v>235</v>
      </c>
      <c r="J830" s="92" t="s">
        <v>253</v>
      </c>
      <c r="K830" s="93">
        <v>63.03</v>
      </c>
      <c r="L830" s="93">
        <f>K830*VLOOKUP(H830,dagsoorttabel1,2,FALSE)</f>
        <v>12.606000000000002</v>
      </c>
      <c r="M830" s="94">
        <f>prodnorm68</f>
        <v>0</v>
      </c>
      <c r="N830" s="91" t="s">
        <v>101</v>
      </c>
      <c r="O830" s="26">
        <f>uurtarief68</f>
        <v>0</v>
      </c>
      <c r="P830" s="93" t="e">
        <f>IF(ISBLANK(M830),0,L830/ROUND(M830,4))</f>
        <v>#DIV/0!</v>
      </c>
      <c r="Q830" s="26" t="e">
        <f>ROUND(O830,2)*P830</f>
        <v>#DIV/0!</v>
      </c>
      <c r="R830" s="93" t="e">
        <f>P830*dagenperjaar1</f>
        <v>#DIV/0!</v>
      </c>
      <c r="S830" s="27" t="e">
        <f>R830*ROUND(O830,2)</f>
        <v>#DIV/0!</v>
      </c>
    </row>
    <row r="831" spans="1:19" ht="25.2" x14ac:dyDescent="0.2">
      <c r="A831" s="90" t="s">
        <v>962</v>
      </c>
      <c r="B831" s="91" t="s">
        <v>35</v>
      </c>
      <c r="C831" s="91" t="s">
        <v>313</v>
      </c>
      <c r="D831" s="91" t="s">
        <v>489</v>
      </c>
      <c r="E831" s="92" t="s">
        <v>989</v>
      </c>
      <c r="F831" s="91" t="s">
        <v>329</v>
      </c>
      <c r="G831" s="91" t="s">
        <v>293</v>
      </c>
      <c r="H831" s="91" t="s">
        <v>13</v>
      </c>
      <c r="I831" s="91" t="s">
        <v>235</v>
      </c>
      <c r="J831" s="92" t="s">
        <v>294</v>
      </c>
      <c r="K831" s="93">
        <v>33.82</v>
      </c>
      <c r="L831" s="93">
        <f>K831*VLOOKUP(H831,dagsoorttabel1,2,FALSE)</f>
        <v>6.7640000000000002</v>
      </c>
      <c r="M831" s="94">
        <f>prodnorm119</f>
        <v>0</v>
      </c>
      <c r="N831" s="91" t="s">
        <v>101</v>
      </c>
      <c r="O831" s="26">
        <f>uurtarief119</f>
        <v>0</v>
      </c>
      <c r="P831" s="93" t="e">
        <f>IF(ISBLANK(M831),0,L831/ROUND(M831,4))</f>
        <v>#DIV/0!</v>
      </c>
      <c r="Q831" s="26" t="e">
        <f>ROUND(O831,2)*P831</f>
        <v>#DIV/0!</v>
      </c>
      <c r="R831" s="93" t="e">
        <f>P831*dagenperjaar1</f>
        <v>#DIV/0!</v>
      </c>
      <c r="S831" s="27" t="e">
        <f>R831*ROUND(O831,2)</f>
        <v>#DIV/0!</v>
      </c>
    </row>
    <row r="832" spans="1:19" ht="25.2" x14ac:dyDescent="0.2">
      <c r="A832" s="90" t="s">
        <v>962</v>
      </c>
      <c r="B832" s="91" t="s">
        <v>35</v>
      </c>
      <c r="C832" s="91" t="s">
        <v>313</v>
      </c>
      <c r="D832" s="91" t="s">
        <v>490</v>
      </c>
      <c r="E832" s="92" t="s">
        <v>989</v>
      </c>
      <c r="F832" s="91" t="s">
        <v>329</v>
      </c>
      <c r="G832" s="91" t="s">
        <v>293</v>
      </c>
      <c r="H832" s="91" t="s">
        <v>13</v>
      </c>
      <c r="I832" s="91" t="s">
        <v>235</v>
      </c>
      <c r="J832" s="92" t="s">
        <v>294</v>
      </c>
      <c r="K832" s="93">
        <v>36.200000000000003</v>
      </c>
      <c r="L832" s="93">
        <f>K832*VLOOKUP(H832,dagsoorttabel1,2,FALSE)</f>
        <v>7.2400000000000011</v>
      </c>
      <c r="M832" s="94">
        <f>prodnorm119</f>
        <v>0</v>
      </c>
      <c r="N832" s="91" t="s">
        <v>101</v>
      </c>
      <c r="O832" s="26">
        <f>uurtarief119</f>
        <v>0</v>
      </c>
      <c r="P832" s="93" t="e">
        <f>IF(ISBLANK(M832),0,L832/ROUND(M832,4))</f>
        <v>#DIV/0!</v>
      </c>
      <c r="Q832" s="26" t="e">
        <f>ROUND(O832,2)*P832</f>
        <v>#DIV/0!</v>
      </c>
      <c r="R832" s="93" t="e">
        <f>P832*dagenperjaar1</f>
        <v>#DIV/0!</v>
      </c>
      <c r="S832" s="27" t="e">
        <f>R832*ROUND(O832,2)</f>
        <v>#DIV/0!</v>
      </c>
    </row>
    <row r="833" spans="1:19" x14ac:dyDescent="0.2">
      <c r="A833" s="90" t="s">
        <v>962</v>
      </c>
      <c r="B833" s="91" t="s">
        <v>35</v>
      </c>
      <c r="C833" s="91" t="s">
        <v>313</v>
      </c>
      <c r="D833" s="91" t="s">
        <v>491</v>
      </c>
      <c r="E833" s="92" t="s">
        <v>990</v>
      </c>
      <c r="F833" s="91" t="s">
        <v>329</v>
      </c>
      <c r="G833" s="91" t="s">
        <v>264</v>
      </c>
      <c r="H833" s="91" t="s">
        <v>13</v>
      </c>
      <c r="I833" s="91" t="s">
        <v>235</v>
      </c>
      <c r="J833" s="92" t="s">
        <v>265</v>
      </c>
      <c r="K833" s="93">
        <v>44.87</v>
      </c>
      <c r="L833" s="93">
        <f>K833*VLOOKUP(H833,dagsoorttabel1,2,FALSE)</f>
        <v>8.9740000000000002</v>
      </c>
      <c r="M833" s="94">
        <f>prodnorm82</f>
        <v>0</v>
      </c>
      <c r="N833" s="91" t="s">
        <v>101</v>
      </c>
      <c r="O833" s="26">
        <f>uurtarief82</f>
        <v>0</v>
      </c>
      <c r="P833" s="93" t="e">
        <f>IF(ISBLANK(M833),0,L833/ROUND(M833,4))</f>
        <v>#DIV/0!</v>
      </c>
      <c r="Q833" s="26" t="e">
        <f>ROUND(O833,2)*P833</f>
        <v>#DIV/0!</v>
      </c>
      <c r="R833" s="93" t="e">
        <f>P833*dagenperjaar1</f>
        <v>#DIV/0!</v>
      </c>
      <c r="S833" s="27" t="e">
        <f>R833*ROUND(O833,2)</f>
        <v>#DIV/0!</v>
      </c>
    </row>
    <row r="834" spans="1:19" ht="25.2" x14ac:dyDescent="0.2">
      <c r="A834" s="90" t="s">
        <v>962</v>
      </c>
      <c r="B834" s="91" t="s">
        <v>35</v>
      </c>
      <c r="C834" s="91" t="s">
        <v>313</v>
      </c>
      <c r="D834" s="91" t="s">
        <v>580</v>
      </c>
      <c r="E834" s="92" t="s">
        <v>991</v>
      </c>
      <c r="F834" s="91" t="s">
        <v>329</v>
      </c>
      <c r="G834" s="91" t="s">
        <v>293</v>
      </c>
      <c r="H834" s="91" t="s">
        <v>13</v>
      </c>
      <c r="I834" s="91" t="s">
        <v>235</v>
      </c>
      <c r="J834" s="92" t="s">
        <v>294</v>
      </c>
      <c r="K834" s="93">
        <v>29.34</v>
      </c>
      <c r="L834" s="93">
        <f>K834*VLOOKUP(H834,dagsoorttabel1,2,FALSE)</f>
        <v>5.8680000000000003</v>
      </c>
      <c r="M834" s="94">
        <f>prodnorm119</f>
        <v>0</v>
      </c>
      <c r="N834" s="91" t="s">
        <v>101</v>
      </c>
      <c r="O834" s="26">
        <f>uurtarief119</f>
        <v>0</v>
      </c>
      <c r="P834" s="93" t="e">
        <f>IF(ISBLANK(M834),0,L834/ROUND(M834,4))</f>
        <v>#DIV/0!</v>
      </c>
      <c r="Q834" s="26" t="e">
        <f>ROUND(O834,2)*P834</f>
        <v>#DIV/0!</v>
      </c>
      <c r="R834" s="93" t="e">
        <f>P834*dagenperjaar1</f>
        <v>#DIV/0!</v>
      </c>
      <c r="S834" s="27" t="e">
        <f>R834*ROUND(O834,2)</f>
        <v>#DIV/0!</v>
      </c>
    </row>
    <row r="835" spans="1:19" ht="25.2" x14ac:dyDescent="0.2">
      <c r="A835" s="90" t="s">
        <v>962</v>
      </c>
      <c r="B835" s="91" t="s">
        <v>35</v>
      </c>
      <c r="C835" s="91" t="s">
        <v>313</v>
      </c>
      <c r="D835" s="91" t="s">
        <v>581</v>
      </c>
      <c r="E835" s="92" t="s">
        <v>992</v>
      </c>
      <c r="F835" s="91" t="s">
        <v>329</v>
      </c>
      <c r="G835" s="91" t="s">
        <v>293</v>
      </c>
      <c r="H835" s="91" t="s">
        <v>13</v>
      </c>
      <c r="I835" s="91" t="s">
        <v>235</v>
      </c>
      <c r="J835" s="92" t="s">
        <v>294</v>
      </c>
      <c r="K835" s="93">
        <v>55.949999999999996</v>
      </c>
      <c r="L835" s="93">
        <f>K835*VLOOKUP(H835,dagsoorttabel1,2,FALSE)</f>
        <v>11.19</v>
      </c>
      <c r="M835" s="94">
        <f>prodnorm119</f>
        <v>0</v>
      </c>
      <c r="N835" s="91" t="s">
        <v>101</v>
      </c>
      <c r="O835" s="26">
        <f>uurtarief119</f>
        <v>0</v>
      </c>
      <c r="P835" s="93" t="e">
        <f>IF(ISBLANK(M835),0,L835/ROUND(M835,4))</f>
        <v>#DIV/0!</v>
      </c>
      <c r="Q835" s="26" t="e">
        <f>ROUND(O835,2)*P835</f>
        <v>#DIV/0!</v>
      </c>
      <c r="R835" s="93" t="e">
        <f>P835*dagenperjaar1</f>
        <v>#DIV/0!</v>
      </c>
      <c r="S835" s="27" t="e">
        <f>R835*ROUND(O835,2)</f>
        <v>#DIV/0!</v>
      </c>
    </row>
    <row r="836" spans="1:19" ht="25.2" x14ac:dyDescent="0.2">
      <c r="A836" s="90" t="s">
        <v>962</v>
      </c>
      <c r="B836" s="91" t="s">
        <v>35</v>
      </c>
      <c r="C836" s="91" t="s">
        <v>313</v>
      </c>
      <c r="D836" s="91" t="s">
        <v>993</v>
      </c>
      <c r="E836" s="92" t="s">
        <v>994</v>
      </c>
      <c r="F836" s="91" t="s">
        <v>329</v>
      </c>
      <c r="G836" s="91" t="s">
        <v>293</v>
      </c>
      <c r="H836" s="91" t="s">
        <v>13</v>
      </c>
      <c r="I836" s="91" t="s">
        <v>235</v>
      </c>
      <c r="J836" s="92" t="s">
        <v>294</v>
      </c>
      <c r="K836" s="93">
        <v>62.42</v>
      </c>
      <c r="L836" s="93">
        <f>K836*VLOOKUP(H836,dagsoorttabel1,2,FALSE)</f>
        <v>12.484000000000002</v>
      </c>
      <c r="M836" s="94">
        <f>prodnorm119</f>
        <v>0</v>
      </c>
      <c r="N836" s="91" t="s">
        <v>101</v>
      </c>
      <c r="O836" s="26">
        <f>uurtarief119</f>
        <v>0</v>
      </c>
      <c r="P836" s="93" t="e">
        <f>IF(ISBLANK(M836),0,L836/ROUND(M836,4))</f>
        <v>#DIV/0!</v>
      </c>
      <c r="Q836" s="26" t="e">
        <f>ROUND(O836,2)*P836</f>
        <v>#DIV/0!</v>
      </c>
      <c r="R836" s="93" t="e">
        <f>P836*dagenperjaar1</f>
        <v>#DIV/0!</v>
      </c>
      <c r="S836" s="27" t="e">
        <f>R836*ROUND(O836,2)</f>
        <v>#DIV/0!</v>
      </c>
    </row>
    <row r="837" spans="1:19" ht="25.2" x14ac:dyDescent="0.2">
      <c r="A837" s="90" t="s">
        <v>962</v>
      </c>
      <c r="B837" s="91" t="s">
        <v>35</v>
      </c>
      <c r="C837" s="91" t="s">
        <v>313</v>
      </c>
      <c r="D837" s="91" t="s">
        <v>582</v>
      </c>
      <c r="E837" s="92" t="s">
        <v>638</v>
      </c>
      <c r="F837" s="91" t="s">
        <v>329</v>
      </c>
      <c r="G837" s="91" t="s">
        <v>293</v>
      </c>
      <c r="H837" s="91" t="s">
        <v>13</v>
      </c>
      <c r="I837" s="91" t="s">
        <v>235</v>
      </c>
      <c r="J837" s="92" t="s">
        <v>294</v>
      </c>
      <c r="K837" s="93">
        <v>50.04</v>
      </c>
      <c r="L837" s="93">
        <f>K837*VLOOKUP(H837,dagsoorttabel1,2,FALSE)</f>
        <v>10.008000000000001</v>
      </c>
      <c r="M837" s="94">
        <f>prodnorm119</f>
        <v>0</v>
      </c>
      <c r="N837" s="91" t="s">
        <v>101</v>
      </c>
      <c r="O837" s="26">
        <f>uurtarief119</f>
        <v>0</v>
      </c>
      <c r="P837" s="93" t="e">
        <f>IF(ISBLANK(M837),0,L837/ROUND(M837,4))</f>
        <v>#DIV/0!</v>
      </c>
      <c r="Q837" s="26" t="e">
        <f>ROUND(O837,2)*P837</f>
        <v>#DIV/0!</v>
      </c>
      <c r="R837" s="93" t="e">
        <f>P837*dagenperjaar1</f>
        <v>#DIV/0!</v>
      </c>
      <c r="S837" s="27" t="e">
        <f>R837*ROUND(O837,2)</f>
        <v>#DIV/0!</v>
      </c>
    </row>
    <row r="838" spans="1:19" x14ac:dyDescent="0.2">
      <c r="A838" s="90" t="s">
        <v>962</v>
      </c>
      <c r="B838" s="91" t="s">
        <v>35</v>
      </c>
      <c r="C838" s="91" t="s">
        <v>313</v>
      </c>
      <c r="D838" s="91" t="s">
        <v>584</v>
      </c>
      <c r="E838" s="92" t="s">
        <v>323</v>
      </c>
      <c r="F838" s="91" t="s">
        <v>971</v>
      </c>
      <c r="G838" s="91" t="s">
        <v>239</v>
      </c>
      <c r="H838" s="91" t="s">
        <v>9</v>
      </c>
      <c r="I838" s="91" t="s">
        <v>235</v>
      </c>
      <c r="J838" s="92" t="s">
        <v>240</v>
      </c>
      <c r="K838" s="93">
        <v>17.239999999999998</v>
      </c>
      <c r="L838" s="93">
        <f>K838*VLOOKUP(H838,dagsoorttabel1,2,FALSE)</f>
        <v>17.239999999999998</v>
      </c>
      <c r="M838" s="94">
        <f>prodnorm55</f>
        <v>0</v>
      </c>
      <c r="N838" s="91" t="s">
        <v>101</v>
      </c>
      <c r="O838" s="26">
        <f>uurtarief55</f>
        <v>0</v>
      </c>
      <c r="P838" s="93" t="e">
        <f>IF(ISBLANK(M838),0,L838/ROUND(M838,4))</f>
        <v>#DIV/0!</v>
      </c>
      <c r="Q838" s="26" t="e">
        <f>ROUND(O838,2)*P838</f>
        <v>#DIV/0!</v>
      </c>
      <c r="R838" s="93" t="e">
        <f>P838*dagenperjaar1</f>
        <v>#DIV/0!</v>
      </c>
      <c r="S838" s="27" t="e">
        <f>R838*ROUND(O838,2)</f>
        <v>#DIV/0!</v>
      </c>
    </row>
    <row r="839" spans="1:19" x14ac:dyDescent="0.2">
      <c r="A839" s="90" t="s">
        <v>962</v>
      </c>
      <c r="B839" s="91" t="s">
        <v>35</v>
      </c>
      <c r="C839" s="91" t="s">
        <v>313</v>
      </c>
      <c r="D839" s="91" t="s">
        <v>587</v>
      </c>
      <c r="E839" s="92" t="s">
        <v>351</v>
      </c>
      <c r="F839" s="91" t="s">
        <v>329</v>
      </c>
      <c r="G839" s="91" t="s">
        <v>264</v>
      </c>
      <c r="H839" s="91" t="s">
        <v>21</v>
      </c>
      <c r="I839" s="91" t="s">
        <v>235</v>
      </c>
      <c r="J839" s="92" t="s">
        <v>265</v>
      </c>
      <c r="K839" s="93">
        <v>7.74</v>
      </c>
      <c r="L839" s="93">
        <f>K839*VLOOKUP(H839,dagsoorttabel1,2,FALSE)</f>
        <v>2.976923076923077E-2</v>
      </c>
      <c r="M839" s="94">
        <f>prodnorm81</f>
        <v>0</v>
      </c>
      <c r="N839" s="91" t="s">
        <v>101</v>
      </c>
      <c r="O839" s="26">
        <f>uurtarief81</f>
        <v>0</v>
      </c>
      <c r="P839" s="93" t="e">
        <f>IF(ISBLANK(M839),0,L839/ROUND(M839,4))</f>
        <v>#DIV/0!</v>
      </c>
      <c r="Q839" s="26" t="e">
        <f>ROUND(O839,2)*P839</f>
        <v>#DIV/0!</v>
      </c>
      <c r="R839" s="93" t="e">
        <f>P839*dagenperjaar1</f>
        <v>#DIV/0!</v>
      </c>
      <c r="S839" s="27" t="e">
        <f>R839*ROUND(O839,2)</f>
        <v>#DIV/0!</v>
      </c>
    </row>
    <row r="840" spans="1:19" x14ac:dyDescent="0.2">
      <c r="A840" s="90" t="s">
        <v>962</v>
      </c>
      <c r="B840" s="91" t="s">
        <v>35</v>
      </c>
      <c r="C840" s="91" t="s">
        <v>313</v>
      </c>
      <c r="D840" s="91" t="s">
        <v>591</v>
      </c>
      <c r="E840" s="92" t="s">
        <v>995</v>
      </c>
      <c r="F840" s="91" t="s">
        <v>329</v>
      </c>
      <c r="G840" s="91" t="s">
        <v>264</v>
      </c>
      <c r="H840" s="91" t="s">
        <v>13</v>
      </c>
      <c r="I840" s="91" t="s">
        <v>235</v>
      </c>
      <c r="J840" s="92" t="s">
        <v>265</v>
      </c>
      <c r="K840" s="93">
        <v>29.53</v>
      </c>
      <c r="L840" s="93">
        <f>K840*VLOOKUP(H840,dagsoorttabel1,2,FALSE)</f>
        <v>5.9060000000000006</v>
      </c>
      <c r="M840" s="94">
        <f>prodnorm82</f>
        <v>0</v>
      </c>
      <c r="N840" s="91" t="s">
        <v>101</v>
      </c>
      <c r="O840" s="26">
        <f>uurtarief82</f>
        <v>0</v>
      </c>
      <c r="P840" s="93" t="e">
        <f>IF(ISBLANK(M840),0,L840/ROUND(M840,4))</f>
        <v>#DIV/0!</v>
      </c>
      <c r="Q840" s="26" t="e">
        <f>ROUND(O840,2)*P840</f>
        <v>#DIV/0!</v>
      </c>
      <c r="R840" s="93" t="e">
        <f>P840*dagenperjaar1</f>
        <v>#DIV/0!</v>
      </c>
      <c r="S840" s="27" t="e">
        <f>R840*ROUND(O840,2)</f>
        <v>#DIV/0!</v>
      </c>
    </row>
    <row r="841" spans="1:19" x14ac:dyDescent="0.2">
      <c r="A841" s="90" t="s">
        <v>962</v>
      </c>
      <c r="B841" s="91" t="s">
        <v>35</v>
      </c>
      <c r="C841" s="91" t="s">
        <v>313</v>
      </c>
      <c r="D841" s="91" t="s">
        <v>594</v>
      </c>
      <c r="E841" s="92" t="s">
        <v>351</v>
      </c>
      <c r="F841" s="91" t="s">
        <v>329</v>
      </c>
      <c r="G841" s="91" t="s">
        <v>264</v>
      </c>
      <c r="H841" s="91" t="s">
        <v>21</v>
      </c>
      <c r="I841" s="91" t="s">
        <v>235</v>
      </c>
      <c r="J841" s="92" t="s">
        <v>265</v>
      </c>
      <c r="K841" s="93">
        <v>9.4700000000000006</v>
      </c>
      <c r="L841" s="93">
        <f>K841*VLOOKUP(H841,dagsoorttabel1,2,FALSE)</f>
        <v>3.6423076923076926E-2</v>
      </c>
      <c r="M841" s="94">
        <f>prodnorm81</f>
        <v>0</v>
      </c>
      <c r="N841" s="91" t="s">
        <v>101</v>
      </c>
      <c r="O841" s="26">
        <f>uurtarief81</f>
        <v>0</v>
      </c>
      <c r="P841" s="93" t="e">
        <f>IF(ISBLANK(M841),0,L841/ROUND(M841,4))</f>
        <v>#DIV/0!</v>
      </c>
      <c r="Q841" s="26" t="e">
        <f>ROUND(O841,2)*P841</f>
        <v>#DIV/0!</v>
      </c>
      <c r="R841" s="93" t="e">
        <f>P841*dagenperjaar1</f>
        <v>#DIV/0!</v>
      </c>
      <c r="S841" s="27" t="e">
        <f>R841*ROUND(O841,2)</f>
        <v>#DIV/0!</v>
      </c>
    </row>
    <row r="842" spans="1:19" x14ac:dyDescent="0.2">
      <c r="A842" s="90" t="s">
        <v>962</v>
      </c>
      <c r="B842" s="91" t="s">
        <v>35</v>
      </c>
      <c r="C842" s="91" t="s">
        <v>313</v>
      </c>
      <c r="D842" s="91" t="s">
        <v>596</v>
      </c>
      <c r="E842" s="92" t="s">
        <v>996</v>
      </c>
      <c r="F842" s="91" t="s">
        <v>329</v>
      </c>
      <c r="G842" s="91" t="s">
        <v>264</v>
      </c>
      <c r="H842" s="91" t="s">
        <v>13</v>
      </c>
      <c r="I842" s="91" t="s">
        <v>235</v>
      </c>
      <c r="J842" s="92" t="s">
        <v>265</v>
      </c>
      <c r="K842" s="93">
        <v>352.5</v>
      </c>
      <c r="L842" s="93">
        <f>K842*VLOOKUP(H842,dagsoorttabel1,2,FALSE)</f>
        <v>70.5</v>
      </c>
      <c r="M842" s="94">
        <f>prodnorm82</f>
        <v>0</v>
      </c>
      <c r="N842" s="91" t="s">
        <v>101</v>
      </c>
      <c r="O842" s="26">
        <f>uurtarief82</f>
        <v>0</v>
      </c>
      <c r="P842" s="93" t="e">
        <f>IF(ISBLANK(M842),0,L842/ROUND(M842,4))</f>
        <v>#DIV/0!</v>
      </c>
      <c r="Q842" s="26" t="e">
        <f>ROUND(O842,2)*P842</f>
        <v>#DIV/0!</v>
      </c>
      <c r="R842" s="93" t="e">
        <f>P842*dagenperjaar1</f>
        <v>#DIV/0!</v>
      </c>
      <c r="S842" s="27" t="e">
        <f>R842*ROUND(O842,2)</f>
        <v>#DIV/0!</v>
      </c>
    </row>
    <row r="843" spans="1:19" x14ac:dyDescent="0.2">
      <c r="A843" s="90" t="s">
        <v>962</v>
      </c>
      <c r="B843" s="91" t="s">
        <v>35</v>
      </c>
      <c r="C843" s="91" t="s">
        <v>313</v>
      </c>
      <c r="D843" s="91" t="s">
        <v>997</v>
      </c>
      <c r="E843" s="92" t="s">
        <v>998</v>
      </c>
      <c r="F843" s="91" t="s">
        <v>971</v>
      </c>
      <c r="G843" s="91" t="s">
        <v>291</v>
      </c>
      <c r="H843" s="91" t="s">
        <v>9</v>
      </c>
      <c r="I843" s="91" t="s">
        <v>235</v>
      </c>
      <c r="J843" s="92" t="s">
        <v>292</v>
      </c>
      <c r="K843" s="93">
        <v>4.0599999999999996</v>
      </c>
      <c r="L843" s="93">
        <f>K843*VLOOKUP(H843,dagsoorttabel1,2,FALSE)</f>
        <v>4.0599999999999996</v>
      </c>
      <c r="M843" s="94">
        <f>prodnorm117</f>
        <v>0</v>
      </c>
      <c r="N843" s="91" t="s">
        <v>101</v>
      </c>
      <c r="O843" s="26">
        <f>uurtarief117</f>
        <v>0</v>
      </c>
      <c r="P843" s="93" t="e">
        <f>IF(ISBLANK(M843),0,L843/ROUND(M843,4))</f>
        <v>#DIV/0!</v>
      </c>
      <c r="Q843" s="26" t="e">
        <f>ROUND(O843,2)*P843</f>
        <v>#DIV/0!</v>
      </c>
      <c r="R843" s="93" t="e">
        <f>P843*dagenperjaar1</f>
        <v>#DIV/0!</v>
      </c>
      <c r="S843" s="27" t="e">
        <f>R843*ROUND(O843,2)</f>
        <v>#DIV/0!</v>
      </c>
    </row>
    <row r="844" spans="1:19" x14ac:dyDescent="0.2">
      <c r="A844" s="90" t="s">
        <v>962</v>
      </c>
      <c r="B844" s="91" t="s">
        <v>35</v>
      </c>
      <c r="C844" s="91" t="s">
        <v>313</v>
      </c>
      <c r="D844" s="91" t="s">
        <v>999</v>
      </c>
      <c r="E844" s="92" t="s">
        <v>1000</v>
      </c>
      <c r="F844" s="91" t="s">
        <v>971</v>
      </c>
      <c r="G844" s="91" t="s">
        <v>283</v>
      </c>
      <c r="H844" s="91" t="s">
        <v>9</v>
      </c>
      <c r="I844" s="91" t="s">
        <v>235</v>
      </c>
      <c r="J844" s="92" t="s">
        <v>284</v>
      </c>
      <c r="K844" s="93">
        <v>4</v>
      </c>
      <c r="L844" s="93">
        <f>K844*VLOOKUP(H844,dagsoorttabel1,2,FALSE)</f>
        <v>4</v>
      </c>
      <c r="M844" s="94">
        <f>prodnorm108</f>
        <v>0</v>
      </c>
      <c r="N844" s="91" t="s">
        <v>101</v>
      </c>
      <c r="O844" s="26">
        <f>uurtarief108</f>
        <v>0</v>
      </c>
      <c r="P844" s="93" t="e">
        <f>IF(ISBLANK(M844),0,L844/ROUND(M844,4))</f>
        <v>#DIV/0!</v>
      </c>
      <c r="Q844" s="26" t="e">
        <f>ROUND(O844,2)*P844</f>
        <v>#DIV/0!</v>
      </c>
      <c r="R844" s="93" t="e">
        <f>P844*dagenperjaar1</f>
        <v>#DIV/0!</v>
      </c>
      <c r="S844" s="27" t="e">
        <f>R844*ROUND(O844,2)</f>
        <v>#DIV/0!</v>
      </c>
    </row>
    <row r="845" spans="1:19" ht="25.2" x14ac:dyDescent="0.2">
      <c r="A845" s="90" t="s">
        <v>962</v>
      </c>
      <c r="B845" s="91" t="s">
        <v>35</v>
      </c>
      <c r="C845" s="91" t="s">
        <v>313</v>
      </c>
      <c r="D845" s="91" t="s">
        <v>599</v>
      </c>
      <c r="E845" s="92" t="s">
        <v>1001</v>
      </c>
      <c r="F845" s="91" t="s">
        <v>329</v>
      </c>
      <c r="G845" s="91" t="s">
        <v>293</v>
      </c>
      <c r="H845" s="91" t="s">
        <v>13</v>
      </c>
      <c r="I845" s="91" t="s">
        <v>235</v>
      </c>
      <c r="J845" s="92" t="s">
        <v>294</v>
      </c>
      <c r="K845" s="93">
        <v>98.960000000000008</v>
      </c>
      <c r="L845" s="93">
        <f>K845*VLOOKUP(H845,dagsoorttabel1,2,FALSE)</f>
        <v>19.792000000000002</v>
      </c>
      <c r="M845" s="94">
        <f>prodnorm119</f>
        <v>0</v>
      </c>
      <c r="N845" s="91" t="s">
        <v>101</v>
      </c>
      <c r="O845" s="26">
        <f>uurtarief119</f>
        <v>0</v>
      </c>
      <c r="P845" s="93" t="e">
        <f>IF(ISBLANK(M845),0,L845/ROUND(M845,4))</f>
        <v>#DIV/0!</v>
      </c>
      <c r="Q845" s="26" t="e">
        <f>ROUND(O845,2)*P845</f>
        <v>#DIV/0!</v>
      </c>
      <c r="R845" s="93" t="e">
        <f>P845*dagenperjaar1</f>
        <v>#DIV/0!</v>
      </c>
      <c r="S845" s="27" t="e">
        <f>R845*ROUND(O845,2)</f>
        <v>#DIV/0!</v>
      </c>
    </row>
    <row r="846" spans="1:19" x14ac:dyDescent="0.2">
      <c r="A846" s="90" t="s">
        <v>962</v>
      </c>
      <c r="B846" s="91" t="s">
        <v>35</v>
      </c>
      <c r="C846" s="91" t="s">
        <v>313</v>
      </c>
      <c r="D846" s="91" t="s">
        <v>600</v>
      </c>
      <c r="E846" s="92" t="s">
        <v>1002</v>
      </c>
      <c r="F846" s="91" t="s">
        <v>329</v>
      </c>
      <c r="G846" s="91" t="s">
        <v>283</v>
      </c>
      <c r="H846" s="91" t="s">
        <v>13</v>
      </c>
      <c r="I846" s="91" t="s">
        <v>235</v>
      </c>
      <c r="J846" s="92" t="s">
        <v>284</v>
      </c>
      <c r="K846" s="93">
        <v>99.740000000000009</v>
      </c>
      <c r="L846" s="93">
        <f>K846*VLOOKUP(H846,dagsoorttabel1,2,FALSE)</f>
        <v>19.948000000000004</v>
      </c>
      <c r="M846" s="94">
        <f>prodnorm106</f>
        <v>0</v>
      </c>
      <c r="N846" s="91" t="s">
        <v>101</v>
      </c>
      <c r="O846" s="26">
        <f>uurtarief106</f>
        <v>0</v>
      </c>
      <c r="P846" s="93" t="e">
        <f>IF(ISBLANK(M846),0,L846/ROUND(M846,4))</f>
        <v>#DIV/0!</v>
      </c>
      <c r="Q846" s="26" t="e">
        <f>ROUND(O846,2)*P846</f>
        <v>#DIV/0!</v>
      </c>
      <c r="R846" s="93" t="e">
        <f>P846*dagenperjaar1</f>
        <v>#DIV/0!</v>
      </c>
      <c r="S846" s="27" t="e">
        <f>R846*ROUND(O846,2)</f>
        <v>#DIV/0!</v>
      </c>
    </row>
    <row r="847" spans="1:19" x14ac:dyDescent="0.2">
      <c r="A847" s="90" t="s">
        <v>962</v>
      </c>
      <c r="B847" s="91" t="s">
        <v>35</v>
      </c>
      <c r="C847" s="91" t="s">
        <v>313</v>
      </c>
      <c r="D847" s="91" t="s">
        <v>602</v>
      </c>
      <c r="E847" s="92" t="s">
        <v>1003</v>
      </c>
      <c r="F847" s="91" t="s">
        <v>329</v>
      </c>
      <c r="G847" s="91" t="s">
        <v>252</v>
      </c>
      <c r="H847" s="91" t="s">
        <v>21</v>
      </c>
      <c r="I847" s="91" t="s">
        <v>235</v>
      </c>
      <c r="J847" s="92" t="s">
        <v>253</v>
      </c>
      <c r="K847" s="93">
        <v>151.08000000000001</v>
      </c>
      <c r="L847" s="93">
        <f>K847*VLOOKUP(H847,dagsoorttabel1,2,FALSE)</f>
        <v>0.58107692307692316</v>
      </c>
      <c r="M847" s="94">
        <f>prodnorm67</f>
        <v>0</v>
      </c>
      <c r="N847" s="91" t="s">
        <v>101</v>
      </c>
      <c r="O847" s="26">
        <f>uurtarief67</f>
        <v>0</v>
      </c>
      <c r="P847" s="93" t="e">
        <f>IF(ISBLANK(M847),0,L847/ROUND(M847,4))</f>
        <v>#DIV/0!</v>
      </c>
      <c r="Q847" s="26" t="e">
        <f>ROUND(O847,2)*P847</f>
        <v>#DIV/0!</v>
      </c>
      <c r="R847" s="93" t="e">
        <f>P847*dagenperjaar1</f>
        <v>#DIV/0!</v>
      </c>
      <c r="S847" s="27" t="e">
        <f>R847*ROUND(O847,2)</f>
        <v>#DIV/0!</v>
      </c>
    </row>
    <row r="848" spans="1:19" ht="25.2" x14ac:dyDescent="0.2">
      <c r="A848" s="90" t="s">
        <v>962</v>
      </c>
      <c r="B848" s="91" t="s">
        <v>35</v>
      </c>
      <c r="C848" s="91" t="s">
        <v>313</v>
      </c>
      <c r="D848" s="91" t="s">
        <v>603</v>
      </c>
      <c r="E848" s="92" t="s">
        <v>1004</v>
      </c>
      <c r="F848" s="91" t="s">
        <v>329</v>
      </c>
      <c r="G848" s="91" t="s">
        <v>293</v>
      </c>
      <c r="H848" s="91" t="s">
        <v>21</v>
      </c>
      <c r="I848" s="91" t="s">
        <v>235</v>
      </c>
      <c r="J848" s="92" t="s">
        <v>294</v>
      </c>
      <c r="K848" s="93">
        <v>38.770000000000003</v>
      </c>
      <c r="L848" s="93">
        <f>K848*VLOOKUP(H848,dagsoorttabel1,2,FALSE)</f>
        <v>0.14911538461538462</v>
      </c>
      <c r="M848" s="94">
        <f>prodnorm118</f>
        <v>0</v>
      </c>
      <c r="N848" s="91" t="s">
        <v>101</v>
      </c>
      <c r="O848" s="26">
        <f>uurtarief118</f>
        <v>0</v>
      </c>
      <c r="P848" s="93" t="e">
        <f>IF(ISBLANK(M848),0,L848/ROUND(M848,4))</f>
        <v>#DIV/0!</v>
      </c>
      <c r="Q848" s="26" t="e">
        <f>ROUND(O848,2)*P848</f>
        <v>#DIV/0!</v>
      </c>
      <c r="R848" s="93" t="e">
        <f>P848*dagenperjaar1</f>
        <v>#DIV/0!</v>
      </c>
      <c r="S848" s="27" t="e">
        <f>R848*ROUND(O848,2)</f>
        <v>#DIV/0!</v>
      </c>
    </row>
    <row r="849" spans="1:19" x14ac:dyDescent="0.2">
      <c r="A849" s="90" t="s">
        <v>962</v>
      </c>
      <c r="B849" s="91" t="s">
        <v>35</v>
      </c>
      <c r="C849" s="91" t="s">
        <v>313</v>
      </c>
      <c r="D849" s="91" t="s">
        <v>604</v>
      </c>
      <c r="E849" s="92" t="s">
        <v>351</v>
      </c>
      <c r="F849" s="91" t="s">
        <v>329</v>
      </c>
      <c r="G849" s="91" t="s">
        <v>264</v>
      </c>
      <c r="H849" s="91" t="s">
        <v>21</v>
      </c>
      <c r="I849" s="91" t="s">
        <v>235</v>
      </c>
      <c r="J849" s="92" t="s">
        <v>265</v>
      </c>
      <c r="K849" s="93">
        <v>24</v>
      </c>
      <c r="L849" s="93">
        <f>K849*VLOOKUP(H849,dagsoorttabel1,2,FALSE)</f>
        <v>9.2307692307692313E-2</v>
      </c>
      <c r="M849" s="94">
        <f>prodnorm81</f>
        <v>0</v>
      </c>
      <c r="N849" s="91" t="s">
        <v>101</v>
      </c>
      <c r="O849" s="26">
        <f>uurtarief81</f>
        <v>0</v>
      </c>
      <c r="P849" s="93" t="e">
        <f>IF(ISBLANK(M849),0,L849/ROUND(M849,4))</f>
        <v>#DIV/0!</v>
      </c>
      <c r="Q849" s="26" t="e">
        <f>ROUND(O849,2)*P849</f>
        <v>#DIV/0!</v>
      </c>
      <c r="R849" s="93" t="e">
        <f>P849*dagenperjaar1</f>
        <v>#DIV/0!</v>
      </c>
      <c r="S849" s="27" t="e">
        <f>R849*ROUND(O849,2)</f>
        <v>#DIV/0!</v>
      </c>
    </row>
    <row r="850" spans="1:19" x14ac:dyDescent="0.2">
      <c r="A850" s="90" t="s">
        <v>962</v>
      </c>
      <c r="B850" s="91" t="s">
        <v>35</v>
      </c>
      <c r="C850" s="91" t="s">
        <v>313</v>
      </c>
      <c r="D850" s="91" t="s">
        <v>606</v>
      </c>
      <c r="E850" s="92" t="s">
        <v>678</v>
      </c>
      <c r="F850" s="91" t="s">
        <v>329</v>
      </c>
      <c r="G850" s="91" t="s">
        <v>264</v>
      </c>
      <c r="H850" s="91" t="s">
        <v>21</v>
      </c>
      <c r="I850" s="91" t="s">
        <v>235</v>
      </c>
      <c r="J850" s="92" t="s">
        <v>265</v>
      </c>
      <c r="K850" s="93">
        <v>26</v>
      </c>
      <c r="L850" s="93">
        <f>K850*VLOOKUP(H850,dagsoorttabel1,2,FALSE)</f>
        <v>0.1</v>
      </c>
      <c r="M850" s="94">
        <f>prodnorm81</f>
        <v>0</v>
      </c>
      <c r="N850" s="91" t="s">
        <v>101</v>
      </c>
      <c r="O850" s="26">
        <f>uurtarief81</f>
        <v>0</v>
      </c>
      <c r="P850" s="93" t="e">
        <f>IF(ISBLANK(M850),0,L850/ROUND(M850,4))</f>
        <v>#DIV/0!</v>
      </c>
      <c r="Q850" s="26" t="e">
        <f>ROUND(O850,2)*P850</f>
        <v>#DIV/0!</v>
      </c>
      <c r="R850" s="93" t="e">
        <f>P850*dagenperjaar1</f>
        <v>#DIV/0!</v>
      </c>
      <c r="S850" s="27" t="e">
        <f>R850*ROUND(O850,2)</f>
        <v>#DIV/0!</v>
      </c>
    </row>
    <row r="851" spans="1:19" x14ac:dyDescent="0.2">
      <c r="A851" s="90" t="s">
        <v>962</v>
      </c>
      <c r="B851" s="91" t="s">
        <v>35</v>
      </c>
      <c r="C851" s="91" t="s">
        <v>313</v>
      </c>
      <c r="D851" s="91" t="s">
        <v>608</v>
      </c>
      <c r="E851" s="92" t="s">
        <v>1005</v>
      </c>
      <c r="F851" s="91" t="s">
        <v>329</v>
      </c>
      <c r="G851" s="91" t="s">
        <v>234</v>
      </c>
      <c r="H851" s="91" t="s">
        <v>13</v>
      </c>
      <c r="I851" s="91" t="s">
        <v>235</v>
      </c>
      <c r="J851" s="92" t="s">
        <v>236</v>
      </c>
      <c r="K851" s="93">
        <v>5.41</v>
      </c>
      <c r="L851" s="93">
        <f>K851*VLOOKUP(H851,dagsoorttabel1,2,FALSE)</f>
        <v>1.0820000000000001</v>
      </c>
      <c r="M851" s="94">
        <f>prodnorm51</f>
        <v>0</v>
      </c>
      <c r="N851" s="91" t="s">
        <v>101</v>
      </c>
      <c r="O851" s="26">
        <f>uurtarief51</f>
        <v>0</v>
      </c>
      <c r="P851" s="93" t="e">
        <f>IF(ISBLANK(M851),0,L851/ROUND(M851,4))</f>
        <v>#DIV/0!</v>
      </c>
      <c r="Q851" s="26" t="e">
        <f>ROUND(O851,2)*P851</f>
        <v>#DIV/0!</v>
      </c>
      <c r="R851" s="93" t="e">
        <f>P851*dagenperjaar1</f>
        <v>#DIV/0!</v>
      </c>
      <c r="S851" s="27" t="e">
        <f>R851*ROUND(O851,2)</f>
        <v>#DIV/0!</v>
      </c>
    </row>
    <row r="852" spans="1:19" x14ac:dyDescent="0.2">
      <c r="A852" s="90" t="s">
        <v>962</v>
      </c>
      <c r="B852" s="91" t="s">
        <v>35</v>
      </c>
      <c r="C852" s="91" t="s">
        <v>313</v>
      </c>
      <c r="D852" s="91" t="s">
        <v>610</v>
      </c>
      <c r="E852" s="92" t="s">
        <v>1006</v>
      </c>
      <c r="F852" s="91" t="s">
        <v>329</v>
      </c>
      <c r="G852" s="91" t="s">
        <v>279</v>
      </c>
      <c r="H852" s="91" t="s">
        <v>9</v>
      </c>
      <c r="I852" s="91" t="s">
        <v>235</v>
      </c>
      <c r="J852" s="92" t="s">
        <v>280</v>
      </c>
      <c r="K852" s="93">
        <v>5.96</v>
      </c>
      <c r="L852" s="93">
        <f>K852*VLOOKUP(H852,dagsoorttabel1,2,FALSE)</f>
        <v>5.96</v>
      </c>
      <c r="M852" s="94">
        <f>prodnorm102</f>
        <v>0</v>
      </c>
      <c r="N852" s="91" t="s">
        <v>101</v>
      </c>
      <c r="O852" s="26">
        <f>uurtarief102</f>
        <v>0</v>
      </c>
      <c r="P852" s="93" t="e">
        <f>IF(ISBLANK(M852),0,L852/ROUND(M852,4))</f>
        <v>#DIV/0!</v>
      </c>
      <c r="Q852" s="26" t="e">
        <f>ROUND(O852,2)*P852</f>
        <v>#DIV/0!</v>
      </c>
      <c r="R852" s="93" t="e">
        <f>P852*dagenperjaar1</f>
        <v>#DIV/0!</v>
      </c>
      <c r="S852" s="27" t="e">
        <f>R852*ROUND(O852,2)</f>
        <v>#DIV/0!</v>
      </c>
    </row>
    <row r="853" spans="1:19" x14ac:dyDescent="0.2">
      <c r="A853" s="90" t="s">
        <v>962</v>
      </c>
      <c r="B853" s="91" t="s">
        <v>35</v>
      </c>
      <c r="C853" s="91" t="s">
        <v>313</v>
      </c>
      <c r="D853" s="91" t="s">
        <v>612</v>
      </c>
      <c r="E853" s="92" t="s">
        <v>551</v>
      </c>
      <c r="F853" s="91" t="s">
        <v>329</v>
      </c>
      <c r="G853" s="91" t="s">
        <v>279</v>
      </c>
      <c r="H853" s="91" t="s">
        <v>9</v>
      </c>
      <c r="I853" s="91" t="s">
        <v>235</v>
      </c>
      <c r="J853" s="92" t="s">
        <v>280</v>
      </c>
      <c r="K853" s="93">
        <v>9.3500000000000014</v>
      </c>
      <c r="L853" s="93">
        <f>K853*VLOOKUP(H853,dagsoorttabel1,2,FALSE)</f>
        <v>9.3500000000000014</v>
      </c>
      <c r="M853" s="94">
        <f>prodnorm102</f>
        <v>0</v>
      </c>
      <c r="N853" s="91" t="s">
        <v>101</v>
      </c>
      <c r="O853" s="26">
        <f>uurtarief102</f>
        <v>0</v>
      </c>
      <c r="P853" s="93" t="e">
        <f>IF(ISBLANK(M853),0,L853/ROUND(M853,4))</f>
        <v>#DIV/0!</v>
      </c>
      <c r="Q853" s="26" t="e">
        <f>ROUND(O853,2)*P853</f>
        <v>#DIV/0!</v>
      </c>
      <c r="R853" s="93" t="e">
        <f>P853*dagenperjaar1</f>
        <v>#DIV/0!</v>
      </c>
      <c r="S853" s="27" t="e">
        <f>R853*ROUND(O853,2)</f>
        <v>#DIV/0!</v>
      </c>
    </row>
    <row r="854" spans="1:19" x14ac:dyDescent="0.2">
      <c r="A854" s="90" t="s">
        <v>962</v>
      </c>
      <c r="B854" s="91" t="s">
        <v>35</v>
      </c>
      <c r="C854" s="91" t="s">
        <v>313</v>
      </c>
      <c r="D854" s="91" t="s">
        <v>1007</v>
      </c>
      <c r="E854" s="92" t="s">
        <v>375</v>
      </c>
      <c r="F854" s="91" t="s">
        <v>329</v>
      </c>
      <c r="G854" s="91" t="s">
        <v>268</v>
      </c>
      <c r="H854" s="91" t="s">
        <v>9</v>
      </c>
      <c r="I854" s="91" t="s">
        <v>235</v>
      </c>
      <c r="J854" s="92" t="s">
        <v>269</v>
      </c>
      <c r="K854" s="93">
        <v>6.21</v>
      </c>
      <c r="L854" s="93">
        <f>K854*VLOOKUP(H854,dagsoorttabel1,2,FALSE)</f>
        <v>6.21</v>
      </c>
      <c r="M854" s="94">
        <f>prodnorm88</f>
        <v>0</v>
      </c>
      <c r="N854" s="91" t="s">
        <v>101</v>
      </c>
      <c r="O854" s="26">
        <f>uurtarief88</f>
        <v>0</v>
      </c>
      <c r="P854" s="93" t="e">
        <f>IF(ISBLANK(M854),0,L854/ROUND(M854,4))</f>
        <v>#DIV/0!</v>
      </c>
      <c r="Q854" s="26" t="e">
        <f>ROUND(O854,2)*P854</f>
        <v>#DIV/0!</v>
      </c>
      <c r="R854" s="93" t="e">
        <f>P854*dagenperjaar1</f>
        <v>#DIV/0!</v>
      </c>
      <c r="S854" s="27" t="e">
        <f>R854*ROUND(O854,2)</f>
        <v>#DIV/0!</v>
      </c>
    </row>
    <row r="855" spans="1:19" x14ac:dyDescent="0.2">
      <c r="A855" s="90" t="s">
        <v>962</v>
      </c>
      <c r="B855" s="91" t="s">
        <v>35</v>
      </c>
      <c r="C855" s="91" t="s">
        <v>313</v>
      </c>
      <c r="D855" s="91" t="s">
        <v>1008</v>
      </c>
      <c r="E855" s="92" t="s">
        <v>363</v>
      </c>
      <c r="F855" s="91" t="s">
        <v>329</v>
      </c>
      <c r="G855" s="91" t="s">
        <v>277</v>
      </c>
      <c r="H855" s="91" t="s">
        <v>9</v>
      </c>
      <c r="I855" s="91" t="s">
        <v>235</v>
      </c>
      <c r="J855" s="92" t="s">
        <v>278</v>
      </c>
      <c r="K855" s="93">
        <v>19.279999999999998</v>
      </c>
      <c r="L855" s="93">
        <f>K855*VLOOKUP(H855,dagsoorttabel1,2,FALSE)</f>
        <v>19.279999999999998</v>
      </c>
      <c r="M855" s="94">
        <f>prodnorm99</f>
        <v>0</v>
      </c>
      <c r="N855" s="91" t="s">
        <v>101</v>
      </c>
      <c r="O855" s="26">
        <f>uurtarief99</f>
        <v>0</v>
      </c>
      <c r="P855" s="93" t="e">
        <f>IF(ISBLANK(M855),0,L855/ROUND(M855,4))</f>
        <v>#DIV/0!</v>
      </c>
      <c r="Q855" s="26" t="e">
        <f>ROUND(O855,2)*P855</f>
        <v>#DIV/0!</v>
      </c>
      <c r="R855" s="93" t="e">
        <f>P855*dagenperjaar1</f>
        <v>#DIV/0!</v>
      </c>
      <c r="S855" s="27" t="e">
        <f>R855*ROUND(O855,2)</f>
        <v>#DIV/0!</v>
      </c>
    </row>
    <row r="856" spans="1:19" x14ac:dyDescent="0.2">
      <c r="A856" s="90" t="s">
        <v>962</v>
      </c>
      <c r="B856" s="91" t="s">
        <v>35</v>
      </c>
      <c r="C856" s="91" t="s">
        <v>313</v>
      </c>
      <c r="D856" s="91" t="s">
        <v>618</v>
      </c>
      <c r="E856" s="92" t="s">
        <v>362</v>
      </c>
      <c r="F856" s="91" t="s">
        <v>329</v>
      </c>
      <c r="G856" s="91" t="s">
        <v>277</v>
      </c>
      <c r="H856" s="91" t="s">
        <v>9</v>
      </c>
      <c r="I856" s="91" t="s">
        <v>235</v>
      </c>
      <c r="J856" s="92" t="s">
        <v>278</v>
      </c>
      <c r="K856" s="93">
        <v>14.57</v>
      </c>
      <c r="L856" s="93">
        <f>K856*VLOOKUP(H856,dagsoorttabel1,2,FALSE)</f>
        <v>14.57</v>
      </c>
      <c r="M856" s="94">
        <f>prodnorm99</f>
        <v>0</v>
      </c>
      <c r="N856" s="91" t="s">
        <v>101</v>
      </c>
      <c r="O856" s="26">
        <f>uurtarief99</f>
        <v>0</v>
      </c>
      <c r="P856" s="93" t="e">
        <f>IF(ISBLANK(M856),0,L856/ROUND(M856,4))</f>
        <v>#DIV/0!</v>
      </c>
      <c r="Q856" s="26" t="e">
        <f>ROUND(O856,2)*P856</f>
        <v>#DIV/0!</v>
      </c>
      <c r="R856" s="93" t="e">
        <f>P856*dagenperjaar1</f>
        <v>#DIV/0!</v>
      </c>
      <c r="S856" s="27" t="e">
        <f>R856*ROUND(O856,2)</f>
        <v>#DIV/0!</v>
      </c>
    </row>
    <row r="857" spans="1:19" ht="25.2" x14ac:dyDescent="0.2">
      <c r="A857" s="90" t="s">
        <v>962</v>
      </c>
      <c r="B857" s="91" t="s">
        <v>35</v>
      </c>
      <c r="C857" s="91" t="s">
        <v>313</v>
      </c>
      <c r="D857" s="91" t="s">
        <v>620</v>
      </c>
      <c r="E857" s="92" t="s">
        <v>989</v>
      </c>
      <c r="F857" s="91" t="s">
        <v>329</v>
      </c>
      <c r="G857" s="91" t="s">
        <v>293</v>
      </c>
      <c r="H857" s="91" t="s">
        <v>21</v>
      </c>
      <c r="I857" s="91" t="s">
        <v>235</v>
      </c>
      <c r="J857" s="92" t="s">
        <v>294</v>
      </c>
      <c r="K857" s="93">
        <v>19.41</v>
      </c>
      <c r="L857" s="93">
        <f>K857*VLOOKUP(H857,dagsoorttabel1,2,FALSE)</f>
        <v>7.4653846153846154E-2</v>
      </c>
      <c r="M857" s="94">
        <f>prodnorm118</f>
        <v>0</v>
      </c>
      <c r="N857" s="91" t="s">
        <v>101</v>
      </c>
      <c r="O857" s="26">
        <f>uurtarief118</f>
        <v>0</v>
      </c>
      <c r="P857" s="93" t="e">
        <f>IF(ISBLANK(M857),0,L857/ROUND(M857,4))</f>
        <v>#DIV/0!</v>
      </c>
      <c r="Q857" s="26" t="e">
        <f>ROUND(O857,2)*P857</f>
        <v>#DIV/0!</v>
      </c>
      <c r="R857" s="93" t="e">
        <f>P857*dagenperjaar1</f>
        <v>#DIV/0!</v>
      </c>
      <c r="S857" s="27" t="e">
        <f>R857*ROUND(O857,2)</f>
        <v>#DIV/0!</v>
      </c>
    </row>
    <row r="858" spans="1:19" ht="25.2" x14ac:dyDescent="0.2">
      <c r="A858" s="90" t="s">
        <v>962</v>
      </c>
      <c r="B858" s="91" t="s">
        <v>35</v>
      </c>
      <c r="C858" s="91" t="s">
        <v>313</v>
      </c>
      <c r="D858" s="91" t="s">
        <v>622</v>
      </c>
      <c r="E858" s="92" t="s">
        <v>989</v>
      </c>
      <c r="F858" s="91" t="s">
        <v>329</v>
      </c>
      <c r="G858" s="91" t="s">
        <v>293</v>
      </c>
      <c r="H858" s="91" t="s">
        <v>21</v>
      </c>
      <c r="I858" s="91" t="s">
        <v>235</v>
      </c>
      <c r="J858" s="92" t="s">
        <v>294</v>
      </c>
      <c r="K858" s="93">
        <v>19.16</v>
      </c>
      <c r="L858" s="93">
        <f>K858*VLOOKUP(H858,dagsoorttabel1,2,FALSE)</f>
        <v>7.3692307692307696E-2</v>
      </c>
      <c r="M858" s="94">
        <f>prodnorm118</f>
        <v>0</v>
      </c>
      <c r="N858" s="91" t="s">
        <v>101</v>
      </c>
      <c r="O858" s="26">
        <f>uurtarief118</f>
        <v>0</v>
      </c>
      <c r="P858" s="93" t="e">
        <f>IF(ISBLANK(M858),0,L858/ROUND(M858,4))</f>
        <v>#DIV/0!</v>
      </c>
      <c r="Q858" s="26" t="e">
        <f>ROUND(O858,2)*P858</f>
        <v>#DIV/0!</v>
      </c>
      <c r="R858" s="93" t="e">
        <f>P858*dagenperjaar1</f>
        <v>#DIV/0!</v>
      </c>
      <c r="S858" s="27" t="e">
        <f>R858*ROUND(O858,2)</f>
        <v>#DIV/0!</v>
      </c>
    </row>
    <row r="859" spans="1:19" x14ac:dyDescent="0.2">
      <c r="A859" s="90" t="s">
        <v>962</v>
      </c>
      <c r="B859" s="91" t="s">
        <v>35</v>
      </c>
      <c r="C859" s="91" t="s">
        <v>313</v>
      </c>
      <c r="D859" s="91" t="s">
        <v>623</v>
      </c>
      <c r="E859" s="92" t="s">
        <v>680</v>
      </c>
      <c r="F859" s="91" t="s">
        <v>329</v>
      </c>
      <c r="G859" s="91" t="s">
        <v>264</v>
      </c>
      <c r="H859" s="91" t="s">
        <v>21</v>
      </c>
      <c r="I859" s="91" t="s">
        <v>235</v>
      </c>
      <c r="J859" s="92" t="s">
        <v>265</v>
      </c>
      <c r="K859" s="93">
        <v>15.78</v>
      </c>
      <c r="L859" s="93">
        <f>K859*VLOOKUP(H859,dagsoorttabel1,2,FALSE)</f>
        <v>6.0692307692307691E-2</v>
      </c>
      <c r="M859" s="94">
        <f>prodnorm81</f>
        <v>0</v>
      </c>
      <c r="N859" s="91" t="s">
        <v>101</v>
      </c>
      <c r="O859" s="26">
        <f>uurtarief81</f>
        <v>0</v>
      </c>
      <c r="P859" s="93" t="e">
        <f>IF(ISBLANK(M859),0,L859/ROUND(M859,4))</f>
        <v>#DIV/0!</v>
      </c>
      <c r="Q859" s="26" t="e">
        <f>ROUND(O859,2)*P859</f>
        <v>#DIV/0!</v>
      </c>
      <c r="R859" s="93" t="e">
        <f>P859*dagenperjaar1</f>
        <v>#DIV/0!</v>
      </c>
      <c r="S859" s="27" t="e">
        <f>R859*ROUND(O859,2)</f>
        <v>#DIV/0!</v>
      </c>
    </row>
    <row r="860" spans="1:19" x14ac:dyDescent="0.2">
      <c r="A860" s="90" t="s">
        <v>962</v>
      </c>
      <c r="B860" s="91" t="s">
        <v>35</v>
      </c>
      <c r="C860" s="91" t="s">
        <v>313</v>
      </c>
      <c r="D860" s="91" t="s">
        <v>625</v>
      </c>
      <c r="E860" s="92" t="s">
        <v>1009</v>
      </c>
      <c r="F860" s="91" t="s">
        <v>329</v>
      </c>
      <c r="G860" s="91" t="s">
        <v>252</v>
      </c>
      <c r="H860" s="91" t="s">
        <v>21</v>
      </c>
      <c r="I860" s="91" t="s">
        <v>235</v>
      </c>
      <c r="J860" s="92" t="s">
        <v>253</v>
      </c>
      <c r="K860" s="93">
        <v>95.36999999999999</v>
      </c>
      <c r="L860" s="93">
        <f>K860*VLOOKUP(H860,dagsoorttabel1,2,FALSE)</f>
        <v>0.36680769230769228</v>
      </c>
      <c r="M860" s="94">
        <f>prodnorm67</f>
        <v>0</v>
      </c>
      <c r="N860" s="91" t="s">
        <v>101</v>
      </c>
      <c r="O860" s="26">
        <f>uurtarief67</f>
        <v>0</v>
      </c>
      <c r="P860" s="93" t="e">
        <f>IF(ISBLANK(M860),0,L860/ROUND(M860,4))</f>
        <v>#DIV/0!</v>
      </c>
      <c r="Q860" s="26" t="e">
        <f>ROUND(O860,2)*P860</f>
        <v>#DIV/0!</v>
      </c>
      <c r="R860" s="93" t="e">
        <f>P860*dagenperjaar1</f>
        <v>#DIV/0!</v>
      </c>
      <c r="S860" s="27" t="e">
        <f>R860*ROUND(O860,2)</f>
        <v>#DIV/0!</v>
      </c>
    </row>
    <row r="861" spans="1:19" x14ac:dyDescent="0.2">
      <c r="A861" s="90" t="s">
        <v>962</v>
      </c>
      <c r="B861" s="91" t="s">
        <v>35</v>
      </c>
      <c r="C861" s="91" t="s">
        <v>313</v>
      </c>
      <c r="D861" s="91" t="s">
        <v>627</v>
      </c>
      <c r="E861" s="92" t="s">
        <v>1010</v>
      </c>
      <c r="F861" s="91" t="s">
        <v>329</v>
      </c>
      <c r="G861" s="91" t="s">
        <v>252</v>
      </c>
      <c r="H861" s="91" t="s">
        <v>21</v>
      </c>
      <c r="I861" s="91" t="s">
        <v>235</v>
      </c>
      <c r="J861" s="92" t="s">
        <v>253</v>
      </c>
      <c r="K861" s="93">
        <v>62.07</v>
      </c>
      <c r="L861" s="93">
        <f>K861*VLOOKUP(H861,dagsoorttabel1,2,FALSE)</f>
        <v>0.23873076923076925</v>
      </c>
      <c r="M861" s="94">
        <f>prodnorm67</f>
        <v>0</v>
      </c>
      <c r="N861" s="91" t="s">
        <v>101</v>
      </c>
      <c r="O861" s="26">
        <f>uurtarief67</f>
        <v>0</v>
      </c>
      <c r="P861" s="93" t="e">
        <f>IF(ISBLANK(M861),0,L861/ROUND(M861,4))</f>
        <v>#DIV/0!</v>
      </c>
      <c r="Q861" s="26" t="e">
        <f>ROUND(O861,2)*P861</f>
        <v>#DIV/0!</v>
      </c>
      <c r="R861" s="93" t="e">
        <f>P861*dagenperjaar1</f>
        <v>#DIV/0!</v>
      </c>
      <c r="S861" s="27" t="e">
        <f>R861*ROUND(O861,2)</f>
        <v>#DIV/0!</v>
      </c>
    </row>
    <row r="862" spans="1:19" x14ac:dyDescent="0.2">
      <c r="A862" s="90" t="s">
        <v>962</v>
      </c>
      <c r="B862" s="91" t="s">
        <v>35</v>
      </c>
      <c r="C862" s="91" t="s">
        <v>313</v>
      </c>
      <c r="D862" s="91" t="s">
        <v>629</v>
      </c>
      <c r="E862" s="92" t="s">
        <v>673</v>
      </c>
      <c r="F862" s="91" t="s">
        <v>329</v>
      </c>
      <c r="G862" s="91" t="s">
        <v>252</v>
      </c>
      <c r="H862" s="91" t="s">
        <v>21</v>
      </c>
      <c r="I862" s="91" t="s">
        <v>235</v>
      </c>
      <c r="J862" s="92" t="s">
        <v>253</v>
      </c>
      <c r="K862" s="93">
        <v>80.11</v>
      </c>
      <c r="L862" s="93">
        <f>K862*VLOOKUP(H862,dagsoorttabel1,2,FALSE)</f>
        <v>0.30811538461538462</v>
      </c>
      <c r="M862" s="94">
        <f>prodnorm67</f>
        <v>0</v>
      </c>
      <c r="N862" s="91" t="s">
        <v>101</v>
      </c>
      <c r="O862" s="26">
        <f>uurtarief67</f>
        <v>0</v>
      </c>
      <c r="P862" s="93" t="e">
        <f>IF(ISBLANK(M862),0,L862/ROUND(M862,4))</f>
        <v>#DIV/0!</v>
      </c>
      <c r="Q862" s="26" t="e">
        <f>ROUND(O862,2)*P862</f>
        <v>#DIV/0!</v>
      </c>
      <c r="R862" s="93" t="e">
        <f>P862*dagenperjaar1</f>
        <v>#DIV/0!</v>
      </c>
      <c r="S862" s="27" t="e">
        <f>R862*ROUND(O862,2)</f>
        <v>#DIV/0!</v>
      </c>
    </row>
    <row r="863" spans="1:19" ht="25.2" x14ac:dyDescent="0.2">
      <c r="A863" s="90" t="s">
        <v>962</v>
      </c>
      <c r="B863" s="91" t="s">
        <v>35</v>
      </c>
      <c r="C863" s="91" t="s">
        <v>313</v>
      </c>
      <c r="D863" s="91" t="s">
        <v>631</v>
      </c>
      <c r="E863" s="92" t="s">
        <v>734</v>
      </c>
      <c r="F863" s="91" t="s">
        <v>329</v>
      </c>
      <c r="G863" s="91" t="s">
        <v>293</v>
      </c>
      <c r="H863" s="91" t="s">
        <v>21</v>
      </c>
      <c r="I863" s="91" t="s">
        <v>235</v>
      </c>
      <c r="J863" s="92" t="s">
        <v>294</v>
      </c>
      <c r="K863" s="93">
        <v>31.71</v>
      </c>
      <c r="L863" s="93">
        <f>K863*VLOOKUP(H863,dagsoorttabel1,2,FALSE)</f>
        <v>0.12196153846153847</v>
      </c>
      <c r="M863" s="94">
        <f>prodnorm118</f>
        <v>0</v>
      </c>
      <c r="N863" s="91" t="s">
        <v>101</v>
      </c>
      <c r="O863" s="26">
        <f>uurtarief118</f>
        <v>0</v>
      </c>
      <c r="P863" s="93" t="e">
        <f>IF(ISBLANK(M863),0,L863/ROUND(M863,4))</f>
        <v>#DIV/0!</v>
      </c>
      <c r="Q863" s="26" t="e">
        <f>ROUND(O863,2)*P863</f>
        <v>#DIV/0!</v>
      </c>
      <c r="R863" s="93" t="e">
        <f>P863*dagenperjaar1</f>
        <v>#DIV/0!</v>
      </c>
      <c r="S863" s="27" t="e">
        <f>R863*ROUND(O863,2)</f>
        <v>#DIV/0!</v>
      </c>
    </row>
    <row r="864" spans="1:19" x14ac:dyDescent="0.2">
      <c r="A864" s="90" t="s">
        <v>962</v>
      </c>
      <c r="B864" s="91" t="s">
        <v>35</v>
      </c>
      <c r="C864" s="91" t="s">
        <v>313</v>
      </c>
      <c r="D864" s="91" t="s">
        <v>1011</v>
      </c>
      <c r="E864" s="92" t="s">
        <v>678</v>
      </c>
      <c r="F864" s="91" t="s">
        <v>329</v>
      </c>
      <c r="G864" s="91" t="s">
        <v>264</v>
      </c>
      <c r="H864" s="91" t="s">
        <v>21</v>
      </c>
      <c r="I864" s="91" t="s">
        <v>235</v>
      </c>
      <c r="J864" s="92" t="s">
        <v>265</v>
      </c>
      <c r="K864" s="93">
        <v>1.43</v>
      </c>
      <c r="L864" s="93">
        <f>K864*VLOOKUP(H864,dagsoorttabel1,2,FALSE)</f>
        <v>5.4999999999999997E-3</v>
      </c>
      <c r="M864" s="94">
        <f>prodnorm81</f>
        <v>0</v>
      </c>
      <c r="N864" s="91" t="s">
        <v>101</v>
      </c>
      <c r="O864" s="26">
        <f>uurtarief81</f>
        <v>0</v>
      </c>
      <c r="P864" s="93" t="e">
        <f>IF(ISBLANK(M864),0,L864/ROUND(M864,4))</f>
        <v>#DIV/0!</v>
      </c>
      <c r="Q864" s="26" t="e">
        <f>ROUND(O864,2)*P864</f>
        <v>#DIV/0!</v>
      </c>
      <c r="R864" s="93" t="e">
        <f>P864*dagenperjaar1</f>
        <v>#DIV/0!</v>
      </c>
      <c r="S864" s="27" t="e">
        <f>R864*ROUND(O864,2)</f>
        <v>#DIV/0!</v>
      </c>
    </row>
    <row r="865" spans="1:19" x14ac:dyDescent="0.2">
      <c r="A865" s="90" t="s">
        <v>962</v>
      </c>
      <c r="B865" s="91" t="s">
        <v>35</v>
      </c>
      <c r="C865" s="91" t="s">
        <v>343</v>
      </c>
      <c r="D865" s="91" t="s">
        <v>344</v>
      </c>
      <c r="E865" s="92" t="s">
        <v>1012</v>
      </c>
      <c r="F865" s="91" t="s">
        <v>347</v>
      </c>
      <c r="G865" s="91" t="s">
        <v>260</v>
      </c>
      <c r="H865" s="91" t="s">
        <v>12</v>
      </c>
      <c r="I865" s="91" t="s">
        <v>235</v>
      </c>
      <c r="J865" s="92" t="s">
        <v>261</v>
      </c>
      <c r="K865" s="93">
        <v>45.349999999999994</v>
      </c>
      <c r="L865" s="93">
        <f>K865*VLOOKUP(H865,dagsoorttabel1,2,FALSE)</f>
        <v>18.139999999999997</v>
      </c>
      <c r="M865" s="94">
        <f>prodnorm76</f>
        <v>0</v>
      </c>
      <c r="N865" s="91" t="s">
        <v>101</v>
      </c>
      <c r="O865" s="26">
        <f>uurtarief76</f>
        <v>0</v>
      </c>
      <c r="P865" s="93" t="e">
        <f>IF(ISBLANK(M865),0,L865/ROUND(M865,4))</f>
        <v>#DIV/0!</v>
      </c>
      <c r="Q865" s="26" t="e">
        <f>ROUND(O865,2)*P865</f>
        <v>#DIV/0!</v>
      </c>
      <c r="R865" s="93" t="e">
        <f>P865*dagenperjaar1</f>
        <v>#DIV/0!</v>
      </c>
      <c r="S865" s="27" t="e">
        <f>R865*ROUND(O865,2)</f>
        <v>#DIV/0!</v>
      </c>
    </row>
    <row r="866" spans="1:19" x14ac:dyDescent="0.2">
      <c r="A866" s="90" t="s">
        <v>962</v>
      </c>
      <c r="B866" s="91" t="s">
        <v>35</v>
      </c>
      <c r="C866" s="91" t="s">
        <v>343</v>
      </c>
      <c r="D866" s="91" t="s">
        <v>345</v>
      </c>
      <c r="E866" s="92" t="s">
        <v>1013</v>
      </c>
      <c r="F866" s="91" t="s">
        <v>347</v>
      </c>
      <c r="G866" s="91" t="s">
        <v>260</v>
      </c>
      <c r="H866" s="91" t="s">
        <v>12</v>
      </c>
      <c r="I866" s="91" t="s">
        <v>235</v>
      </c>
      <c r="J866" s="92" t="s">
        <v>261</v>
      </c>
      <c r="K866" s="93">
        <v>59.87</v>
      </c>
      <c r="L866" s="93">
        <f>K866*VLOOKUP(H866,dagsoorttabel1,2,FALSE)</f>
        <v>23.948</v>
      </c>
      <c r="M866" s="94">
        <f>prodnorm76</f>
        <v>0</v>
      </c>
      <c r="N866" s="91" t="s">
        <v>101</v>
      </c>
      <c r="O866" s="26">
        <f>uurtarief76</f>
        <v>0</v>
      </c>
      <c r="P866" s="93" t="e">
        <f>IF(ISBLANK(M866),0,L866/ROUND(M866,4))</f>
        <v>#DIV/0!</v>
      </c>
      <c r="Q866" s="26" t="e">
        <f>ROUND(O866,2)*P866</f>
        <v>#DIV/0!</v>
      </c>
      <c r="R866" s="93" t="e">
        <f>P866*dagenperjaar1</f>
        <v>#DIV/0!</v>
      </c>
      <c r="S866" s="27" t="e">
        <f>R866*ROUND(O866,2)</f>
        <v>#DIV/0!</v>
      </c>
    </row>
    <row r="867" spans="1:19" x14ac:dyDescent="0.2">
      <c r="A867" s="90" t="s">
        <v>962</v>
      </c>
      <c r="B867" s="91" t="s">
        <v>35</v>
      </c>
      <c r="C867" s="91" t="s">
        <v>343</v>
      </c>
      <c r="D867" s="91" t="s">
        <v>348</v>
      </c>
      <c r="E867" s="92" t="s">
        <v>1014</v>
      </c>
      <c r="F867" s="91" t="s">
        <v>329</v>
      </c>
      <c r="G867" s="91" t="s">
        <v>266</v>
      </c>
      <c r="H867" s="91" t="s">
        <v>13</v>
      </c>
      <c r="I867" s="91" t="s">
        <v>235</v>
      </c>
      <c r="J867" s="92" t="s">
        <v>267</v>
      </c>
      <c r="K867" s="93">
        <v>16.14</v>
      </c>
      <c r="L867" s="93">
        <f>K867*VLOOKUP(H867,dagsoorttabel1,2,FALSE)</f>
        <v>3.2280000000000002</v>
      </c>
      <c r="M867" s="94">
        <f>prodnorm83</f>
        <v>0</v>
      </c>
      <c r="N867" s="91" t="s">
        <v>101</v>
      </c>
      <c r="O867" s="26">
        <f>uurtarief83</f>
        <v>0</v>
      </c>
      <c r="P867" s="93" t="e">
        <f>IF(ISBLANK(M867),0,L867/ROUND(M867,4))</f>
        <v>#DIV/0!</v>
      </c>
      <c r="Q867" s="26" t="e">
        <f>ROUND(O867,2)*P867</f>
        <v>#DIV/0!</v>
      </c>
      <c r="R867" s="93" t="e">
        <f>P867*dagenperjaar1</f>
        <v>#DIV/0!</v>
      </c>
      <c r="S867" s="27" t="e">
        <f>R867*ROUND(O867,2)</f>
        <v>#DIV/0!</v>
      </c>
    </row>
    <row r="868" spans="1:19" x14ac:dyDescent="0.2">
      <c r="A868" s="90" t="s">
        <v>962</v>
      </c>
      <c r="B868" s="91" t="s">
        <v>35</v>
      </c>
      <c r="C868" s="91" t="s">
        <v>343</v>
      </c>
      <c r="D868" s="91" t="s">
        <v>350</v>
      </c>
      <c r="E868" s="92" t="s">
        <v>354</v>
      </c>
      <c r="F868" s="91" t="s">
        <v>329</v>
      </c>
      <c r="G868" s="91" t="s">
        <v>352</v>
      </c>
      <c r="H868" s="91"/>
      <c r="I868" s="91"/>
      <c r="J868" s="91"/>
      <c r="K868" s="93">
        <v>2.44</v>
      </c>
      <c r="L868" s="93"/>
      <c r="M868" s="94"/>
      <c r="N868" s="91"/>
      <c r="O868" s="26"/>
      <c r="P868" s="93"/>
      <c r="Q868" s="26"/>
      <c r="R868" s="95"/>
      <c r="S868" s="27"/>
    </row>
    <row r="869" spans="1:19" x14ac:dyDescent="0.2">
      <c r="A869" s="90" t="s">
        <v>962</v>
      </c>
      <c r="B869" s="91" t="s">
        <v>35</v>
      </c>
      <c r="C869" s="91" t="s">
        <v>343</v>
      </c>
      <c r="D869" s="91" t="s">
        <v>353</v>
      </c>
      <c r="E869" s="92" t="s">
        <v>1015</v>
      </c>
      <c r="F869" s="91" t="s">
        <v>329</v>
      </c>
      <c r="G869" s="91" t="s">
        <v>279</v>
      </c>
      <c r="H869" s="91" t="s">
        <v>9</v>
      </c>
      <c r="I869" s="91" t="s">
        <v>235</v>
      </c>
      <c r="J869" s="92" t="s">
        <v>280</v>
      </c>
      <c r="K869" s="93">
        <v>4.01</v>
      </c>
      <c r="L869" s="93">
        <f>K869*VLOOKUP(H869,dagsoorttabel1,2,FALSE)</f>
        <v>4.01</v>
      </c>
      <c r="M869" s="94">
        <f>prodnorm102</f>
        <v>0</v>
      </c>
      <c r="N869" s="91" t="s">
        <v>101</v>
      </c>
      <c r="O869" s="26">
        <f>uurtarief102</f>
        <v>0</v>
      </c>
      <c r="P869" s="93" t="e">
        <f>IF(ISBLANK(M869),0,L869/ROUND(M869,4))</f>
        <v>#DIV/0!</v>
      </c>
      <c r="Q869" s="26" t="e">
        <f>ROUND(O869,2)*P869</f>
        <v>#DIV/0!</v>
      </c>
      <c r="R869" s="93" t="e">
        <f>P869*dagenperjaar1</f>
        <v>#DIV/0!</v>
      </c>
      <c r="S869" s="27" t="e">
        <f>R869*ROUND(O869,2)</f>
        <v>#DIV/0!</v>
      </c>
    </row>
    <row r="870" spans="1:19" x14ac:dyDescent="0.2">
      <c r="A870" s="90" t="s">
        <v>962</v>
      </c>
      <c r="B870" s="91" t="s">
        <v>35</v>
      </c>
      <c r="C870" s="91" t="s">
        <v>343</v>
      </c>
      <c r="D870" s="91" t="s">
        <v>355</v>
      </c>
      <c r="E870" s="92" t="s">
        <v>1016</v>
      </c>
      <c r="F870" s="91" t="s">
        <v>329</v>
      </c>
      <c r="G870" s="91" t="s">
        <v>279</v>
      </c>
      <c r="H870" s="91" t="s">
        <v>9</v>
      </c>
      <c r="I870" s="91" t="s">
        <v>235</v>
      </c>
      <c r="J870" s="92" t="s">
        <v>280</v>
      </c>
      <c r="K870" s="93">
        <v>7.67</v>
      </c>
      <c r="L870" s="93">
        <f>K870*VLOOKUP(H870,dagsoorttabel1,2,FALSE)</f>
        <v>7.67</v>
      </c>
      <c r="M870" s="94">
        <f>prodnorm102</f>
        <v>0</v>
      </c>
      <c r="N870" s="91" t="s">
        <v>101</v>
      </c>
      <c r="O870" s="26">
        <f>uurtarief102</f>
        <v>0</v>
      </c>
      <c r="P870" s="93" t="e">
        <f>IF(ISBLANK(M870),0,L870/ROUND(M870,4))</f>
        <v>#DIV/0!</v>
      </c>
      <c r="Q870" s="26" t="e">
        <f>ROUND(O870,2)*P870</f>
        <v>#DIV/0!</v>
      </c>
      <c r="R870" s="93" t="e">
        <f>P870*dagenperjaar1</f>
        <v>#DIV/0!</v>
      </c>
      <c r="S870" s="27" t="e">
        <f>R870*ROUND(O870,2)</f>
        <v>#DIV/0!</v>
      </c>
    </row>
    <row r="871" spans="1:19" x14ac:dyDescent="0.2">
      <c r="A871" s="90" t="s">
        <v>962</v>
      </c>
      <c r="B871" s="91" t="s">
        <v>35</v>
      </c>
      <c r="C871" s="91" t="s">
        <v>343</v>
      </c>
      <c r="D871" s="91" t="s">
        <v>379</v>
      </c>
      <c r="E871" s="92" t="s">
        <v>483</v>
      </c>
      <c r="F871" s="91" t="s">
        <v>329</v>
      </c>
      <c r="G871" s="91" t="s">
        <v>352</v>
      </c>
      <c r="H871" s="91"/>
      <c r="I871" s="91"/>
      <c r="J871" s="91"/>
      <c r="K871" s="93">
        <v>9.4700000000000006</v>
      </c>
      <c r="L871" s="93"/>
      <c r="M871" s="94"/>
      <c r="N871" s="91"/>
      <c r="O871" s="26"/>
      <c r="P871" s="93"/>
      <c r="Q871" s="26"/>
      <c r="R871" s="95"/>
      <c r="S871" s="27"/>
    </row>
    <row r="872" spans="1:19" ht="25.2" x14ac:dyDescent="0.2">
      <c r="A872" s="90" t="s">
        <v>962</v>
      </c>
      <c r="B872" s="91" t="s">
        <v>35</v>
      </c>
      <c r="C872" s="91" t="s">
        <v>343</v>
      </c>
      <c r="D872" s="91" t="s">
        <v>405</v>
      </c>
      <c r="E872" s="92" t="s">
        <v>360</v>
      </c>
      <c r="F872" s="91" t="s">
        <v>971</v>
      </c>
      <c r="G872" s="91" t="s">
        <v>293</v>
      </c>
      <c r="H872" s="91" t="s">
        <v>13</v>
      </c>
      <c r="I872" s="91" t="s">
        <v>235</v>
      </c>
      <c r="J872" s="92" t="s">
        <v>294</v>
      </c>
      <c r="K872" s="93">
        <v>0.82000000000000006</v>
      </c>
      <c r="L872" s="93">
        <f>K872*VLOOKUP(H872,dagsoorttabel1,2,FALSE)</f>
        <v>0.16400000000000003</v>
      </c>
      <c r="M872" s="94">
        <f>prodnorm119</f>
        <v>0</v>
      </c>
      <c r="N872" s="91" t="s">
        <v>101</v>
      </c>
      <c r="O872" s="26">
        <f>uurtarief119</f>
        <v>0</v>
      </c>
      <c r="P872" s="93" t="e">
        <f>IF(ISBLANK(M872),0,L872/ROUND(M872,4))</f>
        <v>#DIV/0!</v>
      </c>
      <c r="Q872" s="26" t="e">
        <f>ROUND(O872,2)*P872</f>
        <v>#DIV/0!</v>
      </c>
      <c r="R872" s="93" t="e">
        <f>P872*dagenperjaar1</f>
        <v>#DIV/0!</v>
      </c>
      <c r="S872" s="27" t="e">
        <f>R872*ROUND(O872,2)</f>
        <v>#DIV/0!</v>
      </c>
    </row>
    <row r="873" spans="1:19" x14ac:dyDescent="0.2">
      <c r="A873" s="90" t="s">
        <v>962</v>
      </c>
      <c r="B873" s="91" t="s">
        <v>35</v>
      </c>
      <c r="C873" s="91" t="s">
        <v>343</v>
      </c>
      <c r="D873" s="91" t="s">
        <v>407</v>
      </c>
      <c r="E873" s="92" t="s">
        <v>980</v>
      </c>
      <c r="F873" s="91" t="s">
        <v>971</v>
      </c>
      <c r="G873" s="91" t="s">
        <v>283</v>
      </c>
      <c r="H873" s="91" t="s">
        <v>9</v>
      </c>
      <c r="I873" s="91" t="s">
        <v>235</v>
      </c>
      <c r="J873" s="92" t="s">
        <v>284</v>
      </c>
      <c r="K873" s="93">
        <v>13.18</v>
      </c>
      <c r="L873" s="93">
        <f>K873*VLOOKUP(H873,dagsoorttabel1,2,FALSE)</f>
        <v>13.18</v>
      </c>
      <c r="M873" s="94">
        <f>prodnorm108</f>
        <v>0</v>
      </c>
      <c r="N873" s="91" t="s">
        <v>101</v>
      </c>
      <c r="O873" s="26">
        <f>uurtarief108</f>
        <v>0</v>
      </c>
      <c r="P873" s="93" t="e">
        <f>IF(ISBLANK(M873),0,L873/ROUND(M873,4))</f>
        <v>#DIV/0!</v>
      </c>
      <c r="Q873" s="26" t="e">
        <f>ROUND(O873,2)*P873</f>
        <v>#DIV/0!</v>
      </c>
      <c r="R873" s="93" t="e">
        <f>P873*dagenperjaar1</f>
        <v>#DIV/0!</v>
      </c>
      <c r="S873" s="27" t="e">
        <f>R873*ROUND(O873,2)</f>
        <v>#DIV/0!</v>
      </c>
    </row>
    <row r="874" spans="1:19" x14ac:dyDescent="0.2">
      <c r="A874" s="90" t="s">
        <v>962</v>
      </c>
      <c r="B874" s="91" t="s">
        <v>35</v>
      </c>
      <c r="C874" s="91" t="s">
        <v>343</v>
      </c>
      <c r="D874" s="91" t="s">
        <v>408</v>
      </c>
      <c r="E874" s="92" t="s">
        <v>1017</v>
      </c>
      <c r="F874" s="91" t="s">
        <v>971</v>
      </c>
      <c r="G874" s="91" t="s">
        <v>283</v>
      </c>
      <c r="H874" s="91" t="s">
        <v>13</v>
      </c>
      <c r="I874" s="91" t="s">
        <v>235</v>
      </c>
      <c r="J874" s="92" t="s">
        <v>284</v>
      </c>
      <c r="K874" s="93">
        <v>12.02</v>
      </c>
      <c r="L874" s="93">
        <f>K874*VLOOKUP(H874,dagsoorttabel1,2,FALSE)</f>
        <v>2.4039999999999999</v>
      </c>
      <c r="M874" s="94">
        <f>prodnorm106</f>
        <v>0</v>
      </c>
      <c r="N874" s="91" t="s">
        <v>101</v>
      </c>
      <c r="O874" s="26">
        <f>uurtarief106</f>
        <v>0</v>
      </c>
      <c r="P874" s="93" t="e">
        <f>IF(ISBLANK(M874),0,L874/ROUND(M874,4))</f>
        <v>#DIV/0!</v>
      </c>
      <c r="Q874" s="26" t="e">
        <f>ROUND(O874,2)*P874</f>
        <v>#DIV/0!</v>
      </c>
      <c r="R874" s="93" t="e">
        <f>P874*dagenperjaar1</f>
        <v>#DIV/0!</v>
      </c>
      <c r="S874" s="27" t="e">
        <f>R874*ROUND(O874,2)</f>
        <v>#DIV/0!</v>
      </c>
    </row>
    <row r="875" spans="1:19" x14ac:dyDescent="0.2">
      <c r="A875" s="90" t="s">
        <v>962</v>
      </c>
      <c r="B875" s="91" t="s">
        <v>35</v>
      </c>
      <c r="C875" s="91" t="s">
        <v>343</v>
      </c>
      <c r="D875" s="91" t="s">
        <v>409</v>
      </c>
      <c r="E875" s="92" t="s">
        <v>1018</v>
      </c>
      <c r="F875" s="91" t="s">
        <v>971</v>
      </c>
      <c r="G875" s="91" t="s">
        <v>283</v>
      </c>
      <c r="H875" s="91" t="s">
        <v>13</v>
      </c>
      <c r="I875" s="91" t="s">
        <v>235</v>
      </c>
      <c r="J875" s="92" t="s">
        <v>284</v>
      </c>
      <c r="K875" s="93">
        <v>32.43</v>
      </c>
      <c r="L875" s="93">
        <f>K875*VLOOKUP(H875,dagsoorttabel1,2,FALSE)</f>
        <v>6.4860000000000007</v>
      </c>
      <c r="M875" s="94">
        <f>prodnorm106</f>
        <v>0</v>
      </c>
      <c r="N875" s="91" t="s">
        <v>101</v>
      </c>
      <c r="O875" s="26">
        <f>uurtarief106</f>
        <v>0</v>
      </c>
      <c r="P875" s="93" t="e">
        <f>IF(ISBLANK(M875),0,L875/ROUND(M875,4))</f>
        <v>#DIV/0!</v>
      </c>
      <c r="Q875" s="26" t="e">
        <f>ROUND(O875,2)*P875</f>
        <v>#DIV/0!</v>
      </c>
      <c r="R875" s="93" t="e">
        <f>P875*dagenperjaar1</f>
        <v>#DIV/0!</v>
      </c>
      <c r="S875" s="27" t="e">
        <f>R875*ROUND(O875,2)</f>
        <v>#DIV/0!</v>
      </c>
    </row>
    <row r="876" spans="1:19" x14ac:dyDescent="0.2">
      <c r="A876" s="90" t="s">
        <v>962</v>
      </c>
      <c r="B876" s="91" t="s">
        <v>35</v>
      </c>
      <c r="C876" s="91" t="s">
        <v>343</v>
      </c>
      <c r="D876" s="91" t="s">
        <v>691</v>
      </c>
      <c r="E876" s="92" t="s">
        <v>1019</v>
      </c>
      <c r="F876" s="91" t="s">
        <v>329</v>
      </c>
      <c r="G876" s="91" t="s">
        <v>279</v>
      </c>
      <c r="H876" s="91" t="s">
        <v>9</v>
      </c>
      <c r="I876" s="91" t="s">
        <v>235</v>
      </c>
      <c r="J876" s="92" t="s">
        <v>280</v>
      </c>
      <c r="K876" s="93">
        <v>4.22</v>
      </c>
      <c r="L876" s="93">
        <f>K876*VLOOKUP(H876,dagsoorttabel1,2,FALSE)</f>
        <v>4.22</v>
      </c>
      <c r="M876" s="94">
        <f>prodnorm102</f>
        <v>0</v>
      </c>
      <c r="N876" s="91" t="s">
        <v>101</v>
      </c>
      <c r="O876" s="26">
        <f>uurtarief102</f>
        <v>0</v>
      </c>
      <c r="P876" s="93" t="e">
        <f>IF(ISBLANK(M876),0,L876/ROUND(M876,4))</f>
        <v>#DIV/0!</v>
      </c>
      <c r="Q876" s="26" t="e">
        <f>ROUND(O876,2)*P876</f>
        <v>#DIV/0!</v>
      </c>
      <c r="R876" s="93" t="e">
        <f>P876*dagenperjaar1</f>
        <v>#DIV/0!</v>
      </c>
      <c r="S876" s="27" t="e">
        <f>R876*ROUND(O876,2)</f>
        <v>#DIV/0!</v>
      </c>
    </row>
    <row r="877" spans="1:19" x14ac:dyDescent="0.2">
      <c r="A877" s="90" t="s">
        <v>962</v>
      </c>
      <c r="B877" s="91" t="s">
        <v>35</v>
      </c>
      <c r="C877" s="91" t="s">
        <v>343</v>
      </c>
      <c r="D877" s="91" t="s">
        <v>888</v>
      </c>
      <c r="E877" s="92" t="s">
        <v>366</v>
      </c>
      <c r="F877" s="91" t="s">
        <v>329</v>
      </c>
      <c r="G877" s="91" t="s">
        <v>264</v>
      </c>
      <c r="H877" s="91" t="s">
        <v>21</v>
      </c>
      <c r="I877" s="91" t="s">
        <v>235</v>
      </c>
      <c r="J877" s="92" t="s">
        <v>265</v>
      </c>
      <c r="K877" s="93">
        <v>2.13</v>
      </c>
      <c r="L877" s="93">
        <f>K877*VLOOKUP(H877,dagsoorttabel1,2,FALSE)</f>
        <v>8.1923076923076932E-3</v>
      </c>
      <c r="M877" s="94">
        <f>prodnorm81</f>
        <v>0</v>
      </c>
      <c r="N877" s="91" t="s">
        <v>101</v>
      </c>
      <c r="O877" s="26">
        <f>uurtarief81</f>
        <v>0</v>
      </c>
      <c r="P877" s="93" t="e">
        <f>IF(ISBLANK(M877),0,L877/ROUND(M877,4))</f>
        <v>#DIV/0!</v>
      </c>
      <c r="Q877" s="26" t="e">
        <f>ROUND(O877,2)*P877</f>
        <v>#DIV/0!</v>
      </c>
      <c r="R877" s="93" t="e">
        <f>P877*dagenperjaar1</f>
        <v>#DIV/0!</v>
      </c>
      <c r="S877" s="27" t="e">
        <f>R877*ROUND(O877,2)</f>
        <v>#DIV/0!</v>
      </c>
    </row>
    <row r="878" spans="1:19" x14ac:dyDescent="0.2">
      <c r="A878" s="90" t="s">
        <v>962</v>
      </c>
      <c r="B878" s="91" t="s">
        <v>35</v>
      </c>
      <c r="C878" s="91" t="s">
        <v>343</v>
      </c>
      <c r="D878" s="91" t="s">
        <v>693</v>
      </c>
      <c r="E878" s="92" t="s">
        <v>983</v>
      </c>
      <c r="F878" s="91" t="s">
        <v>971</v>
      </c>
      <c r="G878" s="91" t="s">
        <v>283</v>
      </c>
      <c r="H878" s="91" t="s">
        <v>9</v>
      </c>
      <c r="I878" s="91" t="s">
        <v>235</v>
      </c>
      <c r="J878" s="92" t="s">
        <v>284</v>
      </c>
      <c r="K878" s="93">
        <v>11.57</v>
      </c>
      <c r="L878" s="93">
        <f>K878*VLOOKUP(H878,dagsoorttabel1,2,FALSE)</f>
        <v>11.57</v>
      </c>
      <c r="M878" s="94">
        <f>prodnorm108</f>
        <v>0</v>
      </c>
      <c r="N878" s="91" t="s">
        <v>101</v>
      </c>
      <c r="O878" s="26">
        <f>uurtarief108</f>
        <v>0</v>
      </c>
      <c r="P878" s="93" t="e">
        <f>IF(ISBLANK(M878),0,L878/ROUND(M878,4))</f>
        <v>#DIV/0!</v>
      </c>
      <c r="Q878" s="26" t="e">
        <f>ROUND(O878,2)*P878</f>
        <v>#DIV/0!</v>
      </c>
      <c r="R878" s="93" t="e">
        <f>P878*dagenperjaar1</f>
        <v>#DIV/0!</v>
      </c>
      <c r="S878" s="27" t="e">
        <f>R878*ROUND(O878,2)</f>
        <v>#DIV/0!</v>
      </c>
    </row>
    <row r="879" spans="1:19" x14ac:dyDescent="0.2">
      <c r="A879" s="90" t="s">
        <v>962</v>
      </c>
      <c r="B879" s="91" t="s">
        <v>35</v>
      </c>
      <c r="C879" s="91" t="s">
        <v>343</v>
      </c>
      <c r="D879" s="91" t="s">
        <v>1020</v>
      </c>
      <c r="E879" s="92" t="s">
        <v>882</v>
      </c>
      <c r="F879" s="91" t="s">
        <v>971</v>
      </c>
      <c r="G879" s="91" t="s">
        <v>270</v>
      </c>
      <c r="H879" s="91" t="s">
        <v>9</v>
      </c>
      <c r="I879" s="91" t="s">
        <v>235</v>
      </c>
      <c r="J879" s="92" t="s">
        <v>271</v>
      </c>
      <c r="K879" s="93">
        <v>77.319999999999993</v>
      </c>
      <c r="L879" s="93">
        <f>K879*VLOOKUP(H879,dagsoorttabel1,2,FALSE)</f>
        <v>77.319999999999993</v>
      </c>
      <c r="M879" s="94">
        <f>prodnorm91</f>
        <v>0</v>
      </c>
      <c r="N879" s="91" t="s">
        <v>101</v>
      </c>
      <c r="O879" s="26">
        <f>uurtarief91</f>
        <v>0</v>
      </c>
      <c r="P879" s="93" t="e">
        <f>IF(ISBLANK(M879),0,L879/ROUND(M879,4))</f>
        <v>#DIV/0!</v>
      </c>
      <c r="Q879" s="26" t="e">
        <f>ROUND(O879,2)*P879</f>
        <v>#DIV/0!</v>
      </c>
      <c r="R879" s="93" t="e">
        <f>P879*dagenperjaar1</f>
        <v>#DIV/0!</v>
      </c>
      <c r="S879" s="27" t="e">
        <f>R879*ROUND(O879,2)</f>
        <v>#DIV/0!</v>
      </c>
    </row>
    <row r="880" spans="1:19" x14ac:dyDescent="0.2">
      <c r="A880" s="90" t="s">
        <v>962</v>
      </c>
      <c r="B880" s="91" t="s">
        <v>35</v>
      </c>
      <c r="C880" s="91" t="s">
        <v>343</v>
      </c>
      <c r="D880" s="91" t="s">
        <v>1021</v>
      </c>
      <c r="E880" s="92" t="s">
        <v>1022</v>
      </c>
      <c r="F880" s="91" t="s">
        <v>971</v>
      </c>
      <c r="G880" s="91" t="s">
        <v>266</v>
      </c>
      <c r="H880" s="91" t="s">
        <v>9</v>
      </c>
      <c r="I880" s="91" t="s">
        <v>235</v>
      </c>
      <c r="J880" s="92" t="s">
        <v>267</v>
      </c>
      <c r="K880" s="93">
        <v>29.9</v>
      </c>
      <c r="L880" s="93">
        <f>K880*VLOOKUP(H880,dagsoorttabel1,2,FALSE)</f>
        <v>29.9</v>
      </c>
      <c r="M880" s="94">
        <f>prodnorm85</f>
        <v>0</v>
      </c>
      <c r="N880" s="91" t="s">
        <v>101</v>
      </c>
      <c r="O880" s="26">
        <f>uurtarief85</f>
        <v>0</v>
      </c>
      <c r="P880" s="93" t="e">
        <f>IF(ISBLANK(M880),0,L880/ROUND(M880,4))</f>
        <v>#DIV/0!</v>
      </c>
      <c r="Q880" s="26" t="e">
        <f>ROUND(O880,2)*P880</f>
        <v>#DIV/0!</v>
      </c>
      <c r="R880" s="93" t="e">
        <f>P880*dagenperjaar1</f>
        <v>#DIV/0!</v>
      </c>
      <c r="S880" s="27" t="e">
        <f>R880*ROUND(O880,2)</f>
        <v>#DIV/0!</v>
      </c>
    </row>
    <row r="881" spans="1:19" x14ac:dyDescent="0.2">
      <c r="A881" s="90" t="s">
        <v>962</v>
      </c>
      <c r="B881" s="91" t="s">
        <v>35</v>
      </c>
      <c r="C881" s="91" t="s">
        <v>343</v>
      </c>
      <c r="D881" s="91" t="s">
        <v>1023</v>
      </c>
      <c r="E881" s="92" t="s">
        <v>1024</v>
      </c>
      <c r="F881" s="91" t="s">
        <v>329</v>
      </c>
      <c r="G881" s="91" t="s">
        <v>264</v>
      </c>
      <c r="H881" s="91" t="s">
        <v>21</v>
      </c>
      <c r="I881" s="91" t="s">
        <v>235</v>
      </c>
      <c r="J881" s="92" t="s">
        <v>265</v>
      </c>
      <c r="K881" s="93">
        <v>4</v>
      </c>
      <c r="L881" s="93">
        <f>K881*VLOOKUP(H881,dagsoorttabel1,2,FALSE)</f>
        <v>1.5384615384615385E-2</v>
      </c>
      <c r="M881" s="94">
        <f>prodnorm81</f>
        <v>0</v>
      </c>
      <c r="N881" s="91" t="s">
        <v>101</v>
      </c>
      <c r="O881" s="26">
        <f>uurtarief81</f>
        <v>0</v>
      </c>
      <c r="P881" s="93" t="e">
        <f>IF(ISBLANK(M881),0,L881/ROUND(M881,4))</f>
        <v>#DIV/0!</v>
      </c>
      <c r="Q881" s="26" t="e">
        <f>ROUND(O881,2)*P881</f>
        <v>#DIV/0!</v>
      </c>
      <c r="R881" s="93" t="e">
        <f>P881*dagenperjaar1</f>
        <v>#DIV/0!</v>
      </c>
      <c r="S881" s="27" t="e">
        <f>R881*ROUND(O881,2)</f>
        <v>#DIV/0!</v>
      </c>
    </row>
    <row r="882" spans="1:19" x14ac:dyDescent="0.2">
      <c r="A882" s="90" t="s">
        <v>962</v>
      </c>
      <c r="B882" s="91" t="s">
        <v>35</v>
      </c>
      <c r="C882" s="91" t="s">
        <v>343</v>
      </c>
      <c r="D882" s="91" t="s">
        <v>1025</v>
      </c>
      <c r="E882" s="92" t="s">
        <v>1024</v>
      </c>
      <c r="F882" s="91" t="s">
        <v>329</v>
      </c>
      <c r="G882" s="91" t="s">
        <v>264</v>
      </c>
      <c r="H882" s="91" t="s">
        <v>21</v>
      </c>
      <c r="I882" s="91" t="s">
        <v>235</v>
      </c>
      <c r="J882" s="92" t="s">
        <v>265</v>
      </c>
      <c r="K882" s="93">
        <v>4.51</v>
      </c>
      <c r="L882" s="93">
        <f>K882*VLOOKUP(H882,dagsoorttabel1,2,FALSE)</f>
        <v>1.7346153846153848E-2</v>
      </c>
      <c r="M882" s="94">
        <f>prodnorm81</f>
        <v>0</v>
      </c>
      <c r="N882" s="91" t="s">
        <v>101</v>
      </c>
      <c r="O882" s="26">
        <f>uurtarief81</f>
        <v>0</v>
      </c>
      <c r="P882" s="93" t="e">
        <f>IF(ISBLANK(M882),0,L882/ROUND(M882,4))</f>
        <v>#DIV/0!</v>
      </c>
      <c r="Q882" s="26" t="e">
        <f>ROUND(O882,2)*P882</f>
        <v>#DIV/0!</v>
      </c>
      <c r="R882" s="93" t="e">
        <f>P882*dagenperjaar1</f>
        <v>#DIV/0!</v>
      </c>
      <c r="S882" s="27" t="e">
        <f>R882*ROUND(O882,2)</f>
        <v>#DIV/0!</v>
      </c>
    </row>
    <row r="883" spans="1:19" x14ac:dyDescent="0.2">
      <c r="A883" s="90" t="s">
        <v>962</v>
      </c>
      <c r="B883" s="91" t="s">
        <v>35</v>
      </c>
      <c r="C883" s="91" t="s">
        <v>343</v>
      </c>
      <c r="D883" s="91" t="s">
        <v>1026</v>
      </c>
      <c r="E883" s="92" t="s">
        <v>998</v>
      </c>
      <c r="F883" s="91" t="s">
        <v>35</v>
      </c>
      <c r="G883" s="91" t="s">
        <v>352</v>
      </c>
      <c r="H883" s="91"/>
      <c r="I883" s="91"/>
      <c r="J883" s="91"/>
      <c r="K883" s="93">
        <v>0</v>
      </c>
      <c r="L883" s="93"/>
      <c r="M883" s="94"/>
      <c r="N883" s="91"/>
      <c r="O883" s="26"/>
      <c r="P883" s="93"/>
      <c r="Q883" s="26"/>
      <c r="R883" s="95"/>
      <c r="S883" s="27"/>
    </row>
    <row r="884" spans="1:19" x14ac:dyDescent="0.2">
      <c r="A884" s="90" t="s">
        <v>962</v>
      </c>
      <c r="B884" s="91" t="s">
        <v>35</v>
      </c>
      <c r="C884" s="91" t="s">
        <v>343</v>
      </c>
      <c r="D884" s="91" t="s">
        <v>1027</v>
      </c>
      <c r="E884" s="92" t="s">
        <v>562</v>
      </c>
      <c r="F884" s="91" t="s">
        <v>329</v>
      </c>
      <c r="G884" s="91" t="s">
        <v>279</v>
      </c>
      <c r="H884" s="91" t="s">
        <v>9</v>
      </c>
      <c r="I884" s="91" t="s">
        <v>235</v>
      </c>
      <c r="J884" s="92" t="s">
        <v>280</v>
      </c>
      <c r="K884" s="93">
        <v>8.91</v>
      </c>
      <c r="L884" s="93">
        <f>K884*VLOOKUP(H884,dagsoorttabel1,2,FALSE)</f>
        <v>8.91</v>
      </c>
      <c r="M884" s="94">
        <f>prodnorm102</f>
        <v>0</v>
      </c>
      <c r="N884" s="91" t="s">
        <v>101</v>
      </c>
      <c r="O884" s="26">
        <f>uurtarief102</f>
        <v>0</v>
      </c>
      <c r="P884" s="93" t="e">
        <f>IF(ISBLANK(M884),0,L884/ROUND(M884,4))</f>
        <v>#DIV/0!</v>
      </c>
      <c r="Q884" s="26" t="e">
        <f>ROUND(O884,2)*P884</f>
        <v>#DIV/0!</v>
      </c>
      <c r="R884" s="93" t="e">
        <f>P884*dagenperjaar1</f>
        <v>#DIV/0!</v>
      </c>
      <c r="S884" s="27" t="e">
        <f>R884*ROUND(O884,2)</f>
        <v>#DIV/0!</v>
      </c>
    </row>
    <row r="885" spans="1:19" x14ac:dyDescent="0.2">
      <c r="A885" s="90" t="s">
        <v>962</v>
      </c>
      <c r="B885" s="91" t="s">
        <v>35</v>
      </c>
      <c r="C885" s="91" t="s">
        <v>343</v>
      </c>
      <c r="D885" s="91" t="s">
        <v>698</v>
      </c>
      <c r="E885" s="92" t="s">
        <v>551</v>
      </c>
      <c r="F885" s="91" t="s">
        <v>329</v>
      </c>
      <c r="G885" s="91" t="s">
        <v>279</v>
      </c>
      <c r="H885" s="91" t="s">
        <v>9</v>
      </c>
      <c r="I885" s="91" t="s">
        <v>235</v>
      </c>
      <c r="J885" s="92" t="s">
        <v>280</v>
      </c>
      <c r="K885" s="93">
        <v>5.49</v>
      </c>
      <c r="L885" s="93">
        <f>K885*VLOOKUP(H885,dagsoorttabel1,2,FALSE)</f>
        <v>5.49</v>
      </c>
      <c r="M885" s="94">
        <f>prodnorm102</f>
        <v>0</v>
      </c>
      <c r="N885" s="91" t="s">
        <v>101</v>
      </c>
      <c r="O885" s="26">
        <f>uurtarief102</f>
        <v>0</v>
      </c>
      <c r="P885" s="93" t="e">
        <f>IF(ISBLANK(M885),0,L885/ROUND(M885,4))</f>
        <v>#DIV/0!</v>
      </c>
      <c r="Q885" s="26" t="e">
        <f>ROUND(O885,2)*P885</f>
        <v>#DIV/0!</v>
      </c>
      <c r="R885" s="93" t="e">
        <f>P885*dagenperjaar1</f>
        <v>#DIV/0!</v>
      </c>
      <c r="S885" s="27" t="e">
        <f>R885*ROUND(O885,2)</f>
        <v>#DIV/0!</v>
      </c>
    </row>
    <row r="886" spans="1:19" ht="25.2" x14ac:dyDescent="0.2">
      <c r="A886" s="90" t="s">
        <v>962</v>
      </c>
      <c r="B886" s="91" t="s">
        <v>35</v>
      </c>
      <c r="C886" s="91" t="s">
        <v>343</v>
      </c>
      <c r="D886" s="91" t="s">
        <v>1028</v>
      </c>
      <c r="E886" s="92" t="s">
        <v>360</v>
      </c>
      <c r="F886" s="91" t="s">
        <v>971</v>
      </c>
      <c r="G886" s="91" t="s">
        <v>293</v>
      </c>
      <c r="H886" s="91" t="s">
        <v>13</v>
      </c>
      <c r="I886" s="91" t="s">
        <v>235</v>
      </c>
      <c r="J886" s="92" t="s">
        <v>294</v>
      </c>
      <c r="K886" s="93">
        <v>7.87</v>
      </c>
      <c r="L886" s="93">
        <f>K886*VLOOKUP(H886,dagsoorttabel1,2,FALSE)</f>
        <v>1.5740000000000001</v>
      </c>
      <c r="M886" s="94">
        <f>prodnorm119</f>
        <v>0</v>
      </c>
      <c r="N886" s="91" t="s">
        <v>101</v>
      </c>
      <c r="O886" s="26">
        <f>uurtarief119</f>
        <v>0</v>
      </c>
      <c r="P886" s="93" t="e">
        <f>IF(ISBLANK(M886),0,L886/ROUND(M886,4))</f>
        <v>#DIV/0!</v>
      </c>
      <c r="Q886" s="26" t="e">
        <f>ROUND(O886,2)*P886</f>
        <v>#DIV/0!</v>
      </c>
      <c r="R886" s="93" t="e">
        <f>P886*dagenperjaar1</f>
        <v>#DIV/0!</v>
      </c>
      <c r="S886" s="27" t="e">
        <f>R886*ROUND(O886,2)</f>
        <v>#DIV/0!</v>
      </c>
    </row>
    <row r="887" spans="1:19" ht="25.2" x14ac:dyDescent="0.2">
      <c r="A887" s="90" t="s">
        <v>962</v>
      </c>
      <c r="B887" s="91" t="s">
        <v>35</v>
      </c>
      <c r="C887" s="91" t="s">
        <v>343</v>
      </c>
      <c r="D887" s="91" t="s">
        <v>702</v>
      </c>
      <c r="E887" s="92" t="s">
        <v>550</v>
      </c>
      <c r="F887" s="91" t="s">
        <v>387</v>
      </c>
      <c r="G887" s="91" t="s">
        <v>250</v>
      </c>
      <c r="H887" s="91" t="s">
        <v>9</v>
      </c>
      <c r="I887" s="91" t="s">
        <v>235</v>
      </c>
      <c r="J887" s="92" t="s">
        <v>251</v>
      </c>
      <c r="K887" s="93">
        <v>24.09</v>
      </c>
      <c r="L887" s="93">
        <f>K887*VLOOKUP(H887,dagsoorttabel1,2,FALSE)</f>
        <v>24.09</v>
      </c>
      <c r="M887" s="94">
        <f>prodnorm66</f>
        <v>0</v>
      </c>
      <c r="N887" s="91" t="s">
        <v>101</v>
      </c>
      <c r="O887" s="26">
        <f>uurtarief66</f>
        <v>0</v>
      </c>
      <c r="P887" s="93" t="e">
        <f>IF(ISBLANK(M887),0,L887/ROUND(M887,4))</f>
        <v>#DIV/0!</v>
      </c>
      <c r="Q887" s="26" t="e">
        <f>ROUND(O887,2)*P887</f>
        <v>#DIV/0!</v>
      </c>
      <c r="R887" s="93" t="e">
        <f>P887*dagenperjaar1</f>
        <v>#DIV/0!</v>
      </c>
      <c r="S887" s="27" t="e">
        <f>R887*ROUND(O887,2)</f>
        <v>#DIV/0!</v>
      </c>
    </row>
    <row r="888" spans="1:19" ht="25.2" x14ac:dyDescent="0.2">
      <c r="A888" s="90" t="s">
        <v>962</v>
      </c>
      <c r="B888" s="91" t="s">
        <v>35</v>
      </c>
      <c r="C888" s="91" t="s">
        <v>343</v>
      </c>
      <c r="D888" s="91" t="s">
        <v>704</v>
      </c>
      <c r="E888" s="92" t="s">
        <v>550</v>
      </c>
      <c r="F888" s="91" t="s">
        <v>387</v>
      </c>
      <c r="G888" s="91" t="s">
        <v>250</v>
      </c>
      <c r="H888" s="91" t="s">
        <v>9</v>
      </c>
      <c r="I888" s="91" t="s">
        <v>235</v>
      </c>
      <c r="J888" s="92" t="s">
        <v>251</v>
      </c>
      <c r="K888" s="93">
        <v>25.130000000000003</v>
      </c>
      <c r="L888" s="93">
        <f>K888*VLOOKUP(H888,dagsoorttabel1,2,FALSE)</f>
        <v>25.130000000000003</v>
      </c>
      <c r="M888" s="94">
        <f>prodnorm66</f>
        <v>0</v>
      </c>
      <c r="N888" s="91" t="s">
        <v>101</v>
      </c>
      <c r="O888" s="26">
        <f>uurtarief66</f>
        <v>0</v>
      </c>
      <c r="P888" s="93" t="e">
        <f>IF(ISBLANK(M888),0,L888/ROUND(M888,4))</f>
        <v>#DIV/0!</v>
      </c>
      <c r="Q888" s="26" t="e">
        <f>ROUND(O888,2)*P888</f>
        <v>#DIV/0!</v>
      </c>
      <c r="R888" s="93" t="e">
        <f>P888*dagenperjaar1</f>
        <v>#DIV/0!</v>
      </c>
      <c r="S888" s="27" t="e">
        <f>R888*ROUND(O888,2)</f>
        <v>#DIV/0!</v>
      </c>
    </row>
    <row r="889" spans="1:19" ht="25.2" x14ac:dyDescent="0.2">
      <c r="A889" s="90" t="s">
        <v>962</v>
      </c>
      <c r="B889" s="91" t="s">
        <v>35</v>
      </c>
      <c r="C889" s="91" t="s">
        <v>343</v>
      </c>
      <c r="D889" s="91" t="s">
        <v>706</v>
      </c>
      <c r="E889" s="92" t="s">
        <v>410</v>
      </c>
      <c r="F889" s="91" t="s">
        <v>387</v>
      </c>
      <c r="G889" s="91" t="s">
        <v>250</v>
      </c>
      <c r="H889" s="91" t="s">
        <v>9</v>
      </c>
      <c r="I889" s="91" t="s">
        <v>235</v>
      </c>
      <c r="J889" s="92" t="s">
        <v>251</v>
      </c>
      <c r="K889" s="93">
        <v>15.05</v>
      </c>
      <c r="L889" s="93">
        <f>K889*VLOOKUP(H889,dagsoorttabel1,2,FALSE)</f>
        <v>15.05</v>
      </c>
      <c r="M889" s="94">
        <f>prodnorm66</f>
        <v>0</v>
      </c>
      <c r="N889" s="91" t="s">
        <v>101</v>
      </c>
      <c r="O889" s="26">
        <f>uurtarief66</f>
        <v>0</v>
      </c>
      <c r="P889" s="93" t="e">
        <f>IF(ISBLANK(M889),0,L889/ROUND(M889,4))</f>
        <v>#DIV/0!</v>
      </c>
      <c r="Q889" s="26" t="e">
        <f>ROUND(O889,2)*P889</f>
        <v>#DIV/0!</v>
      </c>
      <c r="R889" s="93" t="e">
        <f>P889*dagenperjaar1</f>
        <v>#DIV/0!</v>
      </c>
      <c r="S889" s="27" t="e">
        <f>R889*ROUND(O889,2)</f>
        <v>#DIV/0!</v>
      </c>
    </row>
    <row r="890" spans="1:19" ht="25.2" x14ac:dyDescent="0.2">
      <c r="A890" s="90" t="s">
        <v>962</v>
      </c>
      <c r="B890" s="91" t="s">
        <v>35</v>
      </c>
      <c r="C890" s="91" t="s">
        <v>343</v>
      </c>
      <c r="D890" s="91" t="s">
        <v>708</v>
      </c>
      <c r="E890" s="92" t="s">
        <v>410</v>
      </c>
      <c r="F890" s="91" t="s">
        <v>387</v>
      </c>
      <c r="G890" s="91" t="s">
        <v>250</v>
      </c>
      <c r="H890" s="91" t="s">
        <v>9</v>
      </c>
      <c r="I890" s="91" t="s">
        <v>235</v>
      </c>
      <c r="J890" s="92" t="s">
        <v>251</v>
      </c>
      <c r="K890" s="93">
        <v>15.739999999999998</v>
      </c>
      <c r="L890" s="93">
        <f>K890*VLOOKUP(H890,dagsoorttabel1,2,FALSE)</f>
        <v>15.739999999999998</v>
      </c>
      <c r="M890" s="94">
        <f>prodnorm66</f>
        <v>0</v>
      </c>
      <c r="N890" s="91" t="s">
        <v>101</v>
      </c>
      <c r="O890" s="26">
        <f>uurtarief66</f>
        <v>0</v>
      </c>
      <c r="P890" s="93" t="e">
        <f>IF(ISBLANK(M890),0,L890/ROUND(M890,4))</f>
        <v>#DIV/0!</v>
      </c>
      <c r="Q890" s="26" t="e">
        <f>ROUND(O890,2)*P890</f>
        <v>#DIV/0!</v>
      </c>
      <c r="R890" s="93" t="e">
        <f>P890*dagenperjaar1</f>
        <v>#DIV/0!</v>
      </c>
      <c r="S890" s="27" t="e">
        <f>R890*ROUND(O890,2)</f>
        <v>#DIV/0!</v>
      </c>
    </row>
    <row r="891" spans="1:19" x14ac:dyDescent="0.2">
      <c r="A891" s="90" t="s">
        <v>962</v>
      </c>
      <c r="B891" s="91" t="s">
        <v>35</v>
      </c>
      <c r="C891" s="91" t="s">
        <v>343</v>
      </c>
      <c r="D891" s="91" t="s">
        <v>1029</v>
      </c>
      <c r="E891" s="92" t="s">
        <v>924</v>
      </c>
      <c r="F891" s="91" t="s">
        <v>387</v>
      </c>
      <c r="G891" s="91" t="s">
        <v>241</v>
      </c>
      <c r="H891" s="91" t="s">
        <v>9</v>
      </c>
      <c r="I891" s="91" t="s">
        <v>235</v>
      </c>
      <c r="J891" s="92" t="s">
        <v>243</v>
      </c>
      <c r="K891" s="93">
        <v>99.26</v>
      </c>
      <c r="L891" s="93">
        <f>K891*VLOOKUP(H891,dagsoorttabel1,2,FALSE)</f>
        <v>99.26</v>
      </c>
      <c r="M891" s="94">
        <f>prodnorm57</f>
        <v>0</v>
      </c>
      <c r="N891" s="91" t="s">
        <v>101</v>
      </c>
      <c r="O891" s="26">
        <f>uurtarief57</f>
        <v>0</v>
      </c>
      <c r="P891" s="93" t="e">
        <f>IF(ISBLANK(M891),0,L891/ROUND(M891,4))</f>
        <v>#DIV/0!</v>
      </c>
      <c r="Q891" s="26" t="e">
        <f>ROUND(O891,2)*P891</f>
        <v>#DIV/0!</v>
      </c>
      <c r="R891" s="93" t="e">
        <f>P891*dagenperjaar1</f>
        <v>#DIV/0!</v>
      </c>
      <c r="S891" s="27" t="e">
        <f>R891*ROUND(O891,2)</f>
        <v>#DIV/0!</v>
      </c>
    </row>
    <row r="892" spans="1:19" x14ac:dyDescent="0.2">
      <c r="A892" s="90" t="s">
        <v>962</v>
      </c>
      <c r="B892" s="91" t="s">
        <v>35</v>
      </c>
      <c r="C892" s="91" t="s">
        <v>343</v>
      </c>
      <c r="D892" s="91" t="s">
        <v>1030</v>
      </c>
      <c r="E892" s="92" t="s">
        <v>1031</v>
      </c>
      <c r="F892" s="91" t="s">
        <v>387</v>
      </c>
      <c r="G892" s="91" t="s">
        <v>237</v>
      </c>
      <c r="H892" s="91" t="s">
        <v>9</v>
      </c>
      <c r="I892" s="91" t="s">
        <v>235</v>
      </c>
      <c r="J892" s="92" t="s">
        <v>238</v>
      </c>
      <c r="K892" s="93">
        <v>2.54</v>
      </c>
      <c r="L892" s="93">
        <f>K892*VLOOKUP(H892,dagsoorttabel1,2,FALSE)</f>
        <v>2.54</v>
      </c>
      <c r="M892" s="94">
        <f>prodnorm52</f>
        <v>0</v>
      </c>
      <c r="N892" s="91" t="s">
        <v>101</v>
      </c>
      <c r="O892" s="26">
        <f>uurtarief52</f>
        <v>0</v>
      </c>
      <c r="P892" s="93" t="e">
        <f>IF(ISBLANK(M892),0,L892/ROUND(M892,4))</f>
        <v>#DIV/0!</v>
      </c>
      <c r="Q892" s="26" t="e">
        <f>ROUND(O892,2)*P892</f>
        <v>#DIV/0!</v>
      </c>
      <c r="R892" s="93" t="e">
        <f>P892*dagenperjaar1</f>
        <v>#DIV/0!</v>
      </c>
      <c r="S892" s="27" t="e">
        <f>R892*ROUND(O892,2)</f>
        <v>#DIV/0!</v>
      </c>
    </row>
    <row r="893" spans="1:19" x14ac:dyDescent="0.2">
      <c r="A893" s="90" t="s">
        <v>962</v>
      </c>
      <c r="B893" s="91" t="s">
        <v>35</v>
      </c>
      <c r="C893" s="91" t="s">
        <v>343</v>
      </c>
      <c r="D893" s="91" t="s">
        <v>1032</v>
      </c>
      <c r="E893" s="92" t="s">
        <v>1031</v>
      </c>
      <c r="F893" s="91" t="s">
        <v>387</v>
      </c>
      <c r="G893" s="91" t="s">
        <v>237</v>
      </c>
      <c r="H893" s="91" t="s">
        <v>9</v>
      </c>
      <c r="I893" s="91" t="s">
        <v>235</v>
      </c>
      <c r="J893" s="92" t="s">
        <v>238</v>
      </c>
      <c r="K893" s="93">
        <v>2.54</v>
      </c>
      <c r="L893" s="93">
        <f>K893*VLOOKUP(H893,dagsoorttabel1,2,FALSE)</f>
        <v>2.54</v>
      </c>
      <c r="M893" s="94">
        <f>prodnorm52</f>
        <v>0</v>
      </c>
      <c r="N893" s="91" t="s">
        <v>101</v>
      </c>
      <c r="O893" s="26">
        <f>uurtarief52</f>
        <v>0</v>
      </c>
      <c r="P893" s="93" t="e">
        <f>IF(ISBLANK(M893),0,L893/ROUND(M893,4))</f>
        <v>#DIV/0!</v>
      </c>
      <c r="Q893" s="26" t="e">
        <f>ROUND(O893,2)*P893</f>
        <v>#DIV/0!</v>
      </c>
      <c r="R893" s="93" t="e">
        <f>P893*dagenperjaar1</f>
        <v>#DIV/0!</v>
      </c>
      <c r="S893" s="27" t="e">
        <f>R893*ROUND(O893,2)</f>
        <v>#DIV/0!</v>
      </c>
    </row>
    <row r="894" spans="1:19" x14ac:dyDescent="0.2">
      <c r="A894" s="90" t="s">
        <v>962</v>
      </c>
      <c r="B894" s="91" t="s">
        <v>35</v>
      </c>
      <c r="C894" s="91" t="s">
        <v>343</v>
      </c>
      <c r="D894" s="91" t="s">
        <v>1033</v>
      </c>
      <c r="E894" s="92" t="s">
        <v>367</v>
      </c>
      <c r="F894" s="91" t="s">
        <v>387</v>
      </c>
      <c r="G894" s="91" t="s">
        <v>285</v>
      </c>
      <c r="H894" s="91" t="s">
        <v>9</v>
      </c>
      <c r="I894" s="91" t="s">
        <v>235</v>
      </c>
      <c r="J894" s="92" t="s">
        <v>286</v>
      </c>
      <c r="K894" s="93">
        <v>32.94</v>
      </c>
      <c r="L894" s="93">
        <f>K894*VLOOKUP(H894,dagsoorttabel1,2,FALSE)</f>
        <v>32.94</v>
      </c>
      <c r="M894" s="94">
        <f>prodnorm111</f>
        <v>0</v>
      </c>
      <c r="N894" s="91" t="s">
        <v>101</v>
      </c>
      <c r="O894" s="26">
        <f>uurtarief111</f>
        <v>0</v>
      </c>
      <c r="P894" s="93" t="e">
        <f>IF(ISBLANK(M894),0,L894/ROUND(M894,4))</f>
        <v>#DIV/0!</v>
      </c>
      <c r="Q894" s="26" t="e">
        <f>ROUND(O894,2)*P894</f>
        <v>#DIV/0!</v>
      </c>
      <c r="R894" s="93" t="e">
        <f>P894*dagenperjaar1</f>
        <v>#DIV/0!</v>
      </c>
      <c r="S894" s="27" t="e">
        <f>R894*ROUND(O894,2)</f>
        <v>#DIV/0!</v>
      </c>
    </row>
    <row r="895" spans="1:19" x14ac:dyDescent="0.2">
      <c r="A895" s="90" t="s">
        <v>962</v>
      </c>
      <c r="B895" s="91" t="s">
        <v>35</v>
      </c>
      <c r="C895" s="91" t="s">
        <v>343</v>
      </c>
      <c r="D895" s="91" t="s">
        <v>1034</v>
      </c>
      <c r="E895" s="92" t="s">
        <v>1031</v>
      </c>
      <c r="F895" s="91" t="s">
        <v>387</v>
      </c>
      <c r="G895" s="91" t="s">
        <v>237</v>
      </c>
      <c r="H895" s="91" t="s">
        <v>9</v>
      </c>
      <c r="I895" s="91" t="s">
        <v>235</v>
      </c>
      <c r="J895" s="92" t="s">
        <v>238</v>
      </c>
      <c r="K895" s="93">
        <v>2.54</v>
      </c>
      <c r="L895" s="93">
        <f>K895*VLOOKUP(H895,dagsoorttabel1,2,FALSE)</f>
        <v>2.54</v>
      </c>
      <c r="M895" s="94">
        <f>prodnorm52</f>
        <v>0</v>
      </c>
      <c r="N895" s="91" t="s">
        <v>101</v>
      </c>
      <c r="O895" s="26">
        <f>uurtarief52</f>
        <v>0</v>
      </c>
      <c r="P895" s="93" t="e">
        <f>IF(ISBLANK(M895),0,L895/ROUND(M895,4))</f>
        <v>#DIV/0!</v>
      </c>
      <c r="Q895" s="26" t="e">
        <f>ROUND(O895,2)*P895</f>
        <v>#DIV/0!</v>
      </c>
      <c r="R895" s="93" t="e">
        <f>P895*dagenperjaar1</f>
        <v>#DIV/0!</v>
      </c>
      <c r="S895" s="27" t="e">
        <f>R895*ROUND(O895,2)</f>
        <v>#DIV/0!</v>
      </c>
    </row>
    <row r="896" spans="1:19" x14ac:dyDescent="0.2">
      <c r="A896" s="90" t="s">
        <v>962</v>
      </c>
      <c r="B896" s="91" t="s">
        <v>35</v>
      </c>
      <c r="C896" s="91" t="s">
        <v>343</v>
      </c>
      <c r="D896" s="91" t="s">
        <v>1035</v>
      </c>
      <c r="E896" s="92" t="s">
        <v>323</v>
      </c>
      <c r="F896" s="91" t="s">
        <v>387</v>
      </c>
      <c r="G896" s="91" t="s">
        <v>241</v>
      </c>
      <c r="H896" s="91" t="s">
        <v>9</v>
      </c>
      <c r="I896" s="91" t="s">
        <v>235</v>
      </c>
      <c r="J896" s="92" t="s">
        <v>243</v>
      </c>
      <c r="K896" s="93">
        <v>10.360000000000001</v>
      </c>
      <c r="L896" s="93">
        <f>K896*VLOOKUP(H896,dagsoorttabel1,2,FALSE)</f>
        <v>10.360000000000001</v>
      </c>
      <c r="M896" s="94">
        <f>prodnorm57</f>
        <v>0</v>
      </c>
      <c r="N896" s="91" t="s">
        <v>101</v>
      </c>
      <c r="O896" s="26">
        <f>uurtarief57</f>
        <v>0</v>
      </c>
      <c r="P896" s="93" t="e">
        <f>IF(ISBLANK(M896),0,L896/ROUND(M896,4))</f>
        <v>#DIV/0!</v>
      </c>
      <c r="Q896" s="26" t="e">
        <f>ROUND(O896,2)*P896</f>
        <v>#DIV/0!</v>
      </c>
      <c r="R896" s="93" t="e">
        <f>P896*dagenperjaar1</f>
        <v>#DIV/0!</v>
      </c>
      <c r="S896" s="27" t="e">
        <f>R896*ROUND(O896,2)</f>
        <v>#DIV/0!</v>
      </c>
    </row>
    <row r="897" spans="1:19" x14ac:dyDescent="0.2">
      <c r="A897" s="90" t="s">
        <v>962</v>
      </c>
      <c r="B897" s="91" t="s">
        <v>35</v>
      </c>
      <c r="C897" s="91" t="s">
        <v>343</v>
      </c>
      <c r="D897" s="91" t="s">
        <v>1036</v>
      </c>
      <c r="E897" s="92" t="s">
        <v>323</v>
      </c>
      <c r="F897" s="91" t="s">
        <v>387</v>
      </c>
      <c r="G897" s="91" t="s">
        <v>241</v>
      </c>
      <c r="H897" s="91" t="s">
        <v>9</v>
      </c>
      <c r="I897" s="91" t="s">
        <v>235</v>
      </c>
      <c r="J897" s="92" t="s">
        <v>243</v>
      </c>
      <c r="K897" s="93">
        <v>10.709999999999999</v>
      </c>
      <c r="L897" s="93">
        <f>K897*VLOOKUP(H897,dagsoorttabel1,2,FALSE)</f>
        <v>10.709999999999999</v>
      </c>
      <c r="M897" s="94">
        <f>prodnorm57</f>
        <v>0</v>
      </c>
      <c r="N897" s="91" t="s">
        <v>101</v>
      </c>
      <c r="O897" s="26">
        <f>uurtarief57</f>
        <v>0</v>
      </c>
      <c r="P897" s="93" t="e">
        <f>IF(ISBLANK(M897),0,L897/ROUND(M897,4))</f>
        <v>#DIV/0!</v>
      </c>
      <c r="Q897" s="26" t="e">
        <f>ROUND(O897,2)*P897</f>
        <v>#DIV/0!</v>
      </c>
      <c r="R897" s="93" t="e">
        <f>P897*dagenperjaar1</f>
        <v>#DIV/0!</v>
      </c>
      <c r="S897" s="27" t="e">
        <f>R897*ROUND(O897,2)</f>
        <v>#DIV/0!</v>
      </c>
    </row>
    <row r="898" spans="1:19" x14ac:dyDescent="0.2">
      <c r="A898" s="90" t="s">
        <v>962</v>
      </c>
      <c r="B898" s="91" t="s">
        <v>35</v>
      </c>
      <c r="C898" s="91" t="s">
        <v>343</v>
      </c>
      <c r="D898" s="91" t="s">
        <v>1037</v>
      </c>
      <c r="E898" s="92" t="s">
        <v>323</v>
      </c>
      <c r="F898" s="91" t="s">
        <v>387</v>
      </c>
      <c r="G898" s="91" t="s">
        <v>241</v>
      </c>
      <c r="H898" s="91" t="s">
        <v>9</v>
      </c>
      <c r="I898" s="91" t="s">
        <v>235</v>
      </c>
      <c r="J898" s="92" t="s">
        <v>243</v>
      </c>
      <c r="K898" s="93">
        <v>22.9</v>
      </c>
      <c r="L898" s="93">
        <f>K898*VLOOKUP(H898,dagsoorttabel1,2,FALSE)</f>
        <v>22.9</v>
      </c>
      <c r="M898" s="94">
        <f>prodnorm57</f>
        <v>0</v>
      </c>
      <c r="N898" s="91" t="s">
        <v>101</v>
      </c>
      <c r="O898" s="26">
        <f>uurtarief57</f>
        <v>0</v>
      </c>
      <c r="P898" s="93" t="e">
        <f>IF(ISBLANK(M898),0,L898/ROUND(M898,4))</f>
        <v>#DIV/0!</v>
      </c>
      <c r="Q898" s="26" t="e">
        <f>ROUND(O898,2)*P898</f>
        <v>#DIV/0!</v>
      </c>
      <c r="R898" s="93" t="e">
        <f>P898*dagenperjaar1</f>
        <v>#DIV/0!</v>
      </c>
      <c r="S898" s="27" t="e">
        <f>R898*ROUND(O898,2)</f>
        <v>#DIV/0!</v>
      </c>
    </row>
    <row r="899" spans="1:19" x14ac:dyDescent="0.2">
      <c r="A899" s="90" t="s">
        <v>962</v>
      </c>
      <c r="B899" s="91" t="s">
        <v>35</v>
      </c>
      <c r="C899" s="91" t="s">
        <v>343</v>
      </c>
      <c r="D899" s="91" t="s">
        <v>1038</v>
      </c>
      <c r="E899" s="92" t="s">
        <v>323</v>
      </c>
      <c r="F899" s="91" t="s">
        <v>387</v>
      </c>
      <c r="G899" s="91" t="s">
        <v>241</v>
      </c>
      <c r="H899" s="91" t="s">
        <v>9</v>
      </c>
      <c r="I899" s="91" t="s">
        <v>235</v>
      </c>
      <c r="J899" s="92" t="s">
        <v>243</v>
      </c>
      <c r="K899" s="93">
        <v>25.79</v>
      </c>
      <c r="L899" s="93">
        <f>K899*VLOOKUP(H899,dagsoorttabel1,2,FALSE)</f>
        <v>25.79</v>
      </c>
      <c r="M899" s="94">
        <f>prodnorm57</f>
        <v>0</v>
      </c>
      <c r="N899" s="91" t="s">
        <v>101</v>
      </c>
      <c r="O899" s="26">
        <f>uurtarief57</f>
        <v>0</v>
      </c>
      <c r="P899" s="93" t="e">
        <f>IF(ISBLANK(M899),0,L899/ROUND(M899,4))</f>
        <v>#DIV/0!</v>
      </c>
      <c r="Q899" s="26" t="e">
        <f>ROUND(O899,2)*P899</f>
        <v>#DIV/0!</v>
      </c>
      <c r="R899" s="93" t="e">
        <f>P899*dagenperjaar1</f>
        <v>#DIV/0!</v>
      </c>
      <c r="S899" s="27" t="e">
        <f>R899*ROUND(O899,2)</f>
        <v>#DIV/0!</v>
      </c>
    </row>
    <row r="900" spans="1:19" x14ac:dyDescent="0.2">
      <c r="A900" s="90" t="s">
        <v>962</v>
      </c>
      <c r="B900" s="91" t="s">
        <v>35</v>
      </c>
      <c r="C900" s="91" t="s">
        <v>343</v>
      </c>
      <c r="D900" s="91" t="s">
        <v>1039</v>
      </c>
      <c r="E900" s="92" t="s">
        <v>1040</v>
      </c>
      <c r="F900" s="91" t="s">
        <v>387</v>
      </c>
      <c r="G900" s="91" t="s">
        <v>241</v>
      </c>
      <c r="H900" s="91" t="s">
        <v>9</v>
      </c>
      <c r="I900" s="91" t="s">
        <v>235</v>
      </c>
      <c r="J900" s="92" t="s">
        <v>243</v>
      </c>
      <c r="K900" s="93">
        <v>38.790000000000006</v>
      </c>
      <c r="L900" s="93">
        <f>K900*VLOOKUP(H900,dagsoorttabel1,2,FALSE)</f>
        <v>38.790000000000006</v>
      </c>
      <c r="M900" s="94">
        <f>prodnorm57</f>
        <v>0</v>
      </c>
      <c r="N900" s="91" t="s">
        <v>101</v>
      </c>
      <c r="O900" s="26">
        <f>uurtarief57</f>
        <v>0</v>
      </c>
      <c r="P900" s="93" t="e">
        <f>IF(ISBLANK(M900),0,L900/ROUND(M900,4))</f>
        <v>#DIV/0!</v>
      </c>
      <c r="Q900" s="26" t="e">
        <f>ROUND(O900,2)*P900</f>
        <v>#DIV/0!</v>
      </c>
      <c r="R900" s="93" t="e">
        <f>P900*dagenperjaar1</f>
        <v>#DIV/0!</v>
      </c>
      <c r="S900" s="27" t="e">
        <f>R900*ROUND(O900,2)</f>
        <v>#DIV/0!</v>
      </c>
    </row>
    <row r="901" spans="1:19" x14ac:dyDescent="0.2">
      <c r="A901" s="90" t="s">
        <v>962</v>
      </c>
      <c r="B901" s="91" t="s">
        <v>35</v>
      </c>
      <c r="C901" s="91" t="s">
        <v>343</v>
      </c>
      <c r="D901" s="91" t="s">
        <v>1041</v>
      </c>
      <c r="E901" s="92" t="s">
        <v>1042</v>
      </c>
      <c r="F901" s="91" t="s">
        <v>387</v>
      </c>
      <c r="G901" s="91" t="s">
        <v>241</v>
      </c>
      <c r="H901" s="91" t="s">
        <v>9</v>
      </c>
      <c r="I901" s="91" t="s">
        <v>235</v>
      </c>
      <c r="J901" s="92" t="s">
        <v>243</v>
      </c>
      <c r="K901" s="93">
        <v>30.2</v>
      </c>
      <c r="L901" s="93">
        <f>K901*VLOOKUP(H901,dagsoorttabel1,2,FALSE)</f>
        <v>30.2</v>
      </c>
      <c r="M901" s="94">
        <f>prodnorm57</f>
        <v>0</v>
      </c>
      <c r="N901" s="91" t="s">
        <v>101</v>
      </c>
      <c r="O901" s="26">
        <f>uurtarief57</f>
        <v>0</v>
      </c>
      <c r="P901" s="93" t="e">
        <f>IF(ISBLANK(M901),0,L901/ROUND(M901,4))</f>
        <v>#DIV/0!</v>
      </c>
      <c r="Q901" s="26" t="e">
        <f>ROUND(O901,2)*P901</f>
        <v>#DIV/0!</v>
      </c>
      <c r="R901" s="93" t="e">
        <f>P901*dagenperjaar1</f>
        <v>#DIV/0!</v>
      </c>
      <c r="S901" s="27" t="e">
        <f>R901*ROUND(O901,2)</f>
        <v>#DIV/0!</v>
      </c>
    </row>
    <row r="902" spans="1:19" ht="25.2" x14ac:dyDescent="0.2">
      <c r="A902" s="90" t="s">
        <v>962</v>
      </c>
      <c r="B902" s="91" t="s">
        <v>35</v>
      </c>
      <c r="C902" s="91" t="s">
        <v>343</v>
      </c>
      <c r="D902" s="91" t="s">
        <v>716</v>
      </c>
      <c r="E902" s="92" t="s">
        <v>1043</v>
      </c>
      <c r="F902" s="91" t="s">
        <v>387</v>
      </c>
      <c r="G902" s="91" t="s">
        <v>293</v>
      </c>
      <c r="H902" s="91" t="s">
        <v>13</v>
      </c>
      <c r="I902" s="91" t="s">
        <v>235</v>
      </c>
      <c r="J902" s="92" t="s">
        <v>294</v>
      </c>
      <c r="K902" s="93">
        <v>5.3599999999999994</v>
      </c>
      <c r="L902" s="93">
        <f>K902*VLOOKUP(H902,dagsoorttabel1,2,FALSE)</f>
        <v>1.0719999999999998</v>
      </c>
      <c r="M902" s="94">
        <f>prodnorm119</f>
        <v>0</v>
      </c>
      <c r="N902" s="91" t="s">
        <v>101</v>
      </c>
      <c r="O902" s="26">
        <f>uurtarief119</f>
        <v>0</v>
      </c>
      <c r="P902" s="93" t="e">
        <f>IF(ISBLANK(M902),0,L902/ROUND(M902,4))</f>
        <v>#DIV/0!</v>
      </c>
      <c r="Q902" s="26" t="e">
        <f>ROUND(O902,2)*P902</f>
        <v>#DIV/0!</v>
      </c>
      <c r="R902" s="93" t="e">
        <f>P902*dagenperjaar1</f>
        <v>#DIV/0!</v>
      </c>
      <c r="S902" s="27" t="e">
        <f>R902*ROUND(O902,2)</f>
        <v>#DIV/0!</v>
      </c>
    </row>
    <row r="903" spans="1:19" x14ac:dyDescent="0.2">
      <c r="A903" s="90" t="s">
        <v>962</v>
      </c>
      <c r="B903" s="91" t="s">
        <v>35</v>
      </c>
      <c r="C903" s="91" t="s">
        <v>343</v>
      </c>
      <c r="D903" s="91" t="s">
        <v>719</v>
      </c>
      <c r="E903" s="92" t="s">
        <v>1044</v>
      </c>
      <c r="F903" s="91" t="s">
        <v>387</v>
      </c>
      <c r="G903" s="91" t="s">
        <v>234</v>
      </c>
      <c r="H903" s="91" t="s">
        <v>13</v>
      </c>
      <c r="I903" s="91" t="s">
        <v>235</v>
      </c>
      <c r="J903" s="92" t="s">
        <v>236</v>
      </c>
      <c r="K903" s="93">
        <v>4.9000000000000004</v>
      </c>
      <c r="L903" s="93">
        <f>K903*VLOOKUP(H903,dagsoorttabel1,2,FALSE)</f>
        <v>0.98000000000000009</v>
      </c>
      <c r="M903" s="94">
        <f>prodnorm51</f>
        <v>0</v>
      </c>
      <c r="N903" s="91" t="s">
        <v>101</v>
      </c>
      <c r="O903" s="26">
        <f>uurtarief51</f>
        <v>0</v>
      </c>
      <c r="P903" s="93" t="e">
        <f>IF(ISBLANK(M903),0,L903/ROUND(M903,4))</f>
        <v>#DIV/0!</v>
      </c>
      <c r="Q903" s="26" t="e">
        <f>ROUND(O903,2)*P903</f>
        <v>#DIV/0!</v>
      </c>
      <c r="R903" s="93" t="e">
        <f>P903*dagenperjaar1</f>
        <v>#DIV/0!</v>
      </c>
      <c r="S903" s="27" t="e">
        <f>R903*ROUND(O903,2)</f>
        <v>#DIV/0!</v>
      </c>
    </row>
    <row r="904" spans="1:19" x14ac:dyDescent="0.2">
      <c r="A904" s="90" t="s">
        <v>962</v>
      </c>
      <c r="B904" s="91" t="s">
        <v>35</v>
      </c>
      <c r="C904" s="91" t="s">
        <v>343</v>
      </c>
      <c r="D904" s="91" t="s">
        <v>1045</v>
      </c>
      <c r="E904" s="92" t="s">
        <v>979</v>
      </c>
      <c r="F904" s="91" t="s">
        <v>329</v>
      </c>
      <c r="G904" s="91" t="s">
        <v>352</v>
      </c>
      <c r="H904" s="91"/>
      <c r="I904" s="91"/>
      <c r="J904" s="91"/>
      <c r="K904" s="93">
        <v>12.03</v>
      </c>
      <c r="L904" s="93"/>
      <c r="M904" s="94"/>
      <c r="N904" s="91"/>
      <c r="O904" s="26"/>
      <c r="P904" s="93"/>
      <c r="Q904" s="26"/>
      <c r="R904" s="95"/>
      <c r="S904" s="27"/>
    </row>
    <row r="905" spans="1:19" ht="25.2" x14ac:dyDescent="0.2">
      <c r="A905" s="90" t="s">
        <v>962</v>
      </c>
      <c r="B905" s="91" t="s">
        <v>35</v>
      </c>
      <c r="C905" s="91" t="s">
        <v>343</v>
      </c>
      <c r="D905" s="91" t="s">
        <v>1046</v>
      </c>
      <c r="E905" s="92" t="s">
        <v>483</v>
      </c>
      <c r="F905" s="91" t="s">
        <v>329</v>
      </c>
      <c r="G905" s="91" t="s">
        <v>293</v>
      </c>
      <c r="H905" s="91" t="s">
        <v>21</v>
      </c>
      <c r="I905" s="91" t="s">
        <v>235</v>
      </c>
      <c r="J905" s="92" t="s">
        <v>294</v>
      </c>
      <c r="K905" s="93">
        <v>13.11</v>
      </c>
      <c r="L905" s="93">
        <f>K905*VLOOKUP(H905,dagsoorttabel1,2,FALSE)</f>
        <v>5.0423076923076925E-2</v>
      </c>
      <c r="M905" s="94">
        <f>prodnorm118</f>
        <v>0</v>
      </c>
      <c r="N905" s="91" t="s">
        <v>101</v>
      </c>
      <c r="O905" s="26">
        <f>uurtarief118</f>
        <v>0</v>
      </c>
      <c r="P905" s="93" t="e">
        <f>IF(ISBLANK(M905),0,L905/ROUND(M905,4))</f>
        <v>#DIV/0!</v>
      </c>
      <c r="Q905" s="26" t="e">
        <f>ROUND(O905,2)*P905</f>
        <v>#DIV/0!</v>
      </c>
      <c r="R905" s="93" t="e">
        <f>P905*dagenperjaar1</f>
        <v>#DIV/0!</v>
      </c>
      <c r="S905" s="27" t="e">
        <f>R905*ROUND(O905,2)</f>
        <v>#DIV/0!</v>
      </c>
    </row>
    <row r="906" spans="1:19" x14ac:dyDescent="0.2">
      <c r="A906" s="90" t="s">
        <v>962</v>
      </c>
      <c r="B906" s="91" t="s">
        <v>35</v>
      </c>
      <c r="C906" s="91" t="s">
        <v>343</v>
      </c>
      <c r="D906" s="91" t="s">
        <v>723</v>
      </c>
      <c r="E906" s="92" t="s">
        <v>559</v>
      </c>
      <c r="F906" s="91" t="s">
        <v>1047</v>
      </c>
      <c r="G906" s="91" t="s">
        <v>298</v>
      </c>
      <c r="H906" s="91" t="s">
        <v>9</v>
      </c>
      <c r="I906" s="91" t="s">
        <v>235</v>
      </c>
      <c r="J906" s="92" t="s">
        <v>299</v>
      </c>
      <c r="K906" s="93">
        <v>11.97</v>
      </c>
      <c r="L906" s="93">
        <f>K906*VLOOKUP(H906,dagsoorttabel1,2,FALSE)</f>
        <v>11.97</v>
      </c>
      <c r="M906" s="94">
        <f>prodnorm126</f>
        <v>0</v>
      </c>
      <c r="N906" s="91" t="s">
        <v>101</v>
      </c>
      <c r="O906" s="26">
        <f>uurtarief126</f>
        <v>0</v>
      </c>
      <c r="P906" s="93" t="e">
        <f>IF(ISBLANK(M906),0,L906/ROUND(M906,4))</f>
        <v>#DIV/0!</v>
      </c>
      <c r="Q906" s="26" t="e">
        <f>ROUND(O906,2)*P906</f>
        <v>#DIV/0!</v>
      </c>
      <c r="R906" s="93" t="e">
        <f>P906*dagenperjaar1</f>
        <v>#DIV/0!</v>
      </c>
      <c r="S906" s="27" t="e">
        <f>R906*ROUND(O906,2)</f>
        <v>#DIV/0!</v>
      </c>
    </row>
    <row r="907" spans="1:19" x14ac:dyDescent="0.2">
      <c r="A907" s="90" t="s">
        <v>962</v>
      </c>
      <c r="B907" s="91" t="s">
        <v>35</v>
      </c>
      <c r="C907" s="91" t="s">
        <v>343</v>
      </c>
      <c r="D907" s="91" t="s">
        <v>1048</v>
      </c>
      <c r="E907" s="92" t="s">
        <v>1049</v>
      </c>
      <c r="F907" s="91" t="s">
        <v>387</v>
      </c>
      <c r="G907" s="91" t="s">
        <v>241</v>
      </c>
      <c r="H907" s="91" t="s">
        <v>9</v>
      </c>
      <c r="I907" s="91" t="s">
        <v>235</v>
      </c>
      <c r="J907" s="92" t="s">
        <v>243</v>
      </c>
      <c r="K907" s="93">
        <v>5.54</v>
      </c>
      <c r="L907" s="93">
        <f>K907*VLOOKUP(H907,dagsoorttabel1,2,FALSE)</f>
        <v>5.54</v>
      </c>
      <c r="M907" s="94">
        <f>prodnorm57</f>
        <v>0</v>
      </c>
      <c r="N907" s="91" t="s">
        <v>101</v>
      </c>
      <c r="O907" s="26">
        <f>uurtarief57</f>
        <v>0</v>
      </c>
      <c r="P907" s="93" t="e">
        <f>IF(ISBLANK(M907),0,L907/ROUND(M907,4))</f>
        <v>#DIV/0!</v>
      </c>
      <c r="Q907" s="26" t="e">
        <f>ROUND(O907,2)*P907</f>
        <v>#DIV/0!</v>
      </c>
      <c r="R907" s="93" t="e">
        <f>P907*dagenperjaar1</f>
        <v>#DIV/0!</v>
      </c>
      <c r="S907" s="27" t="e">
        <f>R907*ROUND(O907,2)</f>
        <v>#DIV/0!</v>
      </c>
    </row>
    <row r="908" spans="1:19" x14ac:dyDescent="0.2">
      <c r="A908" s="90" t="s">
        <v>962</v>
      </c>
      <c r="B908" s="91" t="s">
        <v>35</v>
      </c>
      <c r="C908" s="91" t="s">
        <v>343</v>
      </c>
      <c r="D908" s="91" t="s">
        <v>1050</v>
      </c>
      <c r="E908" s="92" t="s">
        <v>1049</v>
      </c>
      <c r="F908" s="91" t="s">
        <v>387</v>
      </c>
      <c r="G908" s="91" t="s">
        <v>241</v>
      </c>
      <c r="H908" s="91" t="s">
        <v>9</v>
      </c>
      <c r="I908" s="91" t="s">
        <v>235</v>
      </c>
      <c r="J908" s="92" t="s">
        <v>243</v>
      </c>
      <c r="K908" s="93">
        <v>5.38</v>
      </c>
      <c r="L908" s="93">
        <f>K908*VLOOKUP(H908,dagsoorttabel1,2,FALSE)</f>
        <v>5.38</v>
      </c>
      <c r="M908" s="94">
        <f>prodnorm57</f>
        <v>0</v>
      </c>
      <c r="N908" s="91" t="s">
        <v>101</v>
      </c>
      <c r="O908" s="26">
        <f>uurtarief57</f>
        <v>0</v>
      </c>
      <c r="P908" s="93" t="e">
        <f>IF(ISBLANK(M908),0,L908/ROUND(M908,4))</f>
        <v>#DIV/0!</v>
      </c>
      <c r="Q908" s="26" t="e">
        <f>ROUND(O908,2)*P908</f>
        <v>#DIV/0!</v>
      </c>
      <c r="R908" s="93" t="e">
        <f>P908*dagenperjaar1</f>
        <v>#DIV/0!</v>
      </c>
      <c r="S908" s="27" t="e">
        <f>R908*ROUND(O908,2)</f>
        <v>#DIV/0!</v>
      </c>
    </row>
    <row r="909" spans="1:19" x14ac:dyDescent="0.2">
      <c r="A909" s="90" t="s">
        <v>962</v>
      </c>
      <c r="B909" s="91" t="s">
        <v>35</v>
      </c>
      <c r="C909" s="91" t="s">
        <v>343</v>
      </c>
      <c r="D909" s="91" t="s">
        <v>1051</v>
      </c>
      <c r="E909" s="92" t="s">
        <v>1049</v>
      </c>
      <c r="F909" s="91" t="s">
        <v>387</v>
      </c>
      <c r="G909" s="91" t="s">
        <v>241</v>
      </c>
      <c r="H909" s="91" t="s">
        <v>9</v>
      </c>
      <c r="I909" s="91" t="s">
        <v>235</v>
      </c>
      <c r="J909" s="92" t="s">
        <v>243</v>
      </c>
      <c r="K909" s="93">
        <v>5.38</v>
      </c>
      <c r="L909" s="93">
        <f>K909*VLOOKUP(H909,dagsoorttabel1,2,FALSE)</f>
        <v>5.38</v>
      </c>
      <c r="M909" s="94">
        <f>prodnorm57</f>
        <v>0</v>
      </c>
      <c r="N909" s="91" t="s">
        <v>101</v>
      </c>
      <c r="O909" s="26">
        <f>uurtarief57</f>
        <v>0</v>
      </c>
      <c r="P909" s="93" t="e">
        <f>IF(ISBLANK(M909),0,L909/ROUND(M909,4))</f>
        <v>#DIV/0!</v>
      </c>
      <c r="Q909" s="26" t="e">
        <f>ROUND(O909,2)*P909</f>
        <v>#DIV/0!</v>
      </c>
      <c r="R909" s="93" t="e">
        <f>P909*dagenperjaar1</f>
        <v>#DIV/0!</v>
      </c>
      <c r="S909" s="27" t="e">
        <f>R909*ROUND(O909,2)</f>
        <v>#DIV/0!</v>
      </c>
    </row>
    <row r="910" spans="1:19" x14ac:dyDescent="0.2">
      <c r="A910" s="90" t="s">
        <v>962</v>
      </c>
      <c r="B910" s="91" t="s">
        <v>35</v>
      </c>
      <c r="C910" s="91" t="s">
        <v>343</v>
      </c>
      <c r="D910" s="91" t="s">
        <v>725</v>
      </c>
      <c r="E910" s="92" t="s">
        <v>1052</v>
      </c>
      <c r="F910" s="91" t="s">
        <v>329</v>
      </c>
      <c r="G910" s="91" t="s">
        <v>264</v>
      </c>
      <c r="H910" s="91" t="s">
        <v>21</v>
      </c>
      <c r="I910" s="91" t="s">
        <v>235</v>
      </c>
      <c r="J910" s="92" t="s">
        <v>265</v>
      </c>
      <c r="K910" s="93">
        <v>23.650000000000002</v>
      </c>
      <c r="L910" s="93">
        <f>K910*VLOOKUP(H910,dagsoorttabel1,2,FALSE)</f>
        <v>9.0961538461538469E-2</v>
      </c>
      <c r="M910" s="94">
        <f>prodnorm81</f>
        <v>0</v>
      </c>
      <c r="N910" s="91" t="s">
        <v>101</v>
      </c>
      <c r="O910" s="26">
        <f>uurtarief81</f>
        <v>0</v>
      </c>
      <c r="P910" s="93" t="e">
        <f>IF(ISBLANK(M910),0,L910/ROUND(M910,4))</f>
        <v>#DIV/0!</v>
      </c>
      <c r="Q910" s="26" t="e">
        <f>ROUND(O910,2)*P910</f>
        <v>#DIV/0!</v>
      </c>
      <c r="R910" s="93" t="e">
        <f>P910*dagenperjaar1</f>
        <v>#DIV/0!</v>
      </c>
      <c r="S910" s="27" t="e">
        <f>R910*ROUND(O910,2)</f>
        <v>#DIV/0!</v>
      </c>
    </row>
    <row r="911" spans="1:19" ht="25.2" x14ac:dyDescent="0.2">
      <c r="A911" s="90" t="s">
        <v>962</v>
      </c>
      <c r="B911" s="91" t="s">
        <v>35</v>
      </c>
      <c r="C911" s="91" t="s">
        <v>343</v>
      </c>
      <c r="D911" s="91" t="s">
        <v>726</v>
      </c>
      <c r="E911" s="92" t="s">
        <v>550</v>
      </c>
      <c r="F911" s="91" t="s">
        <v>387</v>
      </c>
      <c r="G911" s="91" t="s">
        <v>250</v>
      </c>
      <c r="H911" s="91" t="s">
        <v>9</v>
      </c>
      <c r="I911" s="91" t="s">
        <v>235</v>
      </c>
      <c r="J911" s="92" t="s">
        <v>251</v>
      </c>
      <c r="K911" s="93">
        <v>55.809999999999995</v>
      </c>
      <c r="L911" s="93">
        <f>K911*VLOOKUP(H911,dagsoorttabel1,2,FALSE)</f>
        <v>55.809999999999995</v>
      </c>
      <c r="M911" s="94">
        <f>prodnorm66</f>
        <v>0</v>
      </c>
      <c r="N911" s="91" t="s">
        <v>101</v>
      </c>
      <c r="O911" s="26">
        <f>uurtarief66</f>
        <v>0</v>
      </c>
      <c r="P911" s="93" t="e">
        <f>IF(ISBLANK(M911),0,L911/ROUND(M911,4))</f>
        <v>#DIV/0!</v>
      </c>
      <c r="Q911" s="26" t="e">
        <f>ROUND(O911,2)*P911</f>
        <v>#DIV/0!</v>
      </c>
      <c r="R911" s="93" t="e">
        <f>P911*dagenperjaar1</f>
        <v>#DIV/0!</v>
      </c>
      <c r="S911" s="27" t="e">
        <f>R911*ROUND(O911,2)</f>
        <v>#DIV/0!</v>
      </c>
    </row>
    <row r="912" spans="1:19" x14ac:dyDescent="0.2">
      <c r="A912" s="96" t="s">
        <v>962</v>
      </c>
      <c r="B912" s="97" t="s">
        <v>1053</v>
      </c>
      <c r="C912" s="97" t="s">
        <v>343</v>
      </c>
      <c r="D912" s="97" t="s">
        <v>540</v>
      </c>
      <c r="E912" s="98" t="s">
        <v>1054</v>
      </c>
      <c r="F912" s="97" t="s">
        <v>1055</v>
      </c>
      <c r="G912" s="97" t="s">
        <v>352</v>
      </c>
      <c r="H912" s="97"/>
      <c r="I912" s="97"/>
      <c r="J912" s="97"/>
      <c r="K912" s="99">
        <v>559.6</v>
      </c>
      <c r="L912" s="99"/>
      <c r="M912" s="100"/>
      <c r="N912" s="97"/>
      <c r="O912" s="36"/>
      <c r="P912" s="99"/>
      <c r="Q912" s="36"/>
      <c r="R912" s="102"/>
      <c r="S912" s="37"/>
    </row>
    <row r="913" spans="1:19" x14ac:dyDescent="0.2">
      <c r="A913" s="101" t="s">
        <v>356</v>
      </c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6" t="e">
        <f>IF(_xlfn.SINGLE(object24_urenjaar1)&gt;0,_xlfn.SINGLE(object24_prijsjaar1)/_xlfn.SINGLE(object24_urenjaar1),0)</f>
        <v>#DIV/0!</v>
      </c>
      <c r="P913" s="75" t="e">
        <f>SUM(P801:P912)</f>
        <v>#DIV/0!</v>
      </c>
      <c r="Q913" s="76" t="e">
        <f>SUM(Q801:Q912)</f>
        <v>#DIV/0!</v>
      </c>
      <c r="R913" s="75" t="e">
        <f>SUM(R801:R912)</f>
        <v>#DIV/0!</v>
      </c>
      <c r="S913" s="77" t="e">
        <f>SUM(S801:S912)</f>
        <v>#DIV/0!</v>
      </c>
    </row>
    <row r="914" spans="1:19" x14ac:dyDescent="0.2">
      <c r="A914" s="82" t="s">
        <v>1056</v>
      </c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72"/>
    </row>
    <row r="915" spans="1:19" x14ac:dyDescent="0.2">
      <c r="A915" s="83" t="s">
        <v>1057</v>
      </c>
      <c r="B915" s="84" t="s">
        <v>35</v>
      </c>
      <c r="C915" s="84" t="s">
        <v>313</v>
      </c>
      <c r="D915" s="84" t="s">
        <v>314</v>
      </c>
      <c r="E915" s="85" t="s">
        <v>421</v>
      </c>
      <c r="F915" s="84" t="s">
        <v>387</v>
      </c>
      <c r="G915" s="84" t="s">
        <v>241</v>
      </c>
      <c r="H915" s="84" t="s">
        <v>13</v>
      </c>
      <c r="I915" s="84" t="s">
        <v>235</v>
      </c>
      <c r="J915" s="85" t="s">
        <v>242</v>
      </c>
      <c r="K915" s="86">
        <v>17.600000000000001</v>
      </c>
      <c r="L915" s="86">
        <f>K915*VLOOKUP(H915,dagsoorttabel1,2,FALSE)</f>
        <v>3.5200000000000005</v>
      </c>
      <c r="M915" s="87">
        <f>prodnorm56</f>
        <v>0</v>
      </c>
      <c r="N915" s="84" t="s">
        <v>101</v>
      </c>
      <c r="O915" s="88">
        <f>uurtarief56</f>
        <v>0</v>
      </c>
      <c r="P915" s="86" t="e">
        <f>IF(ISBLANK(M915),0,L915/ROUND(M915,4))</f>
        <v>#DIV/0!</v>
      </c>
      <c r="Q915" s="88" t="e">
        <f>ROUND(O915,2)*P915</f>
        <v>#DIV/0!</v>
      </c>
      <c r="R915" s="86" t="e">
        <f>P915*dagenperjaar1</f>
        <v>#DIV/0!</v>
      </c>
      <c r="S915" s="89" t="e">
        <f>R915*ROUND(O915,2)</f>
        <v>#DIV/0!</v>
      </c>
    </row>
    <row r="916" spans="1:19" x14ac:dyDescent="0.2">
      <c r="A916" s="90" t="s">
        <v>1057</v>
      </c>
      <c r="B916" s="91" t="s">
        <v>35</v>
      </c>
      <c r="C916" s="91" t="s">
        <v>313</v>
      </c>
      <c r="D916" s="91" t="s">
        <v>317</v>
      </c>
      <c r="E916" s="92" t="s">
        <v>421</v>
      </c>
      <c r="F916" s="91" t="s">
        <v>387</v>
      </c>
      <c r="G916" s="91" t="s">
        <v>241</v>
      </c>
      <c r="H916" s="91" t="s">
        <v>13</v>
      </c>
      <c r="I916" s="91" t="s">
        <v>235</v>
      </c>
      <c r="J916" s="92" t="s">
        <v>242</v>
      </c>
      <c r="K916" s="93">
        <v>25.7</v>
      </c>
      <c r="L916" s="93">
        <f>K916*VLOOKUP(H916,dagsoorttabel1,2,FALSE)</f>
        <v>5.1400000000000006</v>
      </c>
      <c r="M916" s="94">
        <f>prodnorm56</f>
        <v>0</v>
      </c>
      <c r="N916" s="91" t="s">
        <v>101</v>
      </c>
      <c r="O916" s="26">
        <f>uurtarief56</f>
        <v>0</v>
      </c>
      <c r="P916" s="93" t="e">
        <f>IF(ISBLANK(M916),0,L916/ROUND(M916,4))</f>
        <v>#DIV/0!</v>
      </c>
      <c r="Q916" s="26" t="e">
        <f>ROUND(O916,2)*P916</f>
        <v>#DIV/0!</v>
      </c>
      <c r="R916" s="93" t="e">
        <f>P916*dagenperjaar1</f>
        <v>#DIV/0!</v>
      </c>
      <c r="S916" s="27" t="e">
        <f>R916*ROUND(O916,2)</f>
        <v>#DIV/0!</v>
      </c>
    </row>
    <row r="917" spans="1:19" x14ac:dyDescent="0.2">
      <c r="A917" s="90" t="s">
        <v>1057</v>
      </c>
      <c r="B917" s="91" t="s">
        <v>35</v>
      </c>
      <c r="C917" s="91" t="s">
        <v>313</v>
      </c>
      <c r="D917" s="91" t="s">
        <v>320</v>
      </c>
      <c r="E917" s="92" t="s">
        <v>419</v>
      </c>
      <c r="F917" s="91" t="s">
        <v>361</v>
      </c>
      <c r="G917" s="91" t="s">
        <v>283</v>
      </c>
      <c r="H917" s="91" t="s">
        <v>12</v>
      </c>
      <c r="I917" s="91" t="s">
        <v>235</v>
      </c>
      <c r="J917" s="92" t="s">
        <v>284</v>
      </c>
      <c r="K917" s="93">
        <v>45.4</v>
      </c>
      <c r="L917" s="93">
        <f>K917*VLOOKUP(H917,dagsoorttabel1,2,FALSE)</f>
        <v>18.16</v>
      </c>
      <c r="M917" s="94">
        <f>prodnorm107</f>
        <v>0</v>
      </c>
      <c r="N917" s="91" t="s">
        <v>101</v>
      </c>
      <c r="O917" s="26">
        <f>uurtarief107</f>
        <v>0</v>
      </c>
      <c r="P917" s="93" t="e">
        <f>IF(ISBLANK(M917),0,L917/ROUND(M917,4))</f>
        <v>#DIV/0!</v>
      </c>
      <c r="Q917" s="26" t="e">
        <f>ROUND(O917,2)*P917</f>
        <v>#DIV/0!</v>
      </c>
      <c r="R917" s="93" t="e">
        <f>P917*dagenperjaar1</f>
        <v>#DIV/0!</v>
      </c>
      <c r="S917" s="27" t="e">
        <f>R917*ROUND(O917,2)</f>
        <v>#DIV/0!</v>
      </c>
    </row>
    <row r="918" spans="1:19" x14ac:dyDescent="0.2">
      <c r="A918" s="90" t="s">
        <v>1057</v>
      </c>
      <c r="B918" s="91" t="s">
        <v>35</v>
      </c>
      <c r="C918" s="91" t="s">
        <v>313</v>
      </c>
      <c r="D918" s="91" t="s">
        <v>322</v>
      </c>
      <c r="E918" s="92" t="s">
        <v>419</v>
      </c>
      <c r="F918" s="91" t="s">
        <v>361</v>
      </c>
      <c r="G918" s="91" t="s">
        <v>283</v>
      </c>
      <c r="H918" s="91" t="s">
        <v>12</v>
      </c>
      <c r="I918" s="91" t="s">
        <v>235</v>
      </c>
      <c r="J918" s="92" t="s">
        <v>284</v>
      </c>
      <c r="K918" s="93">
        <v>16.2</v>
      </c>
      <c r="L918" s="93">
        <f>K918*VLOOKUP(H918,dagsoorttabel1,2,FALSE)</f>
        <v>6.48</v>
      </c>
      <c r="M918" s="94">
        <f>prodnorm107</f>
        <v>0</v>
      </c>
      <c r="N918" s="91" t="s">
        <v>101</v>
      </c>
      <c r="O918" s="26">
        <f>uurtarief107</f>
        <v>0</v>
      </c>
      <c r="P918" s="93" t="e">
        <f>IF(ISBLANK(M918),0,L918/ROUND(M918,4))</f>
        <v>#DIV/0!</v>
      </c>
      <c r="Q918" s="26" t="e">
        <f>ROUND(O918,2)*P918</f>
        <v>#DIV/0!</v>
      </c>
      <c r="R918" s="93" t="e">
        <f>P918*dagenperjaar1</f>
        <v>#DIV/0!</v>
      </c>
      <c r="S918" s="27" t="e">
        <f>R918*ROUND(O918,2)</f>
        <v>#DIV/0!</v>
      </c>
    </row>
    <row r="919" spans="1:19" ht="25.2" x14ac:dyDescent="0.2">
      <c r="A919" s="90" t="s">
        <v>1057</v>
      </c>
      <c r="B919" s="91" t="s">
        <v>35</v>
      </c>
      <c r="C919" s="91" t="s">
        <v>313</v>
      </c>
      <c r="D919" s="91" t="s">
        <v>324</v>
      </c>
      <c r="E919" s="92" t="s">
        <v>440</v>
      </c>
      <c r="F919" s="91" t="s">
        <v>387</v>
      </c>
      <c r="G919" s="91" t="s">
        <v>250</v>
      </c>
      <c r="H919" s="91" t="s">
        <v>12</v>
      </c>
      <c r="I919" s="91" t="s">
        <v>235</v>
      </c>
      <c r="J919" s="92" t="s">
        <v>251</v>
      </c>
      <c r="K919" s="93">
        <v>107.1</v>
      </c>
      <c r="L919" s="93">
        <f>K919*VLOOKUP(H919,dagsoorttabel1,2,FALSE)</f>
        <v>42.84</v>
      </c>
      <c r="M919" s="94">
        <f>prodnorm65</f>
        <v>0</v>
      </c>
      <c r="N919" s="91" t="s">
        <v>101</v>
      </c>
      <c r="O919" s="26">
        <f>uurtarief65</f>
        <v>0</v>
      </c>
      <c r="P919" s="93" t="e">
        <f>IF(ISBLANK(M919),0,L919/ROUND(M919,4))</f>
        <v>#DIV/0!</v>
      </c>
      <c r="Q919" s="26" t="e">
        <f>ROUND(O919,2)*P919</f>
        <v>#DIV/0!</v>
      </c>
      <c r="R919" s="93" t="e">
        <f>P919*dagenperjaar1</f>
        <v>#DIV/0!</v>
      </c>
      <c r="S919" s="27" t="e">
        <f>R919*ROUND(O919,2)</f>
        <v>#DIV/0!</v>
      </c>
    </row>
    <row r="920" spans="1:19" x14ac:dyDescent="0.2">
      <c r="A920" s="90" t="s">
        <v>1057</v>
      </c>
      <c r="B920" s="91" t="s">
        <v>35</v>
      </c>
      <c r="C920" s="91" t="s">
        <v>313</v>
      </c>
      <c r="D920" s="91" t="s">
        <v>325</v>
      </c>
      <c r="E920" s="92" t="s">
        <v>467</v>
      </c>
      <c r="F920" s="91" t="s">
        <v>361</v>
      </c>
      <c r="G920" s="91" t="s">
        <v>268</v>
      </c>
      <c r="H920" s="91" t="s">
        <v>12</v>
      </c>
      <c r="I920" s="91" t="s">
        <v>235</v>
      </c>
      <c r="J920" s="92" t="s">
        <v>269</v>
      </c>
      <c r="K920" s="93">
        <v>6.6</v>
      </c>
      <c r="L920" s="93">
        <f>K920*VLOOKUP(H920,dagsoorttabel1,2,FALSE)</f>
        <v>2.64</v>
      </c>
      <c r="M920" s="94">
        <f>prodnorm87</f>
        <v>0</v>
      </c>
      <c r="N920" s="91" t="s">
        <v>101</v>
      </c>
      <c r="O920" s="26">
        <f>uurtarief87</f>
        <v>0</v>
      </c>
      <c r="P920" s="93" t="e">
        <f>IF(ISBLANK(M920),0,L920/ROUND(M920,4))</f>
        <v>#DIV/0!</v>
      </c>
      <c r="Q920" s="26" t="e">
        <f>ROUND(O920,2)*P920</f>
        <v>#DIV/0!</v>
      </c>
      <c r="R920" s="93" t="e">
        <f>P920*dagenperjaar1</f>
        <v>#DIV/0!</v>
      </c>
      <c r="S920" s="27" t="e">
        <f>R920*ROUND(O920,2)</f>
        <v>#DIV/0!</v>
      </c>
    </row>
    <row r="921" spans="1:19" x14ac:dyDescent="0.2">
      <c r="A921" s="90" t="s">
        <v>1057</v>
      </c>
      <c r="B921" s="91" t="s">
        <v>35</v>
      </c>
      <c r="C921" s="91" t="s">
        <v>313</v>
      </c>
      <c r="D921" s="91" t="s">
        <v>327</v>
      </c>
      <c r="E921" s="92" t="s">
        <v>439</v>
      </c>
      <c r="F921" s="91" t="s">
        <v>361</v>
      </c>
      <c r="G921" s="91" t="s">
        <v>270</v>
      </c>
      <c r="H921" s="91" t="s">
        <v>13</v>
      </c>
      <c r="I921" s="91" t="s">
        <v>235</v>
      </c>
      <c r="J921" s="92" t="s">
        <v>271</v>
      </c>
      <c r="K921" s="93">
        <v>57.4</v>
      </c>
      <c r="L921" s="93">
        <f>K921*VLOOKUP(H921,dagsoorttabel1,2,FALSE)</f>
        <v>11.48</v>
      </c>
      <c r="M921" s="94">
        <f>prodnorm89</f>
        <v>0</v>
      </c>
      <c r="N921" s="91" t="s">
        <v>101</v>
      </c>
      <c r="O921" s="26">
        <f>uurtarief89</f>
        <v>0</v>
      </c>
      <c r="P921" s="93" t="e">
        <f>IF(ISBLANK(M921),0,L921/ROUND(M921,4))</f>
        <v>#DIV/0!</v>
      </c>
      <c r="Q921" s="26" t="e">
        <f>ROUND(O921,2)*P921</f>
        <v>#DIV/0!</v>
      </c>
      <c r="R921" s="93" t="e">
        <f>P921*dagenperjaar1</f>
        <v>#DIV/0!</v>
      </c>
      <c r="S921" s="27" t="e">
        <f>R921*ROUND(O921,2)</f>
        <v>#DIV/0!</v>
      </c>
    </row>
    <row r="922" spans="1:19" x14ac:dyDescent="0.2">
      <c r="A922" s="90" t="s">
        <v>1057</v>
      </c>
      <c r="B922" s="91" t="s">
        <v>35</v>
      </c>
      <c r="C922" s="91" t="s">
        <v>313</v>
      </c>
      <c r="D922" s="91" t="s">
        <v>330</v>
      </c>
      <c r="E922" s="92" t="s">
        <v>438</v>
      </c>
      <c r="F922" s="91" t="s">
        <v>329</v>
      </c>
      <c r="G922" s="91" t="s">
        <v>352</v>
      </c>
      <c r="H922" s="91"/>
      <c r="I922" s="91"/>
      <c r="J922" s="91"/>
      <c r="K922" s="93">
        <v>9.6</v>
      </c>
      <c r="L922" s="93"/>
      <c r="M922" s="94"/>
      <c r="N922" s="91"/>
      <c r="O922" s="26"/>
      <c r="P922" s="93"/>
      <c r="Q922" s="26"/>
      <c r="R922" s="95"/>
      <c r="S922" s="27"/>
    </row>
    <row r="923" spans="1:19" x14ac:dyDescent="0.2">
      <c r="A923" s="90" t="s">
        <v>1057</v>
      </c>
      <c r="B923" s="91" t="s">
        <v>35</v>
      </c>
      <c r="C923" s="91" t="s">
        <v>313</v>
      </c>
      <c r="D923" s="91" t="s">
        <v>332</v>
      </c>
      <c r="E923" s="92" t="s">
        <v>430</v>
      </c>
      <c r="F923" s="91" t="s">
        <v>329</v>
      </c>
      <c r="G923" s="91" t="s">
        <v>279</v>
      </c>
      <c r="H923" s="91" t="s">
        <v>13</v>
      </c>
      <c r="I923" s="91" t="s">
        <v>235</v>
      </c>
      <c r="J923" s="92" t="s">
        <v>280</v>
      </c>
      <c r="K923" s="93">
        <v>4.8</v>
      </c>
      <c r="L923" s="93">
        <f>K923*VLOOKUP(H923,dagsoorttabel1,2,FALSE)</f>
        <v>0.96</v>
      </c>
      <c r="M923" s="94">
        <f>prodnorm100</f>
        <v>0</v>
      </c>
      <c r="N923" s="91" t="s">
        <v>101</v>
      </c>
      <c r="O923" s="26">
        <f>uurtarief100</f>
        <v>0</v>
      </c>
      <c r="P923" s="93" t="e">
        <f>IF(ISBLANK(M923),0,L923/ROUND(M923,4))</f>
        <v>#DIV/0!</v>
      </c>
      <c r="Q923" s="26" t="e">
        <f>ROUND(O923,2)*P923</f>
        <v>#DIV/0!</v>
      </c>
      <c r="R923" s="93" t="e">
        <f>P923*dagenperjaar1</f>
        <v>#DIV/0!</v>
      </c>
      <c r="S923" s="27" t="e">
        <f>R923*ROUND(O923,2)</f>
        <v>#DIV/0!</v>
      </c>
    </row>
    <row r="924" spans="1:19" x14ac:dyDescent="0.2">
      <c r="A924" s="90" t="s">
        <v>1057</v>
      </c>
      <c r="B924" s="91" t="s">
        <v>35</v>
      </c>
      <c r="C924" s="91" t="s">
        <v>313</v>
      </c>
      <c r="D924" s="91" t="s">
        <v>334</v>
      </c>
      <c r="E924" s="92" t="s">
        <v>501</v>
      </c>
      <c r="F924" s="91" t="s">
        <v>329</v>
      </c>
      <c r="G924" s="91" t="s">
        <v>275</v>
      </c>
      <c r="H924" s="91" t="s">
        <v>13</v>
      </c>
      <c r="I924" s="91" t="s">
        <v>235</v>
      </c>
      <c r="J924" s="92" t="s">
        <v>276</v>
      </c>
      <c r="K924" s="93">
        <v>8.4500000000000011</v>
      </c>
      <c r="L924" s="93">
        <f>K924*VLOOKUP(H924,dagsoorttabel1,2,FALSE)</f>
        <v>1.6900000000000004</v>
      </c>
      <c r="M924" s="94">
        <f>prodnorm94</f>
        <v>0</v>
      </c>
      <c r="N924" s="91" t="s">
        <v>101</v>
      </c>
      <c r="O924" s="26">
        <f>uurtarief94</f>
        <v>0</v>
      </c>
      <c r="P924" s="93" t="e">
        <f>IF(ISBLANK(M924),0,L924/ROUND(M924,4))</f>
        <v>#DIV/0!</v>
      </c>
      <c r="Q924" s="26" t="e">
        <f>ROUND(O924,2)*P924</f>
        <v>#DIV/0!</v>
      </c>
      <c r="R924" s="93" t="e">
        <f>P924*dagenperjaar1</f>
        <v>#DIV/0!</v>
      </c>
      <c r="S924" s="27" t="e">
        <f>R924*ROUND(O924,2)</f>
        <v>#DIV/0!</v>
      </c>
    </row>
    <row r="925" spans="1:19" x14ac:dyDescent="0.2">
      <c r="A925" s="90" t="s">
        <v>1057</v>
      </c>
      <c r="B925" s="91" t="s">
        <v>35</v>
      </c>
      <c r="C925" s="91" t="s">
        <v>313</v>
      </c>
      <c r="D925" s="91" t="s">
        <v>336</v>
      </c>
      <c r="E925" s="92" t="s">
        <v>444</v>
      </c>
      <c r="F925" s="91" t="s">
        <v>329</v>
      </c>
      <c r="G925" s="91" t="s">
        <v>279</v>
      </c>
      <c r="H925" s="91" t="s">
        <v>12</v>
      </c>
      <c r="I925" s="91" t="s">
        <v>235</v>
      </c>
      <c r="J925" s="92" t="s">
        <v>280</v>
      </c>
      <c r="K925" s="93">
        <v>1.45</v>
      </c>
      <c r="L925" s="93">
        <f>K925*VLOOKUP(H925,dagsoorttabel1,2,FALSE)</f>
        <v>0.57999999999999996</v>
      </c>
      <c r="M925" s="94">
        <f>prodnorm101</f>
        <v>0</v>
      </c>
      <c r="N925" s="91" t="s">
        <v>101</v>
      </c>
      <c r="O925" s="26">
        <f>uurtarief101</f>
        <v>0</v>
      </c>
      <c r="P925" s="93" t="e">
        <f>IF(ISBLANK(M925),0,L925/ROUND(M925,4))</f>
        <v>#DIV/0!</v>
      </c>
      <c r="Q925" s="26" t="e">
        <f>ROUND(O925,2)*P925</f>
        <v>#DIV/0!</v>
      </c>
      <c r="R925" s="93" t="e">
        <f>P925*dagenperjaar1</f>
        <v>#DIV/0!</v>
      </c>
      <c r="S925" s="27" t="e">
        <f>R925*ROUND(O925,2)</f>
        <v>#DIV/0!</v>
      </c>
    </row>
    <row r="926" spans="1:19" x14ac:dyDescent="0.2">
      <c r="A926" s="90" t="s">
        <v>1057</v>
      </c>
      <c r="B926" s="91" t="s">
        <v>35</v>
      </c>
      <c r="C926" s="91" t="s">
        <v>313</v>
      </c>
      <c r="D926" s="91" t="s">
        <v>338</v>
      </c>
      <c r="E926" s="92" t="s">
        <v>444</v>
      </c>
      <c r="F926" s="91" t="s">
        <v>329</v>
      </c>
      <c r="G926" s="91" t="s">
        <v>279</v>
      </c>
      <c r="H926" s="91" t="s">
        <v>12</v>
      </c>
      <c r="I926" s="91" t="s">
        <v>235</v>
      </c>
      <c r="J926" s="92" t="s">
        <v>280</v>
      </c>
      <c r="K926" s="93">
        <v>1.45</v>
      </c>
      <c r="L926" s="93">
        <f>K926*VLOOKUP(H926,dagsoorttabel1,2,FALSE)</f>
        <v>0.57999999999999996</v>
      </c>
      <c r="M926" s="94">
        <f>prodnorm101</f>
        <v>0</v>
      </c>
      <c r="N926" s="91" t="s">
        <v>101</v>
      </c>
      <c r="O926" s="26">
        <f>uurtarief101</f>
        <v>0</v>
      </c>
      <c r="P926" s="93" t="e">
        <f>IF(ISBLANK(M926),0,L926/ROUND(M926,4))</f>
        <v>#DIV/0!</v>
      </c>
      <c r="Q926" s="26" t="e">
        <f>ROUND(O926,2)*P926</f>
        <v>#DIV/0!</v>
      </c>
      <c r="R926" s="93" t="e">
        <f>P926*dagenperjaar1</f>
        <v>#DIV/0!</v>
      </c>
      <c r="S926" s="27" t="e">
        <f>R926*ROUND(O926,2)</f>
        <v>#DIV/0!</v>
      </c>
    </row>
    <row r="927" spans="1:19" x14ac:dyDescent="0.2">
      <c r="A927" s="90" t="s">
        <v>1057</v>
      </c>
      <c r="B927" s="91" t="s">
        <v>35</v>
      </c>
      <c r="C927" s="91" t="s">
        <v>313</v>
      </c>
      <c r="D927" s="91" t="s">
        <v>339</v>
      </c>
      <c r="E927" s="92" t="s">
        <v>1058</v>
      </c>
      <c r="F927" s="91" t="s">
        <v>329</v>
      </c>
      <c r="G927" s="91" t="s">
        <v>275</v>
      </c>
      <c r="H927" s="91" t="s">
        <v>13</v>
      </c>
      <c r="I927" s="91" t="s">
        <v>235</v>
      </c>
      <c r="J927" s="92" t="s">
        <v>276</v>
      </c>
      <c r="K927" s="93">
        <v>12.7</v>
      </c>
      <c r="L927" s="93">
        <f>K927*VLOOKUP(H927,dagsoorttabel1,2,FALSE)</f>
        <v>2.54</v>
      </c>
      <c r="M927" s="94">
        <f>prodnorm94</f>
        <v>0</v>
      </c>
      <c r="N927" s="91" t="s">
        <v>101</v>
      </c>
      <c r="O927" s="26">
        <f>uurtarief94</f>
        <v>0</v>
      </c>
      <c r="P927" s="93" t="e">
        <f>IF(ISBLANK(M927),0,L927/ROUND(M927,4))</f>
        <v>#DIV/0!</v>
      </c>
      <c r="Q927" s="26" t="e">
        <f>ROUND(O927,2)*P927</f>
        <v>#DIV/0!</v>
      </c>
      <c r="R927" s="93" t="e">
        <f>P927*dagenperjaar1</f>
        <v>#DIV/0!</v>
      </c>
      <c r="S927" s="27" t="e">
        <f>R927*ROUND(O927,2)</f>
        <v>#DIV/0!</v>
      </c>
    </row>
    <row r="928" spans="1:19" x14ac:dyDescent="0.2">
      <c r="A928" s="90" t="s">
        <v>1057</v>
      </c>
      <c r="B928" s="91" t="s">
        <v>35</v>
      </c>
      <c r="C928" s="91" t="s">
        <v>313</v>
      </c>
      <c r="D928" s="91" t="s">
        <v>341</v>
      </c>
      <c r="E928" s="92" t="s">
        <v>442</v>
      </c>
      <c r="F928" s="91" t="s">
        <v>329</v>
      </c>
      <c r="G928" s="91" t="s">
        <v>279</v>
      </c>
      <c r="H928" s="91" t="s">
        <v>12</v>
      </c>
      <c r="I928" s="91" t="s">
        <v>235</v>
      </c>
      <c r="J928" s="92" t="s">
        <v>280</v>
      </c>
      <c r="K928" s="93">
        <v>11.8</v>
      </c>
      <c r="L928" s="93">
        <f>K928*VLOOKUP(H928,dagsoorttabel1,2,FALSE)</f>
        <v>4.7200000000000006</v>
      </c>
      <c r="M928" s="94">
        <f>prodnorm101</f>
        <v>0</v>
      </c>
      <c r="N928" s="91" t="s">
        <v>101</v>
      </c>
      <c r="O928" s="26">
        <f>uurtarief101</f>
        <v>0</v>
      </c>
      <c r="P928" s="93" t="e">
        <f>IF(ISBLANK(M928),0,L928/ROUND(M928,4))</f>
        <v>#DIV/0!</v>
      </c>
      <c r="Q928" s="26" t="e">
        <f>ROUND(O928,2)*P928</f>
        <v>#DIV/0!</v>
      </c>
      <c r="R928" s="93" t="e">
        <f>P928*dagenperjaar1</f>
        <v>#DIV/0!</v>
      </c>
      <c r="S928" s="27" t="e">
        <f>R928*ROUND(O928,2)</f>
        <v>#DIV/0!</v>
      </c>
    </row>
    <row r="929" spans="1:19" x14ac:dyDescent="0.2">
      <c r="A929" s="90" t="s">
        <v>1057</v>
      </c>
      <c r="B929" s="91" t="s">
        <v>35</v>
      </c>
      <c r="C929" s="91" t="s">
        <v>313</v>
      </c>
      <c r="D929" s="91" t="s">
        <v>372</v>
      </c>
      <c r="E929" s="92" t="s">
        <v>421</v>
      </c>
      <c r="F929" s="91" t="s">
        <v>329</v>
      </c>
      <c r="G929" s="91" t="s">
        <v>239</v>
      </c>
      <c r="H929" s="91" t="s">
        <v>13</v>
      </c>
      <c r="I929" s="91" t="s">
        <v>235</v>
      </c>
      <c r="J929" s="92" t="s">
        <v>240</v>
      </c>
      <c r="K929" s="93">
        <v>15</v>
      </c>
      <c r="L929" s="93">
        <f>K929*VLOOKUP(H929,dagsoorttabel1,2,FALSE)</f>
        <v>3</v>
      </c>
      <c r="M929" s="94">
        <f>prodnorm53</f>
        <v>0</v>
      </c>
      <c r="N929" s="91" t="s">
        <v>101</v>
      </c>
      <c r="O929" s="26">
        <f>uurtarief53</f>
        <v>0</v>
      </c>
      <c r="P929" s="93" t="e">
        <f>IF(ISBLANK(M929),0,L929/ROUND(M929,4))</f>
        <v>#DIV/0!</v>
      </c>
      <c r="Q929" s="26" t="e">
        <f>ROUND(O929,2)*P929</f>
        <v>#DIV/0!</v>
      </c>
      <c r="R929" s="93" t="e">
        <f>P929*dagenperjaar1</f>
        <v>#DIV/0!</v>
      </c>
      <c r="S929" s="27" t="e">
        <f>R929*ROUND(O929,2)</f>
        <v>#DIV/0!</v>
      </c>
    </row>
    <row r="930" spans="1:19" x14ac:dyDescent="0.2">
      <c r="A930" s="90" t="s">
        <v>1057</v>
      </c>
      <c r="B930" s="91" t="s">
        <v>35</v>
      </c>
      <c r="C930" s="91" t="s">
        <v>313</v>
      </c>
      <c r="D930" s="91" t="s">
        <v>391</v>
      </c>
      <c r="E930" s="92" t="s">
        <v>458</v>
      </c>
      <c r="F930" s="91" t="s">
        <v>329</v>
      </c>
      <c r="G930" s="91" t="s">
        <v>281</v>
      </c>
      <c r="H930" s="91" t="s">
        <v>21</v>
      </c>
      <c r="I930" s="91" t="s">
        <v>235</v>
      </c>
      <c r="J930" s="92" t="s">
        <v>282</v>
      </c>
      <c r="K930" s="93">
        <v>20.399999999999999</v>
      </c>
      <c r="L930" s="93">
        <f>K930*VLOOKUP(H930,dagsoorttabel1,2,FALSE)</f>
        <v>7.8461538461538458E-2</v>
      </c>
      <c r="M930" s="94">
        <f>prodnorm103</f>
        <v>0</v>
      </c>
      <c r="N930" s="91" t="s">
        <v>101</v>
      </c>
      <c r="O930" s="26">
        <f>uurtarief103</f>
        <v>0</v>
      </c>
      <c r="P930" s="93" t="e">
        <f>IF(ISBLANK(M930),0,L930/ROUND(M930,4))</f>
        <v>#DIV/0!</v>
      </c>
      <c r="Q930" s="26" t="e">
        <f>ROUND(O930,2)*P930</f>
        <v>#DIV/0!</v>
      </c>
      <c r="R930" s="93" t="e">
        <f>P930*dagenperjaar1</f>
        <v>#DIV/0!</v>
      </c>
      <c r="S930" s="27" t="e">
        <f>R930*ROUND(O930,2)</f>
        <v>#DIV/0!</v>
      </c>
    </row>
    <row r="931" spans="1:19" x14ac:dyDescent="0.2">
      <c r="A931" s="90" t="s">
        <v>1057</v>
      </c>
      <c r="B931" s="91" t="s">
        <v>35</v>
      </c>
      <c r="C931" s="91" t="s">
        <v>313</v>
      </c>
      <c r="D931" s="91" t="s">
        <v>392</v>
      </c>
      <c r="E931" s="92" t="s">
        <v>438</v>
      </c>
      <c r="F931" s="91" t="s">
        <v>329</v>
      </c>
      <c r="G931" s="91" t="s">
        <v>352</v>
      </c>
      <c r="H931" s="91"/>
      <c r="I931" s="91"/>
      <c r="J931" s="91"/>
      <c r="K931" s="93">
        <v>5.4</v>
      </c>
      <c r="L931" s="93"/>
      <c r="M931" s="94"/>
      <c r="N931" s="91"/>
      <c r="O931" s="26"/>
      <c r="P931" s="93"/>
      <c r="Q931" s="26"/>
      <c r="R931" s="95"/>
      <c r="S931" s="27"/>
    </row>
    <row r="932" spans="1:19" x14ac:dyDescent="0.2">
      <c r="A932" s="90" t="s">
        <v>1057</v>
      </c>
      <c r="B932" s="91" t="s">
        <v>35</v>
      </c>
      <c r="C932" s="91" t="s">
        <v>313</v>
      </c>
      <c r="D932" s="91" t="s">
        <v>393</v>
      </c>
      <c r="E932" s="92" t="s">
        <v>506</v>
      </c>
      <c r="F932" s="91" t="s">
        <v>329</v>
      </c>
      <c r="G932" s="91" t="s">
        <v>277</v>
      </c>
      <c r="H932" s="91" t="s">
        <v>13</v>
      </c>
      <c r="I932" s="91" t="s">
        <v>235</v>
      </c>
      <c r="J932" s="92" t="s">
        <v>278</v>
      </c>
      <c r="K932" s="93">
        <v>30</v>
      </c>
      <c r="L932" s="93">
        <f>K932*VLOOKUP(H932,dagsoorttabel1,2,FALSE)</f>
        <v>6</v>
      </c>
      <c r="M932" s="94">
        <f>prodnorm97</f>
        <v>0</v>
      </c>
      <c r="N932" s="91" t="s">
        <v>101</v>
      </c>
      <c r="O932" s="26">
        <f>uurtarief97</f>
        <v>0</v>
      </c>
      <c r="P932" s="93" t="e">
        <f>IF(ISBLANK(M932),0,L932/ROUND(M932,4))</f>
        <v>#DIV/0!</v>
      </c>
      <c r="Q932" s="26" t="e">
        <f>ROUND(O932,2)*P932</f>
        <v>#DIV/0!</v>
      </c>
      <c r="R932" s="93" t="e">
        <f>P932*dagenperjaar1</f>
        <v>#DIV/0!</v>
      </c>
      <c r="S932" s="27" t="e">
        <f>R932*ROUND(O932,2)</f>
        <v>#DIV/0!</v>
      </c>
    </row>
    <row r="933" spans="1:19" x14ac:dyDescent="0.2">
      <c r="A933" s="90" t="s">
        <v>1057</v>
      </c>
      <c r="B933" s="91" t="s">
        <v>35</v>
      </c>
      <c r="C933" s="91" t="s">
        <v>313</v>
      </c>
      <c r="D933" s="91" t="s">
        <v>394</v>
      </c>
      <c r="E933" s="92" t="s">
        <v>418</v>
      </c>
      <c r="F933" s="91" t="s">
        <v>319</v>
      </c>
      <c r="G933" s="91" t="s">
        <v>279</v>
      </c>
      <c r="H933" s="91" t="s">
        <v>13</v>
      </c>
      <c r="I933" s="91" t="s">
        <v>235</v>
      </c>
      <c r="J933" s="92" t="s">
        <v>280</v>
      </c>
      <c r="K933" s="93">
        <v>2</v>
      </c>
      <c r="L933" s="93">
        <f>K933*VLOOKUP(H933,dagsoorttabel1,2,FALSE)</f>
        <v>0.4</v>
      </c>
      <c r="M933" s="94">
        <f>prodnorm100</f>
        <v>0</v>
      </c>
      <c r="N933" s="91" t="s">
        <v>101</v>
      </c>
      <c r="O933" s="26">
        <f>uurtarief100</f>
        <v>0</v>
      </c>
      <c r="P933" s="93" t="e">
        <f>IF(ISBLANK(M933),0,L933/ROUND(M933,4))</f>
        <v>#DIV/0!</v>
      </c>
      <c r="Q933" s="26" t="e">
        <f>ROUND(O933,2)*P933</f>
        <v>#DIV/0!</v>
      </c>
      <c r="R933" s="93" t="e">
        <f>P933*dagenperjaar1</f>
        <v>#DIV/0!</v>
      </c>
      <c r="S933" s="27" t="e">
        <f>R933*ROUND(O933,2)</f>
        <v>#DIV/0!</v>
      </c>
    </row>
    <row r="934" spans="1:19" x14ac:dyDescent="0.2">
      <c r="A934" s="90" t="s">
        <v>1057</v>
      </c>
      <c r="B934" s="91" t="s">
        <v>35</v>
      </c>
      <c r="C934" s="91" t="s">
        <v>313</v>
      </c>
      <c r="D934" s="91" t="s">
        <v>395</v>
      </c>
      <c r="E934" s="92" t="s">
        <v>465</v>
      </c>
      <c r="F934" s="91" t="s">
        <v>390</v>
      </c>
      <c r="G934" s="91" t="s">
        <v>352</v>
      </c>
      <c r="H934" s="91"/>
      <c r="I934" s="91"/>
      <c r="J934" s="91"/>
      <c r="K934" s="93">
        <v>18</v>
      </c>
      <c r="L934" s="93"/>
      <c r="M934" s="94"/>
      <c r="N934" s="91"/>
      <c r="O934" s="26"/>
      <c r="P934" s="93"/>
      <c r="Q934" s="26"/>
      <c r="R934" s="95"/>
      <c r="S934" s="27"/>
    </row>
    <row r="935" spans="1:19" x14ac:dyDescent="0.2">
      <c r="A935" s="90" t="s">
        <v>1057</v>
      </c>
      <c r="B935" s="91" t="s">
        <v>35</v>
      </c>
      <c r="C935" s="91" t="s">
        <v>313</v>
      </c>
      <c r="D935" s="91" t="s">
        <v>397</v>
      </c>
      <c r="E935" s="92" t="s">
        <v>438</v>
      </c>
      <c r="F935" s="91" t="s">
        <v>1059</v>
      </c>
      <c r="G935" s="91" t="s">
        <v>352</v>
      </c>
      <c r="H935" s="91"/>
      <c r="I935" s="91"/>
      <c r="J935" s="91"/>
      <c r="K935" s="93">
        <v>14.850000000000001</v>
      </c>
      <c r="L935" s="93"/>
      <c r="M935" s="94"/>
      <c r="N935" s="91"/>
      <c r="O935" s="26"/>
      <c r="P935" s="93"/>
      <c r="Q935" s="26"/>
      <c r="R935" s="95"/>
      <c r="S935" s="27"/>
    </row>
    <row r="936" spans="1:19" x14ac:dyDescent="0.2">
      <c r="A936" s="90" t="s">
        <v>1057</v>
      </c>
      <c r="B936" s="91" t="s">
        <v>35</v>
      </c>
      <c r="C936" s="91" t="s">
        <v>313</v>
      </c>
      <c r="D936" s="91" t="s">
        <v>399</v>
      </c>
      <c r="E936" s="92" t="s">
        <v>1060</v>
      </c>
      <c r="F936" s="91" t="s">
        <v>1061</v>
      </c>
      <c r="G936" s="91" t="s">
        <v>352</v>
      </c>
      <c r="H936" s="91"/>
      <c r="I936" s="91"/>
      <c r="J936" s="91"/>
      <c r="K936" s="93">
        <v>14.8</v>
      </c>
      <c r="L936" s="93"/>
      <c r="M936" s="94"/>
      <c r="N936" s="91"/>
      <c r="O936" s="26"/>
      <c r="P936" s="93"/>
      <c r="Q936" s="26"/>
      <c r="R936" s="95"/>
      <c r="S936" s="27"/>
    </row>
    <row r="937" spans="1:19" x14ac:dyDescent="0.2">
      <c r="A937" s="90" t="s">
        <v>1057</v>
      </c>
      <c r="B937" s="91" t="s">
        <v>35</v>
      </c>
      <c r="C937" s="91" t="s">
        <v>313</v>
      </c>
      <c r="D937" s="91" t="s">
        <v>401</v>
      </c>
      <c r="E937" s="92" t="s">
        <v>1060</v>
      </c>
      <c r="F937" s="91" t="s">
        <v>1061</v>
      </c>
      <c r="G937" s="91" t="s">
        <v>352</v>
      </c>
      <c r="H937" s="91"/>
      <c r="I937" s="91"/>
      <c r="J937" s="91"/>
      <c r="K937" s="93">
        <v>14.8</v>
      </c>
      <c r="L937" s="93"/>
      <c r="M937" s="94"/>
      <c r="N937" s="91"/>
      <c r="O937" s="26"/>
      <c r="P937" s="93"/>
      <c r="Q937" s="26"/>
      <c r="R937" s="95"/>
      <c r="S937" s="27"/>
    </row>
    <row r="938" spans="1:19" x14ac:dyDescent="0.2">
      <c r="A938" s="96" t="s">
        <v>1057</v>
      </c>
      <c r="B938" s="97" t="s">
        <v>35</v>
      </c>
      <c r="C938" s="97" t="s">
        <v>313</v>
      </c>
      <c r="D938" s="97" t="s">
        <v>486</v>
      </c>
      <c r="E938" s="98" t="s">
        <v>423</v>
      </c>
      <c r="F938" s="97" t="s">
        <v>1059</v>
      </c>
      <c r="G938" s="97" t="s">
        <v>252</v>
      </c>
      <c r="H938" s="97" t="s">
        <v>21</v>
      </c>
      <c r="I938" s="97" t="s">
        <v>235</v>
      </c>
      <c r="J938" s="98" t="s">
        <v>253</v>
      </c>
      <c r="K938" s="99">
        <v>272.65000000000003</v>
      </c>
      <c r="L938" s="99">
        <f>K938*VLOOKUP(H938,dagsoorttabel1,2,FALSE)</f>
        <v>1.0486538461538464</v>
      </c>
      <c r="M938" s="100">
        <f>prodnorm67</f>
        <v>0</v>
      </c>
      <c r="N938" s="97" t="s">
        <v>101</v>
      </c>
      <c r="O938" s="36">
        <f>uurtarief67</f>
        <v>0</v>
      </c>
      <c r="P938" s="99" t="e">
        <f>IF(ISBLANK(M938),0,L938/ROUND(M938,4))</f>
        <v>#DIV/0!</v>
      </c>
      <c r="Q938" s="36" t="e">
        <f>ROUND(O938,2)*P938</f>
        <v>#DIV/0!</v>
      </c>
      <c r="R938" s="99" t="e">
        <f>P938*dagenperjaar1</f>
        <v>#DIV/0!</v>
      </c>
      <c r="S938" s="37" t="e">
        <f>R938*ROUND(O938,2)</f>
        <v>#DIV/0!</v>
      </c>
    </row>
    <row r="939" spans="1:19" x14ac:dyDescent="0.2">
      <c r="A939" s="101" t="s">
        <v>356</v>
      </c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6" t="e">
        <f>IF(_xlfn.SINGLE(object25_urenjaar1)&gt;0,_xlfn.SINGLE(object25_prijsjaar1)/_xlfn.SINGLE(object25_urenjaar1),0)</f>
        <v>#DIV/0!</v>
      </c>
      <c r="P939" s="75" t="e">
        <f>SUM(P915:P938)</f>
        <v>#DIV/0!</v>
      </c>
      <c r="Q939" s="76" t="e">
        <f>SUM(Q915:Q938)</f>
        <v>#DIV/0!</v>
      </c>
      <c r="R939" s="75" t="e">
        <f>SUM(R915:R938)</f>
        <v>#DIV/0!</v>
      </c>
      <c r="S939" s="77" t="e">
        <f>SUM(S915:S938)</f>
        <v>#DIV/0!</v>
      </c>
    </row>
    <row r="940" spans="1:19" x14ac:dyDescent="0.2">
      <c r="A940" s="82" t="s">
        <v>1062</v>
      </c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72"/>
    </row>
    <row r="941" spans="1:19" x14ac:dyDescent="0.2">
      <c r="A941" s="83" t="s">
        <v>1063</v>
      </c>
      <c r="B941" s="84" t="s">
        <v>35</v>
      </c>
      <c r="C941" s="84" t="s">
        <v>313</v>
      </c>
      <c r="D941" s="84" t="s">
        <v>314</v>
      </c>
      <c r="E941" s="85" t="s">
        <v>1064</v>
      </c>
      <c r="F941" s="84" t="s">
        <v>347</v>
      </c>
      <c r="G941" s="84" t="s">
        <v>283</v>
      </c>
      <c r="H941" s="84" t="s">
        <v>12</v>
      </c>
      <c r="I941" s="84" t="s">
        <v>235</v>
      </c>
      <c r="J941" s="85" t="s">
        <v>284</v>
      </c>
      <c r="K941" s="86">
        <v>7.23</v>
      </c>
      <c r="L941" s="86">
        <f>K941*VLOOKUP(H941,dagsoorttabel1,2,FALSE)</f>
        <v>2.8920000000000003</v>
      </c>
      <c r="M941" s="87">
        <f>prodnorm107</f>
        <v>0</v>
      </c>
      <c r="N941" s="84" t="s">
        <v>101</v>
      </c>
      <c r="O941" s="88">
        <f>uurtarief107</f>
        <v>0</v>
      </c>
      <c r="P941" s="86" t="e">
        <f>IF(ISBLANK(M941),0,L941/ROUND(M941,4))</f>
        <v>#DIV/0!</v>
      </c>
      <c r="Q941" s="88" t="e">
        <f>ROUND(O941,2)*P941</f>
        <v>#DIV/0!</v>
      </c>
      <c r="R941" s="86" t="e">
        <f>P941*dagenperjaar1</f>
        <v>#DIV/0!</v>
      </c>
      <c r="S941" s="89" t="e">
        <f>R941*ROUND(O941,2)</f>
        <v>#DIV/0!</v>
      </c>
    </row>
    <row r="942" spans="1:19" x14ac:dyDescent="0.2">
      <c r="A942" s="90" t="s">
        <v>1063</v>
      </c>
      <c r="B942" s="91" t="s">
        <v>35</v>
      </c>
      <c r="C942" s="91" t="s">
        <v>313</v>
      </c>
      <c r="D942" s="91" t="s">
        <v>317</v>
      </c>
      <c r="E942" s="92" t="s">
        <v>367</v>
      </c>
      <c r="F942" s="91" t="s">
        <v>427</v>
      </c>
      <c r="G942" s="91" t="s">
        <v>283</v>
      </c>
      <c r="H942" s="91" t="s">
        <v>12</v>
      </c>
      <c r="I942" s="91" t="s">
        <v>235</v>
      </c>
      <c r="J942" s="92" t="s">
        <v>284</v>
      </c>
      <c r="K942" s="93">
        <v>31.69</v>
      </c>
      <c r="L942" s="93">
        <f>K942*VLOOKUP(H942,dagsoorttabel1,2,FALSE)</f>
        <v>12.676000000000002</v>
      </c>
      <c r="M942" s="94">
        <f>prodnorm107</f>
        <v>0</v>
      </c>
      <c r="N942" s="91" t="s">
        <v>101</v>
      </c>
      <c r="O942" s="26">
        <f>uurtarief107</f>
        <v>0</v>
      </c>
      <c r="P942" s="93" t="e">
        <f>IF(ISBLANK(M942),0,L942/ROUND(M942,4))</f>
        <v>#DIV/0!</v>
      </c>
      <c r="Q942" s="26" t="e">
        <f>ROUND(O942,2)*P942</f>
        <v>#DIV/0!</v>
      </c>
      <c r="R942" s="93" t="e">
        <f>P942*dagenperjaar1</f>
        <v>#DIV/0!</v>
      </c>
      <c r="S942" s="27" t="e">
        <f>R942*ROUND(O942,2)</f>
        <v>#DIV/0!</v>
      </c>
    </row>
    <row r="943" spans="1:19" x14ac:dyDescent="0.2">
      <c r="A943" s="90" t="s">
        <v>1063</v>
      </c>
      <c r="B943" s="91" t="s">
        <v>35</v>
      </c>
      <c r="C943" s="91" t="s">
        <v>313</v>
      </c>
      <c r="D943" s="91" t="s">
        <v>322</v>
      </c>
      <c r="E943" s="92" t="s">
        <v>1065</v>
      </c>
      <c r="F943" s="91" t="s">
        <v>347</v>
      </c>
      <c r="G943" s="91" t="s">
        <v>239</v>
      </c>
      <c r="H943" s="91" t="s">
        <v>13</v>
      </c>
      <c r="I943" s="91" t="s">
        <v>235</v>
      </c>
      <c r="J943" s="92" t="s">
        <v>240</v>
      </c>
      <c r="K943" s="93">
        <v>19.850000000000001</v>
      </c>
      <c r="L943" s="93">
        <f>K943*VLOOKUP(H943,dagsoorttabel1,2,FALSE)</f>
        <v>3.9700000000000006</v>
      </c>
      <c r="M943" s="94">
        <f>prodnorm53</f>
        <v>0</v>
      </c>
      <c r="N943" s="91" t="s">
        <v>101</v>
      </c>
      <c r="O943" s="26">
        <f>uurtarief53</f>
        <v>0</v>
      </c>
      <c r="P943" s="93" t="e">
        <f>IF(ISBLANK(M943),0,L943/ROUND(M943,4))</f>
        <v>#DIV/0!</v>
      </c>
      <c r="Q943" s="26" t="e">
        <f>ROUND(O943,2)*P943</f>
        <v>#DIV/0!</v>
      </c>
      <c r="R943" s="93" t="e">
        <f>P943*dagenperjaar1</f>
        <v>#DIV/0!</v>
      </c>
      <c r="S943" s="27" t="e">
        <f>R943*ROUND(O943,2)</f>
        <v>#DIV/0!</v>
      </c>
    </row>
    <row r="944" spans="1:19" x14ac:dyDescent="0.2">
      <c r="A944" s="90" t="s">
        <v>1063</v>
      </c>
      <c r="B944" s="91" t="s">
        <v>35</v>
      </c>
      <c r="C944" s="91" t="s">
        <v>313</v>
      </c>
      <c r="D944" s="91" t="s">
        <v>324</v>
      </c>
      <c r="E944" s="92" t="s">
        <v>1066</v>
      </c>
      <c r="F944" s="91" t="s">
        <v>347</v>
      </c>
      <c r="G944" s="91" t="s">
        <v>239</v>
      </c>
      <c r="H944" s="91" t="s">
        <v>13</v>
      </c>
      <c r="I944" s="91" t="s">
        <v>235</v>
      </c>
      <c r="J944" s="92" t="s">
        <v>240</v>
      </c>
      <c r="K944" s="93">
        <v>38.949999999999996</v>
      </c>
      <c r="L944" s="93">
        <f>K944*VLOOKUP(H944,dagsoorttabel1,2,FALSE)</f>
        <v>7.7899999999999991</v>
      </c>
      <c r="M944" s="94">
        <f>prodnorm53</f>
        <v>0</v>
      </c>
      <c r="N944" s="91" t="s">
        <v>101</v>
      </c>
      <c r="O944" s="26">
        <f>uurtarief53</f>
        <v>0</v>
      </c>
      <c r="P944" s="93" t="e">
        <f>IF(ISBLANK(M944),0,L944/ROUND(M944,4))</f>
        <v>#DIV/0!</v>
      </c>
      <c r="Q944" s="26" t="e">
        <f>ROUND(O944,2)*P944</f>
        <v>#DIV/0!</v>
      </c>
      <c r="R944" s="93" t="e">
        <f>P944*dagenperjaar1</f>
        <v>#DIV/0!</v>
      </c>
      <c r="S944" s="27" t="e">
        <f>R944*ROUND(O944,2)</f>
        <v>#DIV/0!</v>
      </c>
    </row>
    <row r="945" spans="1:19" x14ac:dyDescent="0.2">
      <c r="A945" s="90" t="s">
        <v>1063</v>
      </c>
      <c r="B945" s="91" t="s">
        <v>35</v>
      </c>
      <c r="C945" s="91" t="s">
        <v>313</v>
      </c>
      <c r="D945" s="91" t="s">
        <v>325</v>
      </c>
      <c r="E945" s="92" t="s">
        <v>1067</v>
      </c>
      <c r="F945" s="91" t="s">
        <v>347</v>
      </c>
      <c r="G945" s="91" t="s">
        <v>352</v>
      </c>
      <c r="H945" s="91"/>
      <c r="I945" s="91"/>
      <c r="J945" s="91"/>
      <c r="K945" s="93">
        <v>4.3</v>
      </c>
      <c r="L945" s="93"/>
      <c r="M945" s="94"/>
      <c r="N945" s="91"/>
      <c r="O945" s="26"/>
      <c r="P945" s="93"/>
      <c r="Q945" s="26"/>
      <c r="R945" s="95"/>
      <c r="S945" s="27"/>
    </row>
    <row r="946" spans="1:19" x14ac:dyDescent="0.2">
      <c r="A946" s="90" t="s">
        <v>1063</v>
      </c>
      <c r="B946" s="91" t="s">
        <v>35</v>
      </c>
      <c r="C946" s="91" t="s">
        <v>313</v>
      </c>
      <c r="D946" s="91" t="s">
        <v>327</v>
      </c>
      <c r="E946" s="92" t="s">
        <v>1068</v>
      </c>
      <c r="F946" s="91" t="s">
        <v>347</v>
      </c>
      <c r="G946" s="91" t="s">
        <v>239</v>
      </c>
      <c r="H946" s="91" t="s">
        <v>13</v>
      </c>
      <c r="I946" s="91" t="s">
        <v>235</v>
      </c>
      <c r="J946" s="92" t="s">
        <v>240</v>
      </c>
      <c r="K946" s="93">
        <v>18.2</v>
      </c>
      <c r="L946" s="93">
        <f>K946*VLOOKUP(H946,dagsoorttabel1,2,FALSE)</f>
        <v>3.64</v>
      </c>
      <c r="M946" s="94">
        <f>prodnorm53</f>
        <v>0</v>
      </c>
      <c r="N946" s="91" t="s">
        <v>101</v>
      </c>
      <c r="O946" s="26">
        <f>uurtarief53</f>
        <v>0</v>
      </c>
      <c r="P946" s="93" t="e">
        <f>IF(ISBLANK(M946),0,L946/ROUND(M946,4))</f>
        <v>#DIV/0!</v>
      </c>
      <c r="Q946" s="26" t="e">
        <f>ROUND(O946,2)*P946</f>
        <v>#DIV/0!</v>
      </c>
      <c r="R946" s="93" t="e">
        <f>P946*dagenperjaar1</f>
        <v>#DIV/0!</v>
      </c>
      <c r="S946" s="27" t="e">
        <f>R946*ROUND(O946,2)</f>
        <v>#DIV/0!</v>
      </c>
    </row>
    <row r="947" spans="1:19" ht="25.2" x14ac:dyDescent="0.2">
      <c r="A947" s="90" t="s">
        <v>1063</v>
      </c>
      <c r="B947" s="91" t="s">
        <v>35</v>
      </c>
      <c r="C947" s="91" t="s">
        <v>313</v>
      </c>
      <c r="D947" s="91" t="s">
        <v>330</v>
      </c>
      <c r="E947" s="92" t="s">
        <v>899</v>
      </c>
      <c r="F947" s="91" t="s">
        <v>347</v>
      </c>
      <c r="G947" s="91" t="s">
        <v>248</v>
      </c>
      <c r="H947" s="91" t="s">
        <v>13</v>
      </c>
      <c r="I947" s="91" t="s">
        <v>235</v>
      </c>
      <c r="J947" s="92" t="s">
        <v>249</v>
      </c>
      <c r="K947" s="93">
        <v>12.3</v>
      </c>
      <c r="L947" s="93">
        <f>K947*VLOOKUP(H947,dagsoorttabel1,2,FALSE)</f>
        <v>2.4600000000000004</v>
      </c>
      <c r="M947" s="94">
        <f>prodnorm61</f>
        <v>0</v>
      </c>
      <c r="N947" s="91" t="s">
        <v>101</v>
      </c>
      <c r="O947" s="26">
        <f>uurtarief61</f>
        <v>0</v>
      </c>
      <c r="P947" s="93" t="e">
        <f>IF(ISBLANK(M947),0,L947/ROUND(M947,4))</f>
        <v>#DIV/0!</v>
      </c>
      <c r="Q947" s="26" t="e">
        <f>ROUND(O947,2)*P947</f>
        <v>#DIV/0!</v>
      </c>
      <c r="R947" s="93" t="e">
        <f>P947*dagenperjaar1</f>
        <v>#DIV/0!</v>
      </c>
      <c r="S947" s="27" t="e">
        <f>R947*ROUND(O947,2)</f>
        <v>#DIV/0!</v>
      </c>
    </row>
    <row r="948" spans="1:19" x14ac:dyDescent="0.2">
      <c r="A948" s="90" t="s">
        <v>1063</v>
      </c>
      <c r="B948" s="91" t="s">
        <v>35</v>
      </c>
      <c r="C948" s="91" t="s">
        <v>313</v>
      </c>
      <c r="D948" s="91" t="s">
        <v>332</v>
      </c>
      <c r="E948" s="92" t="s">
        <v>328</v>
      </c>
      <c r="F948" s="91" t="s">
        <v>427</v>
      </c>
      <c r="G948" s="91" t="s">
        <v>275</v>
      </c>
      <c r="H948" s="91" t="s">
        <v>13</v>
      </c>
      <c r="I948" s="91" t="s">
        <v>235</v>
      </c>
      <c r="J948" s="92" t="s">
        <v>276</v>
      </c>
      <c r="K948" s="93">
        <v>4.7</v>
      </c>
      <c r="L948" s="93">
        <f>K948*VLOOKUP(H948,dagsoorttabel1,2,FALSE)</f>
        <v>0.94000000000000006</v>
      </c>
      <c r="M948" s="94">
        <f>prodnorm94</f>
        <v>0</v>
      </c>
      <c r="N948" s="91" t="s">
        <v>101</v>
      </c>
      <c r="O948" s="26">
        <f>uurtarief94</f>
        <v>0</v>
      </c>
      <c r="P948" s="93" t="e">
        <f>IF(ISBLANK(M948),0,L948/ROUND(M948,4))</f>
        <v>#DIV/0!</v>
      </c>
      <c r="Q948" s="26" t="e">
        <f>ROUND(O948,2)*P948</f>
        <v>#DIV/0!</v>
      </c>
      <c r="R948" s="93" t="e">
        <f>P948*dagenperjaar1</f>
        <v>#DIV/0!</v>
      </c>
      <c r="S948" s="27" t="e">
        <f>R948*ROUND(O948,2)</f>
        <v>#DIV/0!</v>
      </c>
    </row>
    <row r="949" spans="1:19" x14ac:dyDescent="0.2">
      <c r="A949" s="90" t="s">
        <v>1063</v>
      </c>
      <c r="B949" s="91" t="s">
        <v>35</v>
      </c>
      <c r="C949" s="91" t="s">
        <v>313</v>
      </c>
      <c r="D949" s="91" t="s">
        <v>334</v>
      </c>
      <c r="E949" s="92" t="s">
        <v>333</v>
      </c>
      <c r="F949" s="91" t="s">
        <v>427</v>
      </c>
      <c r="G949" s="91" t="s">
        <v>279</v>
      </c>
      <c r="H949" s="91" t="s">
        <v>12</v>
      </c>
      <c r="I949" s="91" t="s">
        <v>235</v>
      </c>
      <c r="J949" s="92" t="s">
        <v>280</v>
      </c>
      <c r="K949" s="93">
        <v>1.25</v>
      </c>
      <c r="L949" s="93">
        <f>K949*VLOOKUP(H949,dagsoorttabel1,2,FALSE)</f>
        <v>0.5</v>
      </c>
      <c r="M949" s="94">
        <f>prodnorm101</f>
        <v>0</v>
      </c>
      <c r="N949" s="91" t="s">
        <v>101</v>
      </c>
      <c r="O949" s="26">
        <f>uurtarief101</f>
        <v>0</v>
      </c>
      <c r="P949" s="93" t="e">
        <f>IF(ISBLANK(M949),0,L949/ROUND(M949,4))</f>
        <v>#DIV/0!</v>
      </c>
      <c r="Q949" s="26" t="e">
        <f>ROUND(O949,2)*P949</f>
        <v>#DIV/0!</v>
      </c>
      <c r="R949" s="93" t="e">
        <f>P949*dagenperjaar1</f>
        <v>#DIV/0!</v>
      </c>
      <c r="S949" s="27" t="e">
        <f>R949*ROUND(O949,2)</f>
        <v>#DIV/0!</v>
      </c>
    </row>
    <row r="950" spans="1:19" x14ac:dyDescent="0.2">
      <c r="A950" s="90" t="s">
        <v>1063</v>
      </c>
      <c r="B950" s="91" t="s">
        <v>35</v>
      </c>
      <c r="C950" s="91" t="s">
        <v>313</v>
      </c>
      <c r="D950" s="91" t="s">
        <v>336</v>
      </c>
      <c r="E950" s="92" t="s">
        <v>1069</v>
      </c>
      <c r="F950" s="91" t="s">
        <v>427</v>
      </c>
      <c r="G950" s="91" t="s">
        <v>277</v>
      </c>
      <c r="H950" s="91" t="s">
        <v>13</v>
      </c>
      <c r="I950" s="91" t="s">
        <v>235</v>
      </c>
      <c r="J950" s="92" t="s">
        <v>278</v>
      </c>
      <c r="K950" s="93">
        <v>5.6499999999999995</v>
      </c>
      <c r="L950" s="93">
        <f>K950*VLOOKUP(H950,dagsoorttabel1,2,FALSE)</f>
        <v>1.1299999999999999</v>
      </c>
      <c r="M950" s="94">
        <f>prodnorm97</f>
        <v>0</v>
      </c>
      <c r="N950" s="91" t="s">
        <v>101</v>
      </c>
      <c r="O950" s="26">
        <f>uurtarief97</f>
        <v>0</v>
      </c>
      <c r="P950" s="93" t="e">
        <f>IF(ISBLANK(M950),0,L950/ROUND(M950,4))</f>
        <v>#DIV/0!</v>
      </c>
      <c r="Q950" s="26" t="e">
        <f>ROUND(O950,2)*P950</f>
        <v>#DIV/0!</v>
      </c>
      <c r="R950" s="93" t="e">
        <f>P950*dagenperjaar1</f>
        <v>#DIV/0!</v>
      </c>
      <c r="S950" s="27" t="e">
        <f>R950*ROUND(O950,2)</f>
        <v>#DIV/0!</v>
      </c>
    </row>
    <row r="951" spans="1:19" x14ac:dyDescent="0.2">
      <c r="A951" s="90" t="s">
        <v>1063</v>
      </c>
      <c r="B951" s="91" t="s">
        <v>35</v>
      </c>
      <c r="C951" s="91" t="s">
        <v>313</v>
      </c>
      <c r="D951" s="91" t="s">
        <v>338</v>
      </c>
      <c r="E951" s="92" t="s">
        <v>1070</v>
      </c>
      <c r="F951" s="91" t="s">
        <v>385</v>
      </c>
      <c r="G951" s="91" t="s">
        <v>352</v>
      </c>
      <c r="H951" s="91"/>
      <c r="I951" s="91"/>
      <c r="J951" s="91"/>
      <c r="K951" s="93">
        <v>0</v>
      </c>
      <c r="L951" s="93"/>
      <c r="M951" s="94"/>
      <c r="N951" s="91"/>
      <c r="O951" s="26"/>
      <c r="P951" s="93"/>
      <c r="Q951" s="26"/>
      <c r="R951" s="95"/>
      <c r="S951" s="27"/>
    </row>
    <row r="952" spans="1:19" x14ac:dyDescent="0.2">
      <c r="A952" s="90" t="s">
        <v>1063</v>
      </c>
      <c r="B952" s="91" t="s">
        <v>35</v>
      </c>
      <c r="C952" s="91" t="s">
        <v>313</v>
      </c>
      <c r="D952" s="91" t="s">
        <v>339</v>
      </c>
      <c r="E952" s="92" t="s">
        <v>1071</v>
      </c>
      <c r="F952" s="91" t="s">
        <v>427</v>
      </c>
      <c r="G952" s="91" t="s">
        <v>283</v>
      </c>
      <c r="H952" s="91" t="s">
        <v>13</v>
      </c>
      <c r="I952" s="91" t="s">
        <v>235</v>
      </c>
      <c r="J952" s="92" t="s">
        <v>284</v>
      </c>
      <c r="K952" s="93">
        <v>8.6999999999999993</v>
      </c>
      <c r="L952" s="93">
        <f>K952*VLOOKUP(H952,dagsoorttabel1,2,FALSE)</f>
        <v>1.74</v>
      </c>
      <c r="M952" s="94">
        <f>prodnorm106</f>
        <v>0</v>
      </c>
      <c r="N952" s="91" t="s">
        <v>101</v>
      </c>
      <c r="O952" s="26">
        <f>uurtarief106</f>
        <v>0</v>
      </c>
      <c r="P952" s="93" t="e">
        <f>IF(ISBLANK(M952),0,L952/ROUND(M952,4))</f>
        <v>#DIV/0!</v>
      </c>
      <c r="Q952" s="26" t="e">
        <f>ROUND(O952,2)*P952</f>
        <v>#DIV/0!</v>
      </c>
      <c r="R952" s="93" t="e">
        <f>P952*dagenperjaar1</f>
        <v>#DIV/0!</v>
      </c>
      <c r="S952" s="27" t="e">
        <f>R952*ROUND(O952,2)</f>
        <v>#DIV/0!</v>
      </c>
    </row>
    <row r="953" spans="1:19" ht="25.2" x14ac:dyDescent="0.2">
      <c r="A953" s="90" t="s">
        <v>1063</v>
      </c>
      <c r="B953" s="91" t="s">
        <v>35</v>
      </c>
      <c r="C953" s="91" t="s">
        <v>313</v>
      </c>
      <c r="D953" s="91" t="s">
        <v>372</v>
      </c>
      <c r="E953" s="92" t="s">
        <v>1072</v>
      </c>
      <c r="F953" s="91" t="s">
        <v>427</v>
      </c>
      <c r="G953" s="91" t="s">
        <v>293</v>
      </c>
      <c r="H953" s="91" t="s">
        <v>13</v>
      </c>
      <c r="I953" s="91" t="s">
        <v>235</v>
      </c>
      <c r="J953" s="92" t="s">
        <v>294</v>
      </c>
      <c r="K953" s="93">
        <v>4.5</v>
      </c>
      <c r="L953" s="93">
        <f>K953*VLOOKUP(H953,dagsoorttabel1,2,FALSE)</f>
        <v>0.9</v>
      </c>
      <c r="M953" s="94">
        <f>prodnorm119</f>
        <v>0</v>
      </c>
      <c r="N953" s="91" t="s">
        <v>101</v>
      </c>
      <c r="O953" s="26">
        <f>uurtarief119</f>
        <v>0</v>
      </c>
      <c r="P953" s="93" t="e">
        <f>IF(ISBLANK(M953),0,L953/ROUND(M953,4))</f>
        <v>#DIV/0!</v>
      </c>
      <c r="Q953" s="26" t="e">
        <f>ROUND(O953,2)*P953</f>
        <v>#DIV/0!</v>
      </c>
      <c r="R953" s="93" t="e">
        <f>P953*dagenperjaar1</f>
        <v>#DIV/0!</v>
      </c>
      <c r="S953" s="27" t="e">
        <f>R953*ROUND(O953,2)</f>
        <v>#DIV/0!</v>
      </c>
    </row>
    <row r="954" spans="1:19" x14ac:dyDescent="0.2">
      <c r="A954" s="90" t="s">
        <v>1063</v>
      </c>
      <c r="B954" s="91" t="s">
        <v>35</v>
      </c>
      <c r="C954" s="91" t="s">
        <v>313</v>
      </c>
      <c r="D954" s="91" t="s">
        <v>391</v>
      </c>
      <c r="E954" s="92" t="s">
        <v>1073</v>
      </c>
      <c r="F954" s="91" t="s">
        <v>427</v>
      </c>
      <c r="G954" s="91" t="s">
        <v>279</v>
      </c>
      <c r="H954" s="91" t="s">
        <v>13</v>
      </c>
      <c r="I954" s="91" t="s">
        <v>235</v>
      </c>
      <c r="J954" s="92" t="s">
        <v>280</v>
      </c>
      <c r="K954" s="93">
        <v>3.8</v>
      </c>
      <c r="L954" s="93">
        <f>K954*VLOOKUP(H954,dagsoorttabel1,2,FALSE)</f>
        <v>0.76</v>
      </c>
      <c r="M954" s="94">
        <f>prodnorm100</f>
        <v>0</v>
      </c>
      <c r="N954" s="91" t="s">
        <v>101</v>
      </c>
      <c r="O954" s="26">
        <f>uurtarief100</f>
        <v>0</v>
      </c>
      <c r="P954" s="93" t="e">
        <f>IF(ISBLANK(M954),0,L954/ROUND(M954,4))</f>
        <v>#DIV/0!</v>
      </c>
      <c r="Q954" s="26" t="e">
        <f>ROUND(O954,2)*P954</f>
        <v>#DIV/0!</v>
      </c>
      <c r="R954" s="93" t="e">
        <f>P954*dagenperjaar1</f>
        <v>#DIV/0!</v>
      </c>
      <c r="S954" s="27" t="e">
        <f>R954*ROUND(O954,2)</f>
        <v>#DIV/0!</v>
      </c>
    </row>
    <row r="955" spans="1:19" x14ac:dyDescent="0.2">
      <c r="A955" s="90" t="s">
        <v>1063</v>
      </c>
      <c r="B955" s="91" t="s">
        <v>35</v>
      </c>
      <c r="C955" s="91" t="s">
        <v>313</v>
      </c>
      <c r="D955" s="91" t="s">
        <v>392</v>
      </c>
      <c r="E955" s="92" t="s">
        <v>1074</v>
      </c>
      <c r="F955" s="91" t="s">
        <v>427</v>
      </c>
      <c r="G955" s="91" t="s">
        <v>277</v>
      </c>
      <c r="H955" s="91" t="s">
        <v>13</v>
      </c>
      <c r="I955" s="91" t="s">
        <v>235</v>
      </c>
      <c r="J955" s="92" t="s">
        <v>278</v>
      </c>
      <c r="K955" s="93">
        <v>14.8</v>
      </c>
      <c r="L955" s="93">
        <f>K955*VLOOKUP(H955,dagsoorttabel1,2,FALSE)</f>
        <v>2.9600000000000004</v>
      </c>
      <c r="M955" s="94">
        <f>prodnorm97</f>
        <v>0</v>
      </c>
      <c r="N955" s="91" t="s">
        <v>101</v>
      </c>
      <c r="O955" s="26">
        <f>uurtarief97</f>
        <v>0</v>
      </c>
      <c r="P955" s="93" t="e">
        <f>IF(ISBLANK(M955),0,L955/ROUND(M955,4))</f>
        <v>#DIV/0!</v>
      </c>
      <c r="Q955" s="26" t="e">
        <f>ROUND(O955,2)*P955</f>
        <v>#DIV/0!</v>
      </c>
      <c r="R955" s="93" t="e">
        <f>P955*dagenperjaar1</f>
        <v>#DIV/0!</v>
      </c>
      <c r="S955" s="27" t="e">
        <f>R955*ROUND(O955,2)</f>
        <v>#DIV/0!</v>
      </c>
    </row>
    <row r="956" spans="1:19" x14ac:dyDescent="0.2">
      <c r="A956" s="90" t="s">
        <v>1063</v>
      </c>
      <c r="B956" s="91" t="s">
        <v>35</v>
      </c>
      <c r="C956" s="91" t="s">
        <v>313</v>
      </c>
      <c r="D956" s="91" t="s">
        <v>393</v>
      </c>
      <c r="E956" s="92" t="s">
        <v>333</v>
      </c>
      <c r="F956" s="91" t="s">
        <v>427</v>
      </c>
      <c r="G956" s="91" t="s">
        <v>279</v>
      </c>
      <c r="H956" s="91" t="s">
        <v>12</v>
      </c>
      <c r="I956" s="91" t="s">
        <v>235</v>
      </c>
      <c r="J956" s="92" t="s">
        <v>280</v>
      </c>
      <c r="K956" s="93">
        <v>8.1999999999999993</v>
      </c>
      <c r="L956" s="93">
        <f>K956*VLOOKUP(H956,dagsoorttabel1,2,FALSE)</f>
        <v>3.28</v>
      </c>
      <c r="M956" s="94">
        <f>prodnorm101</f>
        <v>0</v>
      </c>
      <c r="N956" s="91" t="s">
        <v>101</v>
      </c>
      <c r="O956" s="26">
        <f>uurtarief101</f>
        <v>0</v>
      </c>
      <c r="P956" s="93" t="e">
        <f>IF(ISBLANK(M956),0,L956/ROUND(M956,4))</f>
        <v>#DIV/0!</v>
      </c>
      <c r="Q956" s="26" t="e">
        <f>ROUND(O956,2)*P956</f>
        <v>#DIV/0!</v>
      </c>
      <c r="R956" s="93" t="e">
        <f>P956*dagenperjaar1</f>
        <v>#DIV/0!</v>
      </c>
      <c r="S956" s="27" t="e">
        <f>R956*ROUND(O956,2)</f>
        <v>#DIV/0!</v>
      </c>
    </row>
    <row r="957" spans="1:19" x14ac:dyDescent="0.2">
      <c r="A957" s="90" t="s">
        <v>1063</v>
      </c>
      <c r="B957" s="91" t="s">
        <v>35</v>
      </c>
      <c r="C957" s="91" t="s">
        <v>313</v>
      </c>
      <c r="D957" s="91" t="s">
        <v>394</v>
      </c>
      <c r="E957" s="92" t="s">
        <v>328</v>
      </c>
      <c r="F957" s="91" t="s">
        <v>427</v>
      </c>
      <c r="G957" s="91" t="s">
        <v>275</v>
      </c>
      <c r="H957" s="91" t="s">
        <v>13</v>
      </c>
      <c r="I957" s="91" t="s">
        <v>235</v>
      </c>
      <c r="J957" s="92" t="s">
        <v>276</v>
      </c>
      <c r="K957" s="93">
        <v>9.6999999999999993</v>
      </c>
      <c r="L957" s="93">
        <f>K957*VLOOKUP(H957,dagsoorttabel1,2,FALSE)</f>
        <v>1.94</v>
      </c>
      <c r="M957" s="94">
        <f>prodnorm94</f>
        <v>0</v>
      </c>
      <c r="N957" s="91" t="s">
        <v>101</v>
      </c>
      <c r="O957" s="26">
        <f>uurtarief94</f>
        <v>0</v>
      </c>
      <c r="P957" s="93" t="e">
        <f>IF(ISBLANK(M957),0,L957/ROUND(M957,4))</f>
        <v>#DIV/0!</v>
      </c>
      <c r="Q957" s="26" t="e">
        <f>ROUND(O957,2)*P957</f>
        <v>#DIV/0!</v>
      </c>
      <c r="R957" s="93" t="e">
        <f>P957*dagenperjaar1</f>
        <v>#DIV/0!</v>
      </c>
      <c r="S957" s="27" t="e">
        <f>R957*ROUND(O957,2)</f>
        <v>#DIV/0!</v>
      </c>
    </row>
    <row r="958" spans="1:19" x14ac:dyDescent="0.2">
      <c r="A958" s="90" t="s">
        <v>1063</v>
      </c>
      <c r="B958" s="91" t="s">
        <v>35</v>
      </c>
      <c r="C958" s="91" t="s">
        <v>313</v>
      </c>
      <c r="D958" s="91" t="s">
        <v>395</v>
      </c>
      <c r="E958" s="92" t="s">
        <v>884</v>
      </c>
      <c r="F958" s="91" t="s">
        <v>427</v>
      </c>
      <c r="G958" s="91" t="s">
        <v>277</v>
      </c>
      <c r="H958" s="91" t="s">
        <v>13</v>
      </c>
      <c r="I958" s="91" t="s">
        <v>235</v>
      </c>
      <c r="J958" s="92" t="s">
        <v>278</v>
      </c>
      <c r="K958" s="93">
        <v>31.95</v>
      </c>
      <c r="L958" s="93">
        <f>K958*VLOOKUP(H958,dagsoorttabel1,2,FALSE)</f>
        <v>6.3900000000000006</v>
      </c>
      <c r="M958" s="94">
        <f>prodnorm97</f>
        <v>0</v>
      </c>
      <c r="N958" s="91" t="s">
        <v>101</v>
      </c>
      <c r="O958" s="26">
        <f>uurtarief97</f>
        <v>0</v>
      </c>
      <c r="P958" s="93" t="e">
        <f>IF(ISBLANK(M958),0,L958/ROUND(M958,4))</f>
        <v>#DIV/0!</v>
      </c>
      <c r="Q958" s="26" t="e">
        <f>ROUND(O958,2)*P958</f>
        <v>#DIV/0!</v>
      </c>
      <c r="R958" s="93" t="e">
        <f>P958*dagenperjaar1</f>
        <v>#DIV/0!</v>
      </c>
      <c r="S958" s="27" t="e">
        <f>R958*ROUND(O958,2)</f>
        <v>#DIV/0!</v>
      </c>
    </row>
    <row r="959" spans="1:19" x14ac:dyDescent="0.2">
      <c r="A959" s="90" t="s">
        <v>1063</v>
      </c>
      <c r="B959" s="91" t="s">
        <v>35</v>
      </c>
      <c r="C959" s="91" t="s">
        <v>313</v>
      </c>
      <c r="D959" s="91" t="s">
        <v>397</v>
      </c>
      <c r="E959" s="92" t="s">
        <v>553</v>
      </c>
      <c r="F959" s="91" t="s">
        <v>329</v>
      </c>
      <c r="G959" s="91" t="s">
        <v>252</v>
      </c>
      <c r="H959" s="91" t="s">
        <v>21</v>
      </c>
      <c r="I959" s="91" t="s">
        <v>235</v>
      </c>
      <c r="J959" s="92" t="s">
        <v>253</v>
      </c>
      <c r="K959" s="93">
        <v>174.2</v>
      </c>
      <c r="L959" s="93">
        <f>K959*VLOOKUP(H959,dagsoorttabel1,2,FALSE)</f>
        <v>0.67</v>
      </c>
      <c r="M959" s="94">
        <f>prodnorm67</f>
        <v>0</v>
      </c>
      <c r="N959" s="91" t="s">
        <v>101</v>
      </c>
      <c r="O959" s="26">
        <f>uurtarief67</f>
        <v>0</v>
      </c>
      <c r="P959" s="93" t="e">
        <f>IF(ISBLANK(M959),0,L959/ROUND(M959,4))</f>
        <v>#DIV/0!</v>
      </c>
      <c r="Q959" s="26" t="e">
        <f>ROUND(O959,2)*P959</f>
        <v>#DIV/0!</v>
      </c>
      <c r="R959" s="93" t="e">
        <f>P959*dagenperjaar1</f>
        <v>#DIV/0!</v>
      </c>
      <c r="S959" s="27" t="e">
        <f>R959*ROUND(O959,2)</f>
        <v>#DIV/0!</v>
      </c>
    </row>
    <row r="960" spans="1:19" x14ac:dyDescent="0.2">
      <c r="A960" s="90" t="s">
        <v>1063</v>
      </c>
      <c r="B960" s="91" t="s">
        <v>35</v>
      </c>
      <c r="C960" s="91" t="s">
        <v>313</v>
      </c>
      <c r="D960" s="91" t="s">
        <v>399</v>
      </c>
      <c r="E960" s="92" t="s">
        <v>342</v>
      </c>
      <c r="F960" s="91" t="s">
        <v>427</v>
      </c>
      <c r="G960" s="91" t="s">
        <v>352</v>
      </c>
      <c r="H960" s="91"/>
      <c r="I960" s="91"/>
      <c r="J960" s="91"/>
      <c r="K960" s="93">
        <v>10.75</v>
      </c>
      <c r="L960" s="93"/>
      <c r="M960" s="94"/>
      <c r="N960" s="91"/>
      <c r="O960" s="26"/>
      <c r="P960" s="93"/>
      <c r="Q960" s="26"/>
      <c r="R960" s="95"/>
      <c r="S960" s="27"/>
    </row>
    <row r="961" spans="1:19" ht="25.2" x14ac:dyDescent="0.2">
      <c r="A961" s="90" t="s">
        <v>1063</v>
      </c>
      <c r="B961" s="91" t="s">
        <v>35</v>
      </c>
      <c r="C961" s="91" t="s">
        <v>313</v>
      </c>
      <c r="D961" s="91" t="s">
        <v>401</v>
      </c>
      <c r="E961" s="92" t="s">
        <v>1075</v>
      </c>
      <c r="F961" s="91" t="s">
        <v>427</v>
      </c>
      <c r="G961" s="91" t="s">
        <v>293</v>
      </c>
      <c r="H961" s="91" t="s">
        <v>21</v>
      </c>
      <c r="I961" s="91" t="s">
        <v>235</v>
      </c>
      <c r="J961" s="92" t="s">
        <v>294</v>
      </c>
      <c r="K961" s="93">
        <v>20.45</v>
      </c>
      <c r="L961" s="93">
        <f>K961*VLOOKUP(H961,dagsoorttabel1,2,FALSE)</f>
        <v>7.8653846153846158E-2</v>
      </c>
      <c r="M961" s="94">
        <f>prodnorm118</f>
        <v>0</v>
      </c>
      <c r="N961" s="91" t="s">
        <v>101</v>
      </c>
      <c r="O961" s="26">
        <f>uurtarief118</f>
        <v>0</v>
      </c>
      <c r="P961" s="93" t="e">
        <f>IF(ISBLANK(M961),0,L961/ROUND(M961,4))</f>
        <v>#DIV/0!</v>
      </c>
      <c r="Q961" s="26" t="e">
        <f>ROUND(O961,2)*P961</f>
        <v>#DIV/0!</v>
      </c>
      <c r="R961" s="93" t="e">
        <f>P961*dagenperjaar1</f>
        <v>#DIV/0!</v>
      </c>
      <c r="S961" s="27" t="e">
        <f>R961*ROUND(O961,2)</f>
        <v>#DIV/0!</v>
      </c>
    </row>
    <row r="962" spans="1:19" x14ac:dyDescent="0.2">
      <c r="A962" s="90" t="s">
        <v>1063</v>
      </c>
      <c r="B962" s="91" t="s">
        <v>35</v>
      </c>
      <c r="C962" s="91" t="s">
        <v>343</v>
      </c>
      <c r="D962" s="91" t="s">
        <v>344</v>
      </c>
      <c r="E962" s="92" t="s">
        <v>318</v>
      </c>
      <c r="F962" s="91" t="s">
        <v>1076</v>
      </c>
      <c r="G962" s="91" t="s">
        <v>298</v>
      </c>
      <c r="H962" s="91" t="s">
        <v>12</v>
      </c>
      <c r="I962" s="91" t="s">
        <v>235</v>
      </c>
      <c r="J962" s="92" t="s">
        <v>299</v>
      </c>
      <c r="K962" s="93">
        <v>5.5</v>
      </c>
      <c r="L962" s="93">
        <f>K962*VLOOKUP(H962,dagsoorttabel1,2,FALSE)</f>
        <v>2.2000000000000002</v>
      </c>
      <c r="M962" s="94">
        <f>prodnorm125</f>
        <v>0</v>
      </c>
      <c r="N962" s="91" t="s">
        <v>101</v>
      </c>
      <c r="O962" s="26">
        <f>uurtarief125</f>
        <v>0</v>
      </c>
      <c r="P962" s="93" t="e">
        <f>IF(ISBLANK(M962),0,L962/ROUND(M962,4))</f>
        <v>#DIV/0!</v>
      </c>
      <c r="Q962" s="26" t="e">
        <f>ROUND(O962,2)*P962</f>
        <v>#DIV/0!</v>
      </c>
      <c r="R962" s="93" t="e">
        <f>P962*dagenperjaar1</f>
        <v>#DIV/0!</v>
      </c>
      <c r="S962" s="27" t="e">
        <f>R962*ROUND(O962,2)</f>
        <v>#DIV/0!</v>
      </c>
    </row>
    <row r="963" spans="1:19" x14ac:dyDescent="0.2">
      <c r="A963" s="90" t="s">
        <v>1063</v>
      </c>
      <c r="B963" s="91" t="s">
        <v>35</v>
      </c>
      <c r="C963" s="91" t="s">
        <v>343</v>
      </c>
      <c r="D963" s="91" t="s">
        <v>345</v>
      </c>
      <c r="E963" s="92" t="s">
        <v>1077</v>
      </c>
      <c r="F963" s="91" t="s">
        <v>390</v>
      </c>
      <c r="G963" s="91" t="s">
        <v>270</v>
      </c>
      <c r="H963" s="91" t="s">
        <v>12</v>
      </c>
      <c r="I963" s="91" t="s">
        <v>235</v>
      </c>
      <c r="J963" s="92" t="s">
        <v>271</v>
      </c>
      <c r="K963" s="93">
        <v>49.3</v>
      </c>
      <c r="L963" s="93">
        <f>K963*VLOOKUP(H963,dagsoorttabel1,2,FALSE)</f>
        <v>19.72</v>
      </c>
      <c r="M963" s="94">
        <f>prodnorm90</f>
        <v>0</v>
      </c>
      <c r="N963" s="91" t="s">
        <v>101</v>
      </c>
      <c r="O963" s="26">
        <f>uurtarief90</f>
        <v>0</v>
      </c>
      <c r="P963" s="93" t="e">
        <f>IF(ISBLANK(M963),0,L963/ROUND(M963,4))</f>
        <v>#DIV/0!</v>
      </c>
      <c r="Q963" s="26" t="e">
        <f>ROUND(O963,2)*P963</f>
        <v>#DIV/0!</v>
      </c>
      <c r="R963" s="93" t="e">
        <f>P963*dagenperjaar1</f>
        <v>#DIV/0!</v>
      </c>
      <c r="S963" s="27" t="e">
        <f>R963*ROUND(O963,2)</f>
        <v>#DIV/0!</v>
      </c>
    </row>
    <row r="964" spans="1:19" x14ac:dyDescent="0.2">
      <c r="A964" s="90" t="s">
        <v>1063</v>
      </c>
      <c r="B964" s="91" t="s">
        <v>35</v>
      </c>
      <c r="C964" s="91" t="s">
        <v>343</v>
      </c>
      <c r="D964" s="91" t="s">
        <v>1078</v>
      </c>
      <c r="E964" s="92" t="s">
        <v>367</v>
      </c>
      <c r="F964" s="91" t="s">
        <v>427</v>
      </c>
      <c r="G964" s="91" t="s">
        <v>283</v>
      </c>
      <c r="H964" s="91" t="s">
        <v>12</v>
      </c>
      <c r="I964" s="91" t="s">
        <v>235</v>
      </c>
      <c r="J964" s="92" t="s">
        <v>284</v>
      </c>
      <c r="K964" s="93">
        <v>26.5</v>
      </c>
      <c r="L964" s="93">
        <f>K964*VLOOKUP(H964,dagsoorttabel1,2,FALSE)</f>
        <v>10.600000000000001</v>
      </c>
      <c r="M964" s="94">
        <f>prodnorm107</f>
        <v>0</v>
      </c>
      <c r="N964" s="91" t="s">
        <v>101</v>
      </c>
      <c r="O964" s="26">
        <f>uurtarief107</f>
        <v>0</v>
      </c>
      <c r="P964" s="93" t="e">
        <f>IF(ISBLANK(M964),0,L964/ROUND(M964,4))</f>
        <v>#DIV/0!</v>
      </c>
      <c r="Q964" s="26" t="e">
        <f>ROUND(O964,2)*P964</f>
        <v>#DIV/0!</v>
      </c>
      <c r="R964" s="93" t="e">
        <f>P964*dagenperjaar1</f>
        <v>#DIV/0!</v>
      </c>
      <c r="S964" s="27" t="e">
        <f>R964*ROUND(O964,2)</f>
        <v>#DIV/0!</v>
      </c>
    </row>
    <row r="965" spans="1:19" x14ac:dyDescent="0.2">
      <c r="A965" s="90" t="s">
        <v>1063</v>
      </c>
      <c r="B965" s="91" t="s">
        <v>35</v>
      </c>
      <c r="C965" s="91" t="s">
        <v>343</v>
      </c>
      <c r="D965" s="91" t="s">
        <v>348</v>
      </c>
      <c r="E965" s="92" t="s">
        <v>367</v>
      </c>
      <c r="F965" s="91" t="s">
        <v>385</v>
      </c>
      <c r="G965" s="91" t="s">
        <v>283</v>
      </c>
      <c r="H965" s="91" t="s">
        <v>12</v>
      </c>
      <c r="I965" s="91" t="s">
        <v>235</v>
      </c>
      <c r="J965" s="92" t="s">
        <v>284</v>
      </c>
      <c r="K965" s="93">
        <v>29.3</v>
      </c>
      <c r="L965" s="93">
        <f>K965*VLOOKUP(H965,dagsoorttabel1,2,FALSE)</f>
        <v>11.72</v>
      </c>
      <c r="M965" s="94">
        <f>prodnorm107</f>
        <v>0</v>
      </c>
      <c r="N965" s="91" t="s">
        <v>101</v>
      </c>
      <c r="O965" s="26">
        <f>uurtarief107</f>
        <v>0</v>
      </c>
      <c r="P965" s="93" t="e">
        <f>IF(ISBLANK(M965),0,L965/ROUND(M965,4))</f>
        <v>#DIV/0!</v>
      </c>
      <c r="Q965" s="26" t="e">
        <f>ROUND(O965,2)*P965</f>
        <v>#DIV/0!</v>
      </c>
      <c r="R965" s="93" t="e">
        <f>P965*dagenperjaar1</f>
        <v>#DIV/0!</v>
      </c>
      <c r="S965" s="27" t="e">
        <f>R965*ROUND(O965,2)</f>
        <v>#DIV/0!</v>
      </c>
    </row>
    <row r="966" spans="1:19" x14ac:dyDescent="0.2">
      <c r="A966" s="90" t="s">
        <v>1063</v>
      </c>
      <c r="B966" s="91" t="s">
        <v>35</v>
      </c>
      <c r="C966" s="91" t="s">
        <v>343</v>
      </c>
      <c r="D966" s="91" t="s">
        <v>350</v>
      </c>
      <c r="E966" s="92" t="s">
        <v>1079</v>
      </c>
      <c r="F966" s="91" t="s">
        <v>35</v>
      </c>
      <c r="G966" s="91" t="s">
        <v>352</v>
      </c>
      <c r="H966" s="91"/>
      <c r="I966" s="91"/>
      <c r="J966" s="91"/>
      <c r="K966" s="93">
        <v>6.7</v>
      </c>
      <c r="L966" s="93"/>
      <c r="M966" s="94"/>
      <c r="N966" s="91"/>
      <c r="O966" s="26"/>
      <c r="P966" s="93"/>
      <c r="Q966" s="26"/>
      <c r="R966" s="95"/>
      <c r="S966" s="27"/>
    </row>
    <row r="967" spans="1:19" x14ac:dyDescent="0.2">
      <c r="A967" s="90" t="s">
        <v>1063</v>
      </c>
      <c r="B967" s="91" t="s">
        <v>35</v>
      </c>
      <c r="C967" s="91" t="s">
        <v>343</v>
      </c>
      <c r="D967" s="91" t="s">
        <v>350</v>
      </c>
      <c r="E967" s="92" t="s">
        <v>383</v>
      </c>
      <c r="F967" s="91" t="s">
        <v>1076</v>
      </c>
      <c r="G967" s="91" t="s">
        <v>291</v>
      </c>
      <c r="H967" s="91" t="s">
        <v>13</v>
      </c>
      <c r="I967" s="91" t="s">
        <v>235</v>
      </c>
      <c r="J967" s="92" t="s">
        <v>292</v>
      </c>
      <c r="K967" s="93">
        <v>1.44</v>
      </c>
      <c r="L967" s="93">
        <f>K967*VLOOKUP(H967,dagsoorttabel1,2,FALSE)</f>
        <v>0.28799999999999998</v>
      </c>
      <c r="M967" s="94">
        <f>prodnorm116</f>
        <v>0</v>
      </c>
      <c r="N967" s="91" t="s">
        <v>101</v>
      </c>
      <c r="O967" s="26">
        <f>uurtarief116</f>
        <v>0</v>
      </c>
      <c r="P967" s="93" t="e">
        <f>IF(ISBLANK(M967),0,L967/ROUND(M967,4))</f>
        <v>#DIV/0!</v>
      </c>
      <c r="Q967" s="26" t="e">
        <f>ROUND(O967,2)*P967</f>
        <v>#DIV/0!</v>
      </c>
      <c r="R967" s="93" t="e">
        <f>P967*dagenperjaar1</f>
        <v>#DIV/0!</v>
      </c>
      <c r="S967" s="27" t="e">
        <f>R967*ROUND(O967,2)</f>
        <v>#DIV/0!</v>
      </c>
    </row>
    <row r="968" spans="1:19" x14ac:dyDescent="0.2">
      <c r="A968" s="90" t="s">
        <v>1063</v>
      </c>
      <c r="B968" s="91" t="s">
        <v>35</v>
      </c>
      <c r="C968" s="91" t="s">
        <v>343</v>
      </c>
      <c r="D968" s="91" t="s">
        <v>353</v>
      </c>
      <c r="E968" s="92" t="s">
        <v>349</v>
      </c>
      <c r="F968" s="91" t="s">
        <v>427</v>
      </c>
      <c r="G968" s="91" t="s">
        <v>266</v>
      </c>
      <c r="H968" s="91" t="s">
        <v>12</v>
      </c>
      <c r="I968" s="91" t="s">
        <v>235</v>
      </c>
      <c r="J968" s="92" t="s">
        <v>267</v>
      </c>
      <c r="K968" s="93">
        <v>23.45</v>
      </c>
      <c r="L968" s="93">
        <f>K968*VLOOKUP(H968,dagsoorttabel1,2,FALSE)</f>
        <v>9.3800000000000008</v>
      </c>
      <c r="M968" s="94">
        <f>prodnorm84</f>
        <v>0</v>
      </c>
      <c r="N968" s="91" t="s">
        <v>101</v>
      </c>
      <c r="O968" s="26">
        <f>uurtarief84</f>
        <v>0</v>
      </c>
      <c r="P968" s="93" t="e">
        <f>IF(ISBLANK(M968),0,L968/ROUND(M968,4))</f>
        <v>#DIV/0!</v>
      </c>
      <c r="Q968" s="26" t="e">
        <f>ROUND(O968,2)*P968</f>
        <v>#DIV/0!</v>
      </c>
      <c r="R968" s="93" t="e">
        <f>P968*dagenperjaar1</f>
        <v>#DIV/0!</v>
      </c>
      <c r="S968" s="27" t="e">
        <f>R968*ROUND(O968,2)</f>
        <v>#DIV/0!</v>
      </c>
    </row>
    <row r="969" spans="1:19" x14ac:dyDescent="0.2">
      <c r="A969" s="90" t="s">
        <v>1063</v>
      </c>
      <c r="B969" s="91" t="s">
        <v>35</v>
      </c>
      <c r="C969" s="91" t="s">
        <v>343</v>
      </c>
      <c r="D969" s="91" t="s">
        <v>355</v>
      </c>
      <c r="E969" s="92" t="s">
        <v>404</v>
      </c>
      <c r="F969" s="91" t="s">
        <v>1080</v>
      </c>
      <c r="G969" s="91" t="s">
        <v>260</v>
      </c>
      <c r="H969" s="91" t="s">
        <v>12</v>
      </c>
      <c r="I969" s="91" t="s">
        <v>235</v>
      </c>
      <c r="J969" s="92" t="s">
        <v>261</v>
      </c>
      <c r="K969" s="93">
        <v>75.849999999999994</v>
      </c>
      <c r="L969" s="93">
        <f>K969*VLOOKUP(H969,dagsoorttabel1,2,FALSE)</f>
        <v>30.34</v>
      </c>
      <c r="M969" s="94">
        <f>prodnorm76</f>
        <v>0</v>
      </c>
      <c r="N969" s="91" t="s">
        <v>101</v>
      </c>
      <c r="O969" s="26">
        <f>uurtarief76</f>
        <v>0</v>
      </c>
      <c r="P969" s="93" t="e">
        <f>IF(ISBLANK(M969),0,L969/ROUND(M969,4))</f>
        <v>#DIV/0!</v>
      </c>
      <c r="Q969" s="26" t="e">
        <f>ROUND(O969,2)*P969</f>
        <v>#DIV/0!</v>
      </c>
      <c r="R969" s="93" t="e">
        <f>P969*dagenperjaar1</f>
        <v>#DIV/0!</v>
      </c>
      <c r="S969" s="27" t="e">
        <f>R969*ROUND(O969,2)</f>
        <v>#DIV/0!</v>
      </c>
    </row>
    <row r="970" spans="1:19" x14ac:dyDescent="0.2">
      <c r="A970" s="90" t="s">
        <v>1063</v>
      </c>
      <c r="B970" s="91" t="s">
        <v>35</v>
      </c>
      <c r="C970" s="91" t="s">
        <v>343</v>
      </c>
      <c r="D970" s="91" t="s">
        <v>405</v>
      </c>
      <c r="E970" s="92" t="s">
        <v>551</v>
      </c>
      <c r="F970" s="91" t="s">
        <v>427</v>
      </c>
      <c r="G970" s="91" t="s">
        <v>279</v>
      </c>
      <c r="H970" s="91" t="s">
        <v>12</v>
      </c>
      <c r="I970" s="91" t="s">
        <v>235</v>
      </c>
      <c r="J970" s="92" t="s">
        <v>280</v>
      </c>
      <c r="K970" s="93">
        <v>9.15</v>
      </c>
      <c r="L970" s="93">
        <f>K970*VLOOKUP(H970,dagsoorttabel1,2,FALSE)</f>
        <v>3.66</v>
      </c>
      <c r="M970" s="94">
        <f>prodnorm101</f>
        <v>0</v>
      </c>
      <c r="N970" s="91" t="s">
        <v>101</v>
      </c>
      <c r="O970" s="26">
        <f>uurtarief101</f>
        <v>0</v>
      </c>
      <c r="P970" s="93" t="e">
        <f>IF(ISBLANK(M970),0,L970/ROUND(M970,4))</f>
        <v>#DIV/0!</v>
      </c>
      <c r="Q970" s="26" t="e">
        <f>ROUND(O970,2)*P970</f>
        <v>#DIV/0!</v>
      </c>
      <c r="R970" s="93" t="e">
        <f>P970*dagenperjaar1</f>
        <v>#DIV/0!</v>
      </c>
      <c r="S970" s="27" t="e">
        <f>R970*ROUND(O970,2)</f>
        <v>#DIV/0!</v>
      </c>
    </row>
    <row r="971" spans="1:19" x14ac:dyDescent="0.2">
      <c r="A971" s="90" t="s">
        <v>1063</v>
      </c>
      <c r="B971" s="91" t="s">
        <v>35</v>
      </c>
      <c r="C971" s="91" t="s">
        <v>343</v>
      </c>
      <c r="D971" s="91" t="s">
        <v>406</v>
      </c>
      <c r="E971" s="92" t="s">
        <v>1073</v>
      </c>
      <c r="F971" s="91" t="s">
        <v>427</v>
      </c>
      <c r="G971" s="91" t="s">
        <v>279</v>
      </c>
      <c r="H971" s="91" t="s">
        <v>12</v>
      </c>
      <c r="I971" s="91" t="s">
        <v>235</v>
      </c>
      <c r="J971" s="92" t="s">
        <v>280</v>
      </c>
      <c r="K971" s="93">
        <v>1.24</v>
      </c>
      <c r="L971" s="93">
        <f>K971*VLOOKUP(H971,dagsoorttabel1,2,FALSE)</f>
        <v>0.496</v>
      </c>
      <c r="M971" s="94">
        <f>prodnorm101</f>
        <v>0</v>
      </c>
      <c r="N971" s="91" t="s">
        <v>101</v>
      </c>
      <c r="O971" s="26">
        <f>uurtarief101</f>
        <v>0</v>
      </c>
      <c r="P971" s="93" t="e">
        <f>IF(ISBLANK(M971),0,L971/ROUND(M971,4))</f>
        <v>#DIV/0!</v>
      </c>
      <c r="Q971" s="26" t="e">
        <f>ROUND(O971,2)*P971</f>
        <v>#DIV/0!</v>
      </c>
      <c r="R971" s="93" t="e">
        <f>P971*dagenperjaar1</f>
        <v>#DIV/0!</v>
      </c>
      <c r="S971" s="27" t="e">
        <f>R971*ROUND(O971,2)</f>
        <v>#DIV/0!</v>
      </c>
    </row>
    <row r="972" spans="1:19" x14ac:dyDescent="0.2">
      <c r="A972" s="90" t="s">
        <v>1063</v>
      </c>
      <c r="B972" s="91" t="s">
        <v>35</v>
      </c>
      <c r="C972" s="91" t="s">
        <v>343</v>
      </c>
      <c r="D972" s="91" t="s">
        <v>407</v>
      </c>
      <c r="E972" s="92" t="s">
        <v>318</v>
      </c>
      <c r="F972" s="91" t="s">
        <v>1076</v>
      </c>
      <c r="G972" s="91" t="s">
        <v>298</v>
      </c>
      <c r="H972" s="91" t="s">
        <v>13</v>
      </c>
      <c r="I972" s="91" t="s">
        <v>235</v>
      </c>
      <c r="J972" s="92" t="s">
        <v>299</v>
      </c>
      <c r="K972" s="93">
        <v>5</v>
      </c>
      <c r="L972" s="93">
        <f>K972*VLOOKUP(H972,dagsoorttabel1,2,FALSE)</f>
        <v>1</v>
      </c>
      <c r="M972" s="94">
        <f>prodnorm124</f>
        <v>0</v>
      </c>
      <c r="N972" s="91" t="s">
        <v>101</v>
      </c>
      <c r="O972" s="26">
        <f>uurtarief124</f>
        <v>0</v>
      </c>
      <c r="P972" s="93" t="e">
        <f>IF(ISBLANK(M972),0,L972/ROUND(M972,4))</f>
        <v>#DIV/0!</v>
      </c>
      <c r="Q972" s="26" t="e">
        <f>ROUND(O972,2)*P972</f>
        <v>#DIV/0!</v>
      </c>
      <c r="R972" s="93" t="e">
        <f>P972*dagenperjaar1</f>
        <v>#DIV/0!</v>
      </c>
      <c r="S972" s="27" t="e">
        <f>R972*ROUND(O972,2)</f>
        <v>#DIV/0!</v>
      </c>
    </row>
    <row r="973" spans="1:19" x14ac:dyDescent="0.2">
      <c r="A973" s="90" t="s">
        <v>1063</v>
      </c>
      <c r="B973" s="91" t="s">
        <v>35</v>
      </c>
      <c r="C973" s="91" t="s">
        <v>343</v>
      </c>
      <c r="D973" s="91" t="s">
        <v>1081</v>
      </c>
      <c r="E973" s="92" t="s">
        <v>404</v>
      </c>
      <c r="F973" s="91" t="s">
        <v>347</v>
      </c>
      <c r="G973" s="91" t="s">
        <v>260</v>
      </c>
      <c r="H973" s="91" t="s">
        <v>12</v>
      </c>
      <c r="I973" s="91" t="s">
        <v>235</v>
      </c>
      <c r="J973" s="92" t="s">
        <v>261</v>
      </c>
      <c r="K973" s="93">
        <v>31.85</v>
      </c>
      <c r="L973" s="93">
        <f>K973*VLOOKUP(H973,dagsoorttabel1,2,FALSE)</f>
        <v>12.740000000000002</v>
      </c>
      <c r="M973" s="94">
        <f>prodnorm76</f>
        <v>0</v>
      </c>
      <c r="N973" s="91" t="s">
        <v>101</v>
      </c>
      <c r="O973" s="26">
        <f>uurtarief76</f>
        <v>0</v>
      </c>
      <c r="P973" s="93" t="e">
        <f>IF(ISBLANK(M973),0,L973/ROUND(M973,4))</f>
        <v>#DIV/0!</v>
      </c>
      <c r="Q973" s="26" t="e">
        <f>ROUND(O973,2)*P973</f>
        <v>#DIV/0!</v>
      </c>
      <c r="R973" s="93" t="e">
        <f>P973*dagenperjaar1</f>
        <v>#DIV/0!</v>
      </c>
      <c r="S973" s="27" t="e">
        <f>R973*ROUND(O973,2)</f>
        <v>#DIV/0!</v>
      </c>
    </row>
    <row r="974" spans="1:19" x14ac:dyDescent="0.2">
      <c r="A974" s="96" t="s">
        <v>1063</v>
      </c>
      <c r="B974" s="97" t="s">
        <v>35</v>
      </c>
      <c r="C974" s="97" t="s">
        <v>343</v>
      </c>
      <c r="D974" s="97" t="s">
        <v>691</v>
      </c>
      <c r="E974" s="98" t="s">
        <v>351</v>
      </c>
      <c r="F974" s="97" t="s">
        <v>385</v>
      </c>
      <c r="G974" s="97" t="s">
        <v>352</v>
      </c>
      <c r="H974" s="97"/>
      <c r="I974" s="97"/>
      <c r="J974" s="97"/>
      <c r="K974" s="99">
        <v>18.559999999999999</v>
      </c>
      <c r="L974" s="99"/>
      <c r="M974" s="100"/>
      <c r="N974" s="97"/>
      <c r="O974" s="36"/>
      <c r="P974" s="99"/>
      <c r="Q974" s="36"/>
      <c r="R974" s="102"/>
      <c r="S974" s="37"/>
    </row>
    <row r="975" spans="1:19" x14ac:dyDescent="0.2">
      <c r="A975" s="101" t="s">
        <v>356</v>
      </c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6" t="e">
        <f>IF(_xlfn.SINGLE(object26_urenjaar1)&gt;0,_xlfn.SINGLE(object26_prijsjaar1)/_xlfn.SINGLE(object26_urenjaar1),0)</f>
        <v>#DIV/0!</v>
      </c>
      <c r="P975" s="75" t="e">
        <f>SUM(P941:P974)</f>
        <v>#DIV/0!</v>
      </c>
      <c r="Q975" s="76" t="e">
        <f>SUM(Q941:Q974)</f>
        <v>#DIV/0!</v>
      </c>
      <c r="R975" s="75" t="e">
        <f>SUM(R941:R974)</f>
        <v>#DIV/0!</v>
      </c>
      <c r="S975" s="77" t="e">
        <f>SUM(S941:S974)</f>
        <v>#DIV/0!</v>
      </c>
    </row>
    <row r="976" spans="1:19" x14ac:dyDescent="0.2">
      <c r="A976" s="82" t="s">
        <v>1082</v>
      </c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72"/>
    </row>
    <row r="977" spans="1:19" x14ac:dyDescent="0.2">
      <c r="A977" s="83" t="s">
        <v>1083</v>
      </c>
      <c r="B977" s="84" t="s">
        <v>35</v>
      </c>
      <c r="C977" s="84" t="s">
        <v>313</v>
      </c>
      <c r="D977" s="84" t="s">
        <v>314</v>
      </c>
      <c r="E977" s="85" t="s">
        <v>1064</v>
      </c>
      <c r="F977" s="84" t="s">
        <v>387</v>
      </c>
      <c r="G977" s="84" t="s">
        <v>289</v>
      </c>
      <c r="H977" s="84" t="s">
        <v>12</v>
      </c>
      <c r="I977" s="84" t="s">
        <v>235</v>
      </c>
      <c r="J977" s="85" t="s">
        <v>290</v>
      </c>
      <c r="K977" s="86">
        <v>16.670000000000002</v>
      </c>
      <c r="L977" s="86">
        <f>K977*VLOOKUP(H977,dagsoorttabel1,2,FALSE)</f>
        <v>6.668000000000001</v>
      </c>
      <c r="M977" s="87">
        <f>prodnorm114</f>
        <v>0</v>
      </c>
      <c r="N977" s="84" t="s">
        <v>101</v>
      </c>
      <c r="O977" s="88">
        <f>uurtarief114</f>
        <v>0</v>
      </c>
      <c r="P977" s="86" t="e">
        <f>IF(ISBLANK(M977),0,L977/ROUND(M977,4))</f>
        <v>#DIV/0!</v>
      </c>
      <c r="Q977" s="88" t="e">
        <f>ROUND(O977,2)*P977</f>
        <v>#DIV/0!</v>
      </c>
      <c r="R977" s="86" t="e">
        <f>P977*dagenperjaar1</f>
        <v>#DIV/0!</v>
      </c>
      <c r="S977" s="89" t="e">
        <f>R977*ROUND(O977,2)</f>
        <v>#DIV/0!</v>
      </c>
    </row>
    <row r="978" spans="1:19" x14ac:dyDescent="0.2">
      <c r="A978" s="90" t="s">
        <v>1083</v>
      </c>
      <c r="B978" s="91" t="s">
        <v>35</v>
      </c>
      <c r="C978" s="91" t="s">
        <v>313</v>
      </c>
      <c r="D978" s="91" t="s">
        <v>317</v>
      </c>
      <c r="E978" s="92" t="s">
        <v>367</v>
      </c>
      <c r="F978" s="91" t="s">
        <v>387</v>
      </c>
      <c r="G978" s="91" t="s">
        <v>285</v>
      </c>
      <c r="H978" s="91" t="s">
        <v>12</v>
      </c>
      <c r="I978" s="91" t="s">
        <v>235</v>
      </c>
      <c r="J978" s="92" t="s">
        <v>286</v>
      </c>
      <c r="K978" s="93">
        <v>36.520000000000003</v>
      </c>
      <c r="L978" s="93">
        <f>K978*VLOOKUP(H978,dagsoorttabel1,2,FALSE)</f>
        <v>14.608000000000002</v>
      </c>
      <c r="M978" s="94">
        <f>prodnorm110</f>
        <v>0</v>
      </c>
      <c r="N978" s="91" t="s">
        <v>101</v>
      </c>
      <c r="O978" s="26">
        <f>uurtarief110</f>
        <v>0</v>
      </c>
      <c r="P978" s="93" t="e">
        <f>IF(ISBLANK(M978),0,L978/ROUND(M978,4))</f>
        <v>#DIV/0!</v>
      </c>
      <c r="Q978" s="26" t="e">
        <f>ROUND(O978,2)*P978</f>
        <v>#DIV/0!</v>
      </c>
      <c r="R978" s="93" t="e">
        <f>P978*dagenperjaar1</f>
        <v>#DIV/0!</v>
      </c>
      <c r="S978" s="27" t="e">
        <f>R978*ROUND(O978,2)</f>
        <v>#DIV/0!</v>
      </c>
    </row>
    <row r="979" spans="1:19" x14ac:dyDescent="0.2">
      <c r="A979" s="90" t="s">
        <v>1083</v>
      </c>
      <c r="B979" s="91" t="s">
        <v>35</v>
      </c>
      <c r="C979" s="91" t="s">
        <v>313</v>
      </c>
      <c r="D979" s="91" t="s">
        <v>320</v>
      </c>
      <c r="E979" s="92" t="s">
        <v>1084</v>
      </c>
      <c r="F979" s="91" t="s">
        <v>387</v>
      </c>
      <c r="G979" s="91" t="s">
        <v>241</v>
      </c>
      <c r="H979" s="91" t="s">
        <v>13</v>
      </c>
      <c r="I979" s="91" t="s">
        <v>235</v>
      </c>
      <c r="J979" s="92" t="s">
        <v>242</v>
      </c>
      <c r="K979" s="93">
        <v>9.6</v>
      </c>
      <c r="L979" s="93">
        <f>K979*VLOOKUP(H979,dagsoorttabel1,2,FALSE)</f>
        <v>1.92</v>
      </c>
      <c r="M979" s="94">
        <f>prodnorm56</f>
        <v>0</v>
      </c>
      <c r="N979" s="91" t="s">
        <v>101</v>
      </c>
      <c r="O979" s="26">
        <f>uurtarief56</f>
        <v>0</v>
      </c>
      <c r="P979" s="93" t="e">
        <f>IF(ISBLANK(M979),0,L979/ROUND(M979,4))</f>
        <v>#DIV/0!</v>
      </c>
      <c r="Q979" s="26" t="e">
        <f>ROUND(O979,2)*P979</f>
        <v>#DIV/0!</v>
      </c>
      <c r="R979" s="93" t="e">
        <f>P979*dagenperjaar1</f>
        <v>#DIV/0!</v>
      </c>
      <c r="S979" s="27" t="e">
        <f>R979*ROUND(O979,2)</f>
        <v>#DIV/0!</v>
      </c>
    </row>
    <row r="980" spans="1:19" x14ac:dyDescent="0.2">
      <c r="A980" s="90" t="s">
        <v>1083</v>
      </c>
      <c r="B980" s="91" t="s">
        <v>35</v>
      </c>
      <c r="C980" s="91" t="s">
        <v>313</v>
      </c>
      <c r="D980" s="91" t="s">
        <v>322</v>
      </c>
      <c r="E980" s="92" t="s">
        <v>1085</v>
      </c>
      <c r="F980" s="91" t="s">
        <v>387</v>
      </c>
      <c r="G980" s="91" t="s">
        <v>241</v>
      </c>
      <c r="H980" s="91" t="s">
        <v>13</v>
      </c>
      <c r="I980" s="91" t="s">
        <v>235</v>
      </c>
      <c r="J980" s="92" t="s">
        <v>242</v>
      </c>
      <c r="K980" s="93">
        <v>15.81</v>
      </c>
      <c r="L980" s="93">
        <f>K980*VLOOKUP(H980,dagsoorttabel1,2,FALSE)</f>
        <v>3.1620000000000004</v>
      </c>
      <c r="M980" s="94">
        <f>prodnorm56</f>
        <v>0</v>
      </c>
      <c r="N980" s="91" t="s">
        <v>101</v>
      </c>
      <c r="O980" s="26">
        <f>uurtarief56</f>
        <v>0</v>
      </c>
      <c r="P980" s="93" t="e">
        <f>IF(ISBLANK(M980),0,L980/ROUND(M980,4))</f>
        <v>#DIV/0!</v>
      </c>
      <c r="Q980" s="26" t="e">
        <f>ROUND(O980,2)*P980</f>
        <v>#DIV/0!</v>
      </c>
      <c r="R980" s="93" t="e">
        <f>P980*dagenperjaar1</f>
        <v>#DIV/0!</v>
      </c>
      <c r="S980" s="27" t="e">
        <f>R980*ROUND(O980,2)</f>
        <v>#DIV/0!</v>
      </c>
    </row>
    <row r="981" spans="1:19" x14ac:dyDescent="0.2">
      <c r="A981" s="90" t="s">
        <v>1083</v>
      </c>
      <c r="B981" s="91" t="s">
        <v>35</v>
      </c>
      <c r="C981" s="91" t="s">
        <v>313</v>
      </c>
      <c r="D981" s="91" t="s">
        <v>324</v>
      </c>
      <c r="E981" s="92" t="s">
        <v>1085</v>
      </c>
      <c r="F981" s="91" t="s">
        <v>387</v>
      </c>
      <c r="G981" s="91" t="s">
        <v>241</v>
      </c>
      <c r="H981" s="91" t="s">
        <v>13</v>
      </c>
      <c r="I981" s="91" t="s">
        <v>235</v>
      </c>
      <c r="J981" s="92" t="s">
        <v>242</v>
      </c>
      <c r="K981" s="93">
        <v>11.98</v>
      </c>
      <c r="L981" s="93">
        <f>K981*VLOOKUP(H981,dagsoorttabel1,2,FALSE)</f>
        <v>2.3960000000000004</v>
      </c>
      <c r="M981" s="94">
        <f>prodnorm56</f>
        <v>0</v>
      </c>
      <c r="N981" s="91" t="s">
        <v>101</v>
      </c>
      <c r="O981" s="26">
        <f>uurtarief56</f>
        <v>0</v>
      </c>
      <c r="P981" s="93" t="e">
        <f>IF(ISBLANK(M981),0,L981/ROUND(M981,4))</f>
        <v>#DIV/0!</v>
      </c>
      <c r="Q981" s="26" t="e">
        <f>ROUND(O981,2)*P981</f>
        <v>#DIV/0!</v>
      </c>
      <c r="R981" s="93" t="e">
        <f>P981*dagenperjaar1</f>
        <v>#DIV/0!</v>
      </c>
      <c r="S981" s="27" t="e">
        <f>R981*ROUND(O981,2)</f>
        <v>#DIV/0!</v>
      </c>
    </row>
    <row r="982" spans="1:19" x14ac:dyDescent="0.2">
      <c r="A982" s="90" t="s">
        <v>1083</v>
      </c>
      <c r="B982" s="91" t="s">
        <v>35</v>
      </c>
      <c r="C982" s="91" t="s">
        <v>313</v>
      </c>
      <c r="D982" s="91" t="s">
        <v>325</v>
      </c>
      <c r="E982" s="92" t="s">
        <v>323</v>
      </c>
      <c r="F982" s="91" t="s">
        <v>387</v>
      </c>
      <c r="G982" s="91" t="s">
        <v>241</v>
      </c>
      <c r="H982" s="91" t="s">
        <v>13</v>
      </c>
      <c r="I982" s="91" t="s">
        <v>235</v>
      </c>
      <c r="J982" s="92" t="s">
        <v>242</v>
      </c>
      <c r="K982" s="93">
        <v>36.33</v>
      </c>
      <c r="L982" s="93">
        <f>K982*VLOOKUP(H982,dagsoorttabel1,2,FALSE)</f>
        <v>7.266</v>
      </c>
      <c r="M982" s="94">
        <f>prodnorm56</f>
        <v>0</v>
      </c>
      <c r="N982" s="91" t="s">
        <v>101</v>
      </c>
      <c r="O982" s="26">
        <f>uurtarief56</f>
        <v>0</v>
      </c>
      <c r="P982" s="93" t="e">
        <f>IF(ISBLANK(M982),0,L982/ROUND(M982,4))</f>
        <v>#DIV/0!</v>
      </c>
      <c r="Q982" s="26" t="e">
        <f>ROUND(O982,2)*P982</f>
        <v>#DIV/0!</v>
      </c>
      <c r="R982" s="93" t="e">
        <f>P982*dagenperjaar1</f>
        <v>#DIV/0!</v>
      </c>
      <c r="S982" s="27" t="e">
        <f>R982*ROUND(O982,2)</f>
        <v>#DIV/0!</v>
      </c>
    </row>
    <row r="983" spans="1:19" x14ac:dyDescent="0.2">
      <c r="A983" s="90" t="s">
        <v>1083</v>
      </c>
      <c r="B983" s="91" t="s">
        <v>35</v>
      </c>
      <c r="C983" s="91" t="s">
        <v>313</v>
      </c>
      <c r="D983" s="91" t="s">
        <v>327</v>
      </c>
      <c r="E983" s="92" t="s">
        <v>1086</v>
      </c>
      <c r="F983" s="91" t="s">
        <v>387</v>
      </c>
      <c r="G983" s="91" t="s">
        <v>268</v>
      </c>
      <c r="H983" s="91" t="s">
        <v>13</v>
      </c>
      <c r="I983" s="91" t="s">
        <v>235</v>
      </c>
      <c r="J983" s="92" t="s">
        <v>269</v>
      </c>
      <c r="K983" s="93">
        <v>5.49</v>
      </c>
      <c r="L983" s="93">
        <f>K983*VLOOKUP(H983,dagsoorttabel1,2,FALSE)</f>
        <v>1.0980000000000001</v>
      </c>
      <c r="M983" s="94">
        <f>prodnorm86</f>
        <v>0</v>
      </c>
      <c r="N983" s="91" t="s">
        <v>101</v>
      </c>
      <c r="O983" s="26">
        <f>uurtarief86</f>
        <v>0</v>
      </c>
      <c r="P983" s="93" t="e">
        <f>IF(ISBLANK(M983),0,L983/ROUND(M983,4))</f>
        <v>#DIV/0!</v>
      </c>
      <c r="Q983" s="26" t="e">
        <f>ROUND(O983,2)*P983</f>
        <v>#DIV/0!</v>
      </c>
      <c r="R983" s="93" t="e">
        <f>P983*dagenperjaar1</f>
        <v>#DIV/0!</v>
      </c>
      <c r="S983" s="27" t="e">
        <f>R983*ROUND(O983,2)</f>
        <v>#DIV/0!</v>
      </c>
    </row>
    <row r="984" spans="1:19" x14ac:dyDescent="0.2">
      <c r="A984" s="90" t="s">
        <v>1083</v>
      </c>
      <c r="B984" s="91" t="s">
        <v>35</v>
      </c>
      <c r="C984" s="91" t="s">
        <v>313</v>
      </c>
      <c r="D984" s="91" t="s">
        <v>330</v>
      </c>
      <c r="E984" s="92" t="s">
        <v>323</v>
      </c>
      <c r="F984" s="91" t="s">
        <v>387</v>
      </c>
      <c r="G984" s="91" t="s">
        <v>241</v>
      </c>
      <c r="H984" s="91" t="s">
        <v>13</v>
      </c>
      <c r="I984" s="91" t="s">
        <v>235</v>
      </c>
      <c r="J984" s="92" t="s">
        <v>242</v>
      </c>
      <c r="K984" s="93">
        <v>41.120000000000005</v>
      </c>
      <c r="L984" s="93">
        <f>K984*VLOOKUP(H984,dagsoorttabel1,2,FALSE)</f>
        <v>8.224000000000002</v>
      </c>
      <c r="M984" s="94">
        <f>prodnorm56</f>
        <v>0</v>
      </c>
      <c r="N984" s="91" t="s">
        <v>101</v>
      </c>
      <c r="O984" s="26">
        <f>uurtarief56</f>
        <v>0</v>
      </c>
      <c r="P984" s="93" t="e">
        <f>IF(ISBLANK(M984),0,L984/ROUND(M984,4))</f>
        <v>#DIV/0!</v>
      </c>
      <c r="Q984" s="26" t="e">
        <f>ROUND(O984,2)*P984</f>
        <v>#DIV/0!</v>
      </c>
      <c r="R984" s="93" t="e">
        <f>P984*dagenperjaar1</f>
        <v>#DIV/0!</v>
      </c>
      <c r="S984" s="27" t="e">
        <f>R984*ROUND(O984,2)</f>
        <v>#DIV/0!</v>
      </c>
    </row>
    <row r="985" spans="1:19" x14ac:dyDescent="0.2">
      <c r="A985" s="90" t="s">
        <v>1083</v>
      </c>
      <c r="B985" s="91" t="s">
        <v>35</v>
      </c>
      <c r="C985" s="91" t="s">
        <v>313</v>
      </c>
      <c r="D985" s="91" t="s">
        <v>332</v>
      </c>
      <c r="E985" s="92" t="s">
        <v>588</v>
      </c>
      <c r="F985" s="91" t="s">
        <v>427</v>
      </c>
      <c r="G985" s="91" t="s">
        <v>279</v>
      </c>
      <c r="H985" s="91" t="s">
        <v>12</v>
      </c>
      <c r="I985" s="91" t="s">
        <v>235</v>
      </c>
      <c r="J985" s="92" t="s">
        <v>280</v>
      </c>
      <c r="K985" s="93">
        <v>8.25</v>
      </c>
      <c r="L985" s="93">
        <f>K985*VLOOKUP(H985,dagsoorttabel1,2,FALSE)</f>
        <v>3.3000000000000003</v>
      </c>
      <c r="M985" s="94">
        <f>prodnorm101</f>
        <v>0</v>
      </c>
      <c r="N985" s="91" t="s">
        <v>101</v>
      </c>
      <c r="O985" s="26">
        <f>uurtarief101</f>
        <v>0</v>
      </c>
      <c r="P985" s="93" t="e">
        <f>IF(ISBLANK(M985),0,L985/ROUND(M985,4))</f>
        <v>#DIV/0!</v>
      </c>
      <c r="Q985" s="26" t="e">
        <f>ROUND(O985,2)*P985</f>
        <v>#DIV/0!</v>
      </c>
      <c r="R985" s="93" t="e">
        <f>P985*dagenperjaar1</f>
        <v>#DIV/0!</v>
      </c>
      <c r="S985" s="27" t="e">
        <f>R985*ROUND(O985,2)</f>
        <v>#DIV/0!</v>
      </c>
    </row>
    <row r="986" spans="1:19" x14ac:dyDescent="0.2">
      <c r="A986" s="90" t="s">
        <v>1083</v>
      </c>
      <c r="B986" s="91" t="s">
        <v>35</v>
      </c>
      <c r="C986" s="91" t="s">
        <v>313</v>
      </c>
      <c r="D986" s="91" t="s">
        <v>334</v>
      </c>
      <c r="E986" s="92" t="s">
        <v>1087</v>
      </c>
      <c r="F986" s="91" t="s">
        <v>387</v>
      </c>
      <c r="G986" s="91" t="s">
        <v>241</v>
      </c>
      <c r="H986" s="91" t="s">
        <v>13</v>
      </c>
      <c r="I986" s="91" t="s">
        <v>235</v>
      </c>
      <c r="J986" s="92" t="s">
        <v>242</v>
      </c>
      <c r="K986" s="93">
        <v>16.22</v>
      </c>
      <c r="L986" s="93">
        <f>K986*VLOOKUP(H986,dagsoorttabel1,2,FALSE)</f>
        <v>3.2439999999999998</v>
      </c>
      <c r="M986" s="94">
        <f>prodnorm56</f>
        <v>0</v>
      </c>
      <c r="N986" s="91" t="s">
        <v>101</v>
      </c>
      <c r="O986" s="26">
        <f>uurtarief56</f>
        <v>0</v>
      </c>
      <c r="P986" s="93" t="e">
        <f>IF(ISBLANK(M986),0,L986/ROUND(M986,4))</f>
        <v>#DIV/0!</v>
      </c>
      <c r="Q986" s="26" t="e">
        <f>ROUND(O986,2)*P986</f>
        <v>#DIV/0!</v>
      </c>
      <c r="R986" s="93" t="e">
        <f>P986*dagenperjaar1</f>
        <v>#DIV/0!</v>
      </c>
      <c r="S986" s="27" t="e">
        <f>R986*ROUND(O986,2)</f>
        <v>#DIV/0!</v>
      </c>
    </row>
    <row r="987" spans="1:19" x14ac:dyDescent="0.2">
      <c r="A987" s="90" t="s">
        <v>1083</v>
      </c>
      <c r="B987" s="91" t="s">
        <v>35</v>
      </c>
      <c r="C987" s="91" t="s">
        <v>313</v>
      </c>
      <c r="D987" s="91" t="s">
        <v>336</v>
      </c>
      <c r="E987" s="92" t="s">
        <v>1088</v>
      </c>
      <c r="F987" s="91" t="s">
        <v>387</v>
      </c>
      <c r="G987" s="91" t="s">
        <v>289</v>
      </c>
      <c r="H987" s="91" t="s">
        <v>12</v>
      </c>
      <c r="I987" s="91" t="s">
        <v>235</v>
      </c>
      <c r="J987" s="92" t="s">
        <v>290</v>
      </c>
      <c r="K987" s="93">
        <v>8</v>
      </c>
      <c r="L987" s="93">
        <f>K987*VLOOKUP(H987,dagsoorttabel1,2,FALSE)</f>
        <v>3.2</v>
      </c>
      <c r="M987" s="94">
        <f>prodnorm114</f>
        <v>0</v>
      </c>
      <c r="N987" s="91" t="s">
        <v>101</v>
      </c>
      <c r="O987" s="26">
        <f>uurtarief114</f>
        <v>0</v>
      </c>
      <c r="P987" s="93" t="e">
        <f>IF(ISBLANK(M987),0,L987/ROUND(M987,4))</f>
        <v>#DIV/0!</v>
      </c>
      <c r="Q987" s="26" t="e">
        <f>ROUND(O987,2)*P987</f>
        <v>#DIV/0!</v>
      </c>
      <c r="R987" s="93" t="e">
        <f>P987*dagenperjaar1</f>
        <v>#DIV/0!</v>
      </c>
      <c r="S987" s="27" t="e">
        <f>R987*ROUND(O987,2)</f>
        <v>#DIV/0!</v>
      </c>
    </row>
    <row r="988" spans="1:19" x14ac:dyDescent="0.2">
      <c r="A988" s="90" t="s">
        <v>1083</v>
      </c>
      <c r="B988" s="91" t="s">
        <v>35</v>
      </c>
      <c r="C988" s="91" t="s">
        <v>313</v>
      </c>
      <c r="D988" s="91" t="s">
        <v>919</v>
      </c>
      <c r="E988" s="92" t="s">
        <v>318</v>
      </c>
      <c r="F988" s="91" t="s">
        <v>329</v>
      </c>
      <c r="G988" s="91" t="s">
        <v>352</v>
      </c>
      <c r="H988" s="91"/>
      <c r="I988" s="91"/>
      <c r="J988" s="91"/>
      <c r="K988" s="93">
        <v>9</v>
      </c>
      <c r="L988" s="93"/>
      <c r="M988" s="94"/>
      <c r="N988" s="91"/>
      <c r="O988" s="26"/>
      <c r="P988" s="93"/>
      <c r="Q988" s="26"/>
      <c r="R988" s="95"/>
      <c r="S988" s="27"/>
    </row>
    <row r="989" spans="1:19" x14ac:dyDescent="0.2">
      <c r="A989" s="90" t="s">
        <v>1083</v>
      </c>
      <c r="B989" s="91" t="s">
        <v>35</v>
      </c>
      <c r="C989" s="91" t="s">
        <v>313</v>
      </c>
      <c r="D989" s="91" t="s">
        <v>338</v>
      </c>
      <c r="E989" s="92" t="s">
        <v>367</v>
      </c>
      <c r="F989" s="91" t="s">
        <v>329</v>
      </c>
      <c r="G989" s="91" t="s">
        <v>283</v>
      </c>
      <c r="H989" s="91" t="s">
        <v>12</v>
      </c>
      <c r="I989" s="91" t="s">
        <v>235</v>
      </c>
      <c r="J989" s="92" t="s">
        <v>284</v>
      </c>
      <c r="K989" s="93">
        <v>38</v>
      </c>
      <c r="L989" s="93">
        <f>K989*VLOOKUP(H989,dagsoorttabel1,2,FALSE)</f>
        <v>15.200000000000001</v>
      </c>
      <c r="M989" s="94">
        <f>prodnorm107</f>
        <v>0</v>
      </c>
      <c r="N989" s="91" t="s">
        <v>101</v>
      </c>
      <c r="O989" s="26">
        <f>uurtarief107</f>
        <v>0</v>
      </c>
      <c r="P989" s="93" t="e">
        <f>IF(ISBLANK(M989),0,L989/ROUND(M989,4))</f>
        <v>#DIV/0!</v>
      </c>
      <c r="Q989" s="26" t="e">
        <f>ROUND(O989,2)*P989</f>
        <v>#DIV/0!</v>
      </c>
      <c r="R989" s="93" t="e">
        <f>P989*dagenperjaar1</f>
        <v>#DIV/0!</v>
      </c>
      <c r="S989" s="27" t="e">
        <f>R989*ROUND(O989,2)</f>
        <v>#DIV/0!</v>
      </c>
    </row>
    <row r="990" spans="1:19" x14ac:dyDescent="0.2">
      <c r="A990" s="90" t="s">
        <v>1083</v>
      </c>
      <c r="B990" s="91" t="s">
        <v>35</v>
      </c>
      <c r="C990" s="91" t="s">
        <v>313</v>
      </c>
      <c r="D990" s="91" t="s">
        <v>1089</v>
      </c>
      <c r="E990" s="92" t="s">
        <v>375</v>
      </c>
      <c r="F990" s="91" t="s">
        <v>329</v>
      </c>
      <c r="G990" s="91" t="s">
        <v>268</v>
      </c>
      <c r="H990" s="91" t="s">
        <v>12</v>
      </c>
      <c r="I990" s="91" t="s">
        <v>235</v>
      </c>
      <c r="J990" s="92" t="s">
        <v>269</v>
      </c>
      <c r="K990" s="93">
        <v>5.79</v>
      </c>
      <c r="L990" s="93">
        <f>K990*VLOOKUP(H990,dagsoorttabel1,2,FALSE)</f>
        <v>2.3160000000000003</v>
      </c>
      <c r="M990" s="94">
        <f>prodnorm87</f>
        <v>0</v>
      </c>
      <c r="N990" s="91" t="s">
        <v>101</v>
      </c>
      <c r="O990" s="26">
        <f>uurtarief87</f>
        <v>0</v>
      </c>
      <c r="P990" s="93" t="e">
        <f>IF(ISBLANK(M990),0,L990/ROUND(M990,4))</f>
        <v>#DIV/0!</v>
      </c>
      <c r="Q990" s="26" t="e">
        <f>ROUND(O990,2)*P990</f>
        <v>#DIV/0!</v>
      </c>
      <c r="R990" s="93" t="e">
        <f>P990*dagenperjaar1</f>
        <v>#DIV/0!</v>
      </c>
      <c r="S990" s="27" t="e">
        <f>R990*ROUND(O990,2)</f>
        <v>#DIV/0!</v>
      </c>
    </row>
    <row r="991" spans="1:19" x14ac:dyDescent="0.2">
      <c r="A991" s="90" t="s">
        <v>1083</v>
      </c>
      <c r="B991" s="91" t="s">
        <v>35</v>
      </c>
      <c r="C991" s="91" t="s">
        <v>313</v>
      </c>
      <c r="D991" s="91" t="s">
        <v>339</v>
      </c>
      <c r="E991" s="92" t="s">
        <v>884</v>
      </c>
      <c r="F991" s="91" t="s">
        <v>329</v>
      </c>
      <c r="G991" s="91" t="s">
        <v>277</v>
      </c>
      <c r="H991" s="91" t="s">
        <v>13</v>
      </c>
      <c r="I991" s="91" t="s">
        <v>235</v>
      </c>
      <c r="J991" s="92" t="s">
        <v>278</v>
      </c>
      <c r="K991" s="93">
        <v>20.9</v>
      </c>
      <c r="L991" s="93">
        <f>K991*VLOOKUP(H991,dagsoorttabel1,2,FALSE)</f>
        <v>4.18</v>
      </c>
      <c r="M991" s="94">
        <f>prodnorm97</f>
        <v>0</v>
      </c>
      <c r="N991" s="91" t="s">
        <v>101</v>
      </c>
      <c r="O991" s="26">
        <f>uurtarief97</f>
        <v>0</v>
      </c>
      <c r="P991" s="93" t="e">
        <f>IF(ISBLANK(M991),0,L991/ROUND(M991,4))</f>
        <v>#DIV/0!</v>
      </c>
      <c r="Q991" s="26" t="e">
        <f>ROUND(O991,2)*P991</f>
        <v>#DIV/0!</v>
      </c>
      <c r="R991" s="93" t="e">
        <f>P991*dagenperjaar1</f>
        <v>#DIV/0!</v>
      </c>
      <c r="S991" s="27" t="e">
        <f>R991*ROUND(O991,2)</f>
        <v>#DIV/0!</v>
      </c>
    </row>
    <row r="992" spans="1:19" x14ac:dyDescent="0.2">
      <c r="A992" s="90" t="s">
        <v>1083</v>
      </c>
      <c r="B992" s="91" t="s">
        <v>35</v>
      </c>
      <c r="C992" s="91" t="s">
        <v>313</v>
      </c>
      <c r="D992" s="91" t="s">
        <v>341</v>
      </c>
      <c r="E992" s="92" t="s">
        <v>380</v>
      </c>
      <c r="F992" s="91" t="s">
        <v>427</v>
      </c>
      <c r="G992" s="91" t="s">
        <v>352</v>
      </c>
      <c r="H992" s="91"/>
      <c r="I992" s="91"/>
      <c r="J992" s="91"/>
      <c r="K992" s="93">
        <v>0.79</v>
      </c>
      <c r="L992" s="93"/>
      <c r="M992" s="94"/>
      <c r="N992" s="91"/>
      <c r="O992" s="26"/>
      <c r="P992" s="93"/>
      <c r="Q992" s="26"/>
      <c r="R992" s="95"/>
      <c r="S992" s="27"/>
    </row>
    <row r="993" spans="1:19" x14ac:dyDescent="0.2">
      <c r="A993" s="90" t="s">
        <v>1083</v>
      </c>
      <c r="B993" s="91" t="s">
        <v>35</v>
      </c>
      <c r="C993" s="91" t="s">
        <v>313</v>
      </c>
      <c r="D993" s="91" t="s">
        <v>372</v>
      </c>
      <c r="E993" s="92" t="s">
        <v>875</v>
      </c>
      <c r="F993" s="91" t="s">
        <v>427</v>
      </c>
      <c r="G993" s="91" t="s">
        <v>277</v>
      </c>
      <c r="H993" s="91" t="s">
        <v>13</v>
      </c>
      <c r="I993" s="91" t="s">
        <v>235</v>
      </c>
      <c r="J993" s="92" t="s">
        <v>278</v>
      </c>
      <c r="K993" s="93">
        <v>7.5</v>
      </c>
      <c r="L993" s="93">
        <f>K993*VLOOKUP(H993,dagsoorttabel1,2,FALSE)</f>
        <v>1.5</v>
      </c>
      <c r="M993" s="94">
        <f>prodnorm97</f>
        <v>0</v>
      </c>
      <c r="N993" s="91" t="s">
        <v>101</v>
      </c>
      <c r="O993" s="26">
        <f>uurtarief97</f>
        <v>0</v>
      </c>
      <c r="P993" s="93" t="e">
        <f>IF(ISBLANK(M993),0,L993/ROUND(M993,4))</f>
        <v>#DIV/0!</v>
      </c>
      <c r="Q993" s="26" t="e">
        <f>ROUND(O993,2)*P993</f>
        <v>#DIV/0!</v>
      </c>
      <c r="R993" s="93" t="e">
        <f>P993*dagenperjaar1</f>
        <v>#DIV/0!</v>
      </c>
      <c r="S993" s="27" t="e">
        <f>R993*ROUND(O993,2)</f>
        <v>#DIV/0!</v>
      </c>
    </row>
    <row r="994" spans="1:19" x14ac:dyDescent="0.2">
      <c r="A994" s="90" t="s">
        <v>1083</v>
      </c>
      <c r="B994" s="91" t="s">
        <v>35</v>
      </c>
      <c r="C994" s="91" t="s">
        <v>313</v>
      </c>
      <c r="D994" s="91" t="s">
        <v>977</v>
      </c>
      <c r="E994" s="92" t="s">
        <v>328</v>
      </c>
      <c r="F994" s="91" t="s">
        <v>427</v>
      </c>
      <c r="G994" s="91" t="s">
        <v>275</v>
      </c>
      <c r="H994" s="91" t="s">
        <v>13</v>
      </c>
      <c r="I994" s="91" t="s">
        <v>235</v>
      </c>
      <c r="J994" s="92" t="s">
        <v>276</v>
      </c>
      <c r="K994" s="93">
        <v>2</v>
      </c>
      <c r="L994" s="93">
        <f>K994*VLOOKUP(H994,dagsoorttabel1,2,FALSE)</f>
        <v>0.4</v>
      </c>
      <c r="M994" s="94">
        <f>prodnorm94</f>
        <v>0</v>
      </c>
      <c r="N994" s="91" t="s">
        <v>101</v>
      </c>
      <c r="O994" s="26">
        <f>uurtarief94</f>
        <v>0</v>
      </c>
      <c r="P994" s="93" t="e">
        <f>IF(ISBLANK(M994),0,L994/ROUND(M994,4))</f>
        <v>#DIV/0!</v>
      </c>
      <c r="Q994" s="26" t="e">
        <f>ROUND(O994,2)*P994</f>
        <v>#DIV/0!</v>
      </c>
      <c r="R994" s="93" t="e">
        <f>P994*dagenperjaar1</f>
        <v>#DIV/0!</v>
      </c>
      <c r="S994" s="27" t="e">
        <f>R994*ROUND(O994,2)</f>
        <v>#DIV/0!</v>
      </c>
    </row>
    <row r="995" spans="1:19" x14ac:dyDescent="0.2">
      <c r="A995" s="90" t="s">
        <v>1083</v>
      </c>
      <c r="B995" s="91" t="s">
        <v>35</v>
      </c>
      <c r="C995" s="91" t="s">
        <v>313</v>
      </c>
      <c r="D995" s="91" t="s">
        <v>1090</v>
      </c>
      <c r="E995" s="92" t="s">
        <v>333</v>
      </c>
      <c r="F995" s="91" t="s">
        <v>427</v>
      </c>
      <c r="G995" s="91" t="s">
        <v>279</v>
      </c>
      <c r="H995" s="91" t="s">
        <v>12</v>
      </c>
      <c r="I995" s="91" t="s">
        <v>235</v>
      </c>
      <c r="J995" s="92" t="s">
        <v>280</v>
      </c>
      <c r="K995" s="93">
        <v>1.3</v>
      </c>
      <c r="L995" s="93">
        <f>K995*VLOOKUP(H995,dagsoorttabel1,2,FALSE)</f>
        <v>0.52</v>
      </c>
      <c r="M995" s="94">
        <f>prodnorm101</f>
        <v>0</v>
      </c>
      <c r="N995" s="91" t="s">
        <v>101</v>
      </c>
      <c r="O995" s="26">
        <f>uurtarief101</f>
        <v>0</v>
      </c>
      <c r="P995" s="93" t="e">
        <f>IF(ISBLANK(M995),0,L995/ROUND(M995,4))</f>
        <v>#DIV/0!</v>
      </c>
      <c r="Q995" s="26" t="e">
        <f>ROUND(O995,2)*P995</f>
        <v>#DIV/0!</v>
      </c>
      <c r="R995" s="93" t="e">
        <f>P995*dagenperjaar1</f>
        <v>#DIV/0!</v>
      </c>
      <c r="S995" s="27" t="e">
        <f>R995*ROUND(O995,2)</f>
        <v>#DIV/0!</v>
      </c>
    </row>
    <row r="996" spans="1:19" x14ac:dyDescent="0.2">
      <c r="A996" s="90" t="s">
        <v>1083</v>
      </c>
      <c r="B996" s="91" t="s">
        <v>35</v>
      </c>
      <c r="C996" s="91" t="s">
        <v>313</v>
      </c>
      <c r="D996" s="91" t="s">
        <v>391</v>
      </c>
      <c r="E996" s="92" t="s">
        <v>879</v>
      </c>
      <c r="F996" s="91" t="s">
        <v>427</v>
      </c>
      <c r="G996" s="91" t="s">
        <v>277</v>
      </c>
      <c r="H996" s="91" t="s">
        <v>13</v>
      </c>
      <c r="I996" s="91" t="s">
        <v>235</v>
      </c>
      <c r="J996" s="92" t="s">
        <v>278</v>
      </c>
      <c r="K996" s="93">
        <v>14</v>
      </c>
      <c r="L996" s="93">
        <f>K996*VLOOKUP(H996,dagsoorttabel1,2,FALSE)</f>
        <v>2.8000000000000003</v>
      </c>
      <c r="M996" s="94">
        <f>prodnorm97</f>
        <v>0</v>
      </c>
      <c r="N996" s="91" t="s">
        <v>101</v>
      </c>
      <c r="O996" s="26">
        <f>uurtarief97</f>
        <v>0</v>
      </c>
      <c r="P996" s="93" t="e">
        <f>IF(ISBLANK(M996),0,L996/ROUND(M996,4))</f>
        <v>#DIV/0!</v>
      </c>
      <c r="Q996" s="26" t="e">
        <f>ROUND(O996,2)*P996</f>
        <v>#DIV/0!</v>
      </c>
      <c r="R996" s="93" t="e">
        <f>P996*dagenperjaar1</f>
        <v>#DIV/0!</v>
      </c>
      <c r="S996" s="27" t="e">
        <f>R996*ROUND(O996,2)</f>
        <v>#DIV/0!</v>
      </c>
    </row>
    <row r="997" spans="1:19" x14ac:dyDescent="0.2">
      <c r="A997" s="90" t="s">
        <v>1083</v>
      </c>
      <c r="B997" s="91" t="s">
        <v>35</v>
      </c>
      <c r="C997" s="91" t="s">
        <v>313</v>
      </c>
      <c r="D997" s="91" t="s">
        <v>570</v>
      </c>
      <c r="E997" s="92" t="s">
        <v>328</v>
      </c>
      <c r="F997" s="91" t="s">
        <v>427</v>
      </c>
      <c r="G997" s="91" t="s">
        <v>275</v>
      </c>
      <c r="H997" s="91" t="s">
        <v>13</v>
      </c>
      <c r="I997" s="91" t="s">
        <v>235</v>
      </c>
      <c r="J997" s="92" t="s">
        <v>276</v>
      </c>
      <c r="K997" s="93">
        <v>10</v>
      </c>
      <c r="L997" s="93">
        <f>K997*VLOOKUP(H997,dagsoorttabel1,2,FALSE)</f>
        <v>2</v>
      </c>
      <c r="M997" s="94">
        <f>prodnorm94</f>
        <v>0</v>
      </c>
      <c r="N997" s="91" t="s">
        <v>101</v>
      </c>
      <c r="O997" s="26">
        <f>uurtarief94</f>
        <v>0</v>
      </c>
      <c r="P997" s="93" t="e">
        <f>IF(ISBLANK(M997),0,L997/ROUND(M997,4))</f>
        <v>#DIV/0!</v>
      </c>
      <c r="Q997" s="26" t="e">
        <f>ROUND(O997,2)*P997</f>
        <v>#DIV/0!</v>
      </c>
      <c r="R997" s="93" t="e">
        <f>P997*dagenperjaar1</f>
        <v>#DIV/0!</v>
      </c>
      <c r="S997" s="27" t="e">
        <f>R997*ROUND(O997,2)</f>
        <v>#DIV/0!</v>
      </c>
    </row>
    <row r="998" spans="1:19" x14ac:dyDescent="0.2">
      <c r="A998" s="90" t="s">
        <v>1083</v>
      </c>
      <c r="B998" s="91" t="s">
        <v>35</v>
      </c>
      <c r="C998" s="91" t="s">
        <v>313</v>
      </c>
      <c r="D998" s="91" t="s">
        <v>1091</v>
      </c>
      <c r="E998" s="92" t="s">
        <v>333</v>
      </c>
      <c r="F998" s="91" t="s">
        <v>427</v>
      </c>
      <c r="G998" s="91" t="s">
        <v>279</v>
      </c>
      <c r="H998" s="91" t="s">
        <v>12</v>
      </c>
      <c r="I998" s="91" t="s">
        <v>235</v>
      </c>
      <c r="J998" s="92" t="s">
        <v>280</v>
      </c>
      <c r="K998" s="93">
        <v>2.6</v>
      </c>
      <c r="L998" s="93">
        <f>K998*VLOOKUP(H998,dagsoorttabel1,2,FALSE)</f>
        <v>1.04</v>
      </c>
      <c r="M998" s="94">
        <f>prodnorm101</f>
        <v>0</v>
      </c>
      <c r="N998" s="91" t="s">
        <v>101</v>
      </c>
      <c r="O998" s="26">
        <f>uurtarief101</f>
        <v>0</v>
      </c>
      <c r="P998" s="93" t="e">
        <f>IF(ISBLANK(M998),0,L998/ROUND(M998,4))</f>
        <v>#DIV/0!</v>
      </c>
      <c r="Q998" s="26" t="e">
        <f>ROUND(O998,2)*P998</f>
        <v>#DIV/0!</v>
      </c>
      <c r="R998" s="93" t="e">
        <f>P998*dagenperjaar1</f>
        <v>#DIV/0!</v>
      </c>
      <c r="S998" s="27" t="e">
        <f>R998*ROUND(O998,2)</f>
        <v>#DIV/0!</v>
      </c>
    </row>
    <row r="999" spans="1:19" ht="25.2" x14ac:dyDescent="0.2">
      <c r="A999" s="90" t="s">
        <v>1083</v>
      </c>
      <c r="B999" s="91" t="s">
        <v>35</v>
      </c>
      <c r="C999" s="91" t="s">
        <v>313</v>
      </c>
      <c r="D999" s="91" t="s">
        <v>392</v>
      </c>
      <c r="E999" s="92" t="s">
        <v>1092</v>
      </c>
      <c r="F999" s="91" t="s">
        <v>329</v>
      </c>
      <c r="G999" s="91" t="s">
        <v>293</v>
      </c>
      <c r="H999" s="91" t="s">
        <v>21</v>
      </c>
      <c r="I999" s="91" t="s">
        <v>235</v>
      </c>
      <c r="J999" s="92" t="s">
        <v>294</v>
      </c>
      <c r="K999" s="93">
        <v>7.64</v>
      </c>
      <c r="L999" s="93">
        <f>K999*VLOOKUP(H999,dagsoorttabel1,2,FALSE)</f>
        <v>2.9384615384615384E-2</v>
      </c>
      <c r="M999" s="94">
        <f>prodnorm118</f>
        <v>0</v>
      </c>
      <c r="N999" s="91" t="s">
        <v>101</v>
      </c>
      <c r="O999" s="26">
        <f>uurtarief118</f>
        <v>0</v>
      </c>
      <c r="P999" s="93" t="e">
        <f>IF(ISBLANK(M999),0,L999/ROUND(M999,4))</f>
        <v>#DIV/0!</v>
      </c>
      <c r="Q999" s="26" t="e">
        <f>ROUND(O999,2)*P999</f>
        <v>#DIV/0!</v>
      </c>
      <c r="R999" s="93" t="e">
        <f>P999*dagenperjaar1</f>
        <v>#DIV/0!</v>
      </c>
      <c r="S999" s="27" t="e">
        <f>R999*ROUND(O999,2)</f>
        <v>#DIV/0!</v>
      </c>
    </row>
    <row r="1000" spans="1:19" ht="25.2" x14ac:dyDescent="0.2">
      <c r="A1000" s="90" t="s">
        <v>1083</v>
      </c>
      <c r="B1000" s="91" t="s">
        <v>35</v>
      </c>
      <c r="C1000" s="91" t="s">
        <v>313</v>
      </c>
      <c r="D1000" s="91" t="s">
        <v>393</v>
      </c>
      <c r="E1000" s="92" t="s">
        <v>1093</v>
      </c>
      <c r="F1000" s="91" t="s">
        <v>329</v>
      </c>
      <c r="G1000" s="91" t="s">
        <v>293</v>
      </c>
      <c r="H1000" s="91" t="s">
        <v>21</v>
      </c>
      <c r="I1000" s="91" t="s">
        <v>235</v>
      </c>
      <c r="J1000" s="92" t="s">
        <v>294</v>
      </c>
      <c r="K1000" s="93">
        <v>12.239999999999998</v>
      </c>
      <c r="L1000" s="93">
        <f>K1000*VLOOKUP(H1000,dagsoorttabel1,2,FALSE)</f>
        <v>4.7076923076923072E-2</v>
      </c>
      <c r="M1000" s="94">
        <f>prodnorm118</f>
        <v>0</v>
      </c>
      <c r="N1000" s="91" t="s">
        <v>101</v>
      </c>
      <c r="O1000" s="26">
        <f>uurtarief118</f>
        <v>0</v>
      </c>
      <c r="P1000" s="93" t="e">
        <f>IF(ISBLANK(M1000),0,L1000/ROUND(M1000,4))</f>
        <v>#DIV/0!</v>
      </c>
      <c r="Q1000" s="26" t="e">
        <f>ROUND(O1000,2)*P1000</f>
        <v>#DIV/0!</v>
      </c>
      <c r="R1000" s="93" t="e">
        <f>P1000*dagenperjaar1</f>
        <v>#DIV/0!</v>
      </c>
      <c r="S1000" s="27" t="e">
        <f>R1000*ROUND(O1000,2)</f>
        <v>#DIV/0!</v>
      </c>
    </row>
    <row r="1001" spans="1:19" x14ac:dyDescent="0.2">
      <c r="A1001" s="90" t="s">
        <v>1083</v>
      </c>
      <c r="B1001" s="91" t="s">
        <v>35</v>
      </c>
      <c r="C1001" s="91" t="s">
        <v>313</v>
      </c>
      <c r="D1001" s="91" t="s">
        <v>394</v>
      </c>
      <c r="E1001" s="92" t="s">
        <v>351</v>
      </c>
      <c r="F1001" s="91" t="s">
        <v>329</v>
      </c>
      <c r="G1001" s="91" t="s">
        <v>352</v>
      </c>
      <c r="H1001" s="91"/>
      <c r="I1001" s="91"/>
      <c r="J1001" s="91"/>
      <c r="K1001" s="93">
        <v>23.88</v>
      </c>
      <c r="L1001" s="93"/>
      <c r="M1001" s="94"/>
      <c r="N1001" s="91"/>
      <c r="O1001" s="26"/>
      <c r="P1001" s="93"/>
      <c r="Q1001" s="26"/>
      <c r="R1001" s="95"/>
      <c r="S1001" s="27"/>
    </row>
    <row r="1002" spans="1:19" x14ac:dyDescent="0.2">
      <c r="A1002" s="90" t="s">
        <v>1083</v>
      </c>
      <c r="B1002" s="91" t="s">
        <v>35</v>
      </c>
      <c r="C1002" s="91" t="s">
        <v>313</v>
      </c>
      <c r="D1002" s="91" t="s">
        <v>395</v>
      </c>
      <c r="E1002" s="92" t="s">
        <v>1094</v>
      </c>
      <c r="F1002" s="91" t="s">
        <v>329</v>
      </c>
      <c r="G1002" s="91" t="s">
        <v>281</v>
      </c>
      <c r="H1002" s="91" t="s">
        <v>21</v>
      </c>
      <c r="I1002" s="91" t="s">
        <v>235</v>
      </c>
      <c r="J1002" s="92" t="s">
        <v>282</v>
      </c>
      <c r="K1002" s="93">
        <v>67.31</v>
      </c>
      <c r="L1002" s="93">
        <f>K1002*VLOOKUP(H1002,dagsoorttabel1,2,FALSE)</f>
        <v>0.25888461538461544</v>
      </c>
      <c r="M1002" s="94">
        <f>prodnorm103</f>
        <v>0</v>
      </c>
      <c r="N1002" s="91" t="s">
        <v>101</v>
      </c>
      <c r="O1002" s="26">
        <f>uurtarief103</f>
        <v>0</v>
      </c>
      <c r="P1002" s="93" t="e">
        <f>IF(ISBLANK(M1002),0,L1002/ROUND(M1002,4))</f>
        <v>#DIV/0!</v>
      </c>
      <c r="Q1002" s="26" t="e">
        <f>ROUND(O1002,2)*P1002</f>
        <v>#DIV/0!</v>
      </c>
      <c r="R1002" s="93" t="e">
        <f>P1002*dagenperjaar1</f>
        <v>#DIV/0!</v>
      </c>
      <c r="S1002" s="27" t="e">
        <f>R1002*ROUND(O1002,2)</f>
        <v>#DIV/0!</v>
      </c>
    </row>
    <row r="1003" spans="1:19" x14ac:dyDescent="0.2">
      <c r="A1003" s="90" t="s">
        <v>1083</v>
      </c>
      <c r="B1003" s="91" t="s">
        <v>35</v>
      </c>
      <c r="C1003" s="91" t="s">
        <v>313</v>
      </c>
      <c r="D1003" s="91" t="s">
        <v>397</v>
      </c>
      <c r="E1003" s="92" t="s">
        <v>553</v>
      </c>
      <c r="F1003" s="91" t="s">
        <v>329</v>
      </c>
      <c r="G1003" s="91" t="s">
        <v>252</v>
      </c>
      <c r="H1003" s="91" t="s">
        <v>21</v>
      </c>
      <c r="I1003" s="91" t="s">
        <v>235</v>
      </c>
      <c r="J1003" s="92" t="s">
        <v>253</v>
      </c>
      <c r="K1003" s="93">
        <v>236.7</v>
      </c>
      <c r="L1003" s="93">
        <f>K1003*VLOOKUP(H1003,dagsoorttabel1,2,FALSE)</f>
        <v>0.91038461538461535</v>
      </c>
      <c r="M1003" s="94">
        <f>prodnorm67</f>
        <v>0</v>
      </c>
      <c r="N1003" s="91" t="s">
        <v>101</v>
      </c>
      <c r="O1003" s="26">
        <f>uurtarief67</f>
        <v>0</v>
      </c>
      <c r="P1003" s="93" t="e">
        <f>IF(ISBLANK(M1003),0,L1003/ROUND(M1003,4))</f>
        <v>#DIV/0!</v>
      </c>
      <c r="Q1003" s="26" t="e">
        <f>ROUND(O1003,2)*P1003</f>
        <v>#DIV/0!</v>
      </c>
      <c r="R1003" s="93" t="e">
        <f>P1003*dagenperjaar1</f>
        <v>#DIV/0!</v>
      </c>
      <c r="S1003" s="27" t="e">
        <f>R1003*ROUND(O1003,2)</f>
        <v>#DIV/0!</v>
      </c>
    </row>
    <row r="1004" spans="1:19" x14ac:dyDescent="0.2">
      <c r="A1004" s="90" t="s">
        <v>1083</v>
      </c>
      <c r="B1004" s="91" t="s">
        <v>35</v>
      </c>
      <c r="C1004" s="91" t="s">
        <v>313</v>
      </c>
      <c r="D1004" s="91" t="s">
        <v>399</v>
      </c>
      <c r="E1004" s="92" t="s">
        <v>383</v>
      </c>
      <c r="F1004" s="91" t="s">
        <v>508</v>
      </c>
      <c r="G1004" s="91" t="s">
        <v>291</v>
      </c>
      <c r="H1004" s="91" t="s">
        <v>13</v>
      </c>
      <c r="I1004" s="91" t="s">
        <v>235</v>
      </c>
      <c r="J1004" s="92" t="s">
        <v>292</v>
      </c>
      <c r="K1004" s="93">
        <v>1.55</v>
      </c>
      <c r="L1004" s="93">
        <f>K1004*VLOOKUP(H1004,dagsoorttabel1,2,FALSE)</f>
        <v>0.31000000000000005</v>
      </c>
      <c r="M1004" s="94">
        <f>prodnorm116</f>
        <v>0</v>
      </c>
      <c r="N1004" s="91" t="s">
        <v>101</v>
      </c>
      <c r="O1004" s="26">
        <f>uurtarief116</f>
        <v>0</v>
      </c>
      <c r="P1004" s="93" t="e">
        <f>IF(ISBLANK(M1004),0,L1004/ROUND(M1004,4))</f>
        <v>#DIV/0!</v>
      </c>
      <c r="Q1004" s="26" t="e">
        <f>ROUND(O1004,2)*P1004</f>
        <v>#DIV/0!</v>
      </c>
      <c r="R1004" s="93" t="e">
        <f>P1004*dagenperjaar1</f>
        <v>#DIV/0!</v>
      </c>
      <c r="S1004" s="27" t="e">
        <f>R1004*ROUND(O1004,2)</f>
        <v>#DIV/0!</v>
      </c>
    </row>
    <row r="1005" spans="1:19" x14ac:dyDescent="0.2">
      <c r="A1005" s="90" t="s">
        <v>1083</v>
      </c>
      <c r="B1005" s="91" t="s">
        <v>35</v>
      </c>
      <c r="C1005" s="91" t="s">
        <v>313</v>
      </c>
      <c r="D1005" s="91" t="s">
        <v>401</v>
      </c>
      <c r="E1005" s="92" t="s">
        <v>559</v>
      </c>
      <c r="F1005" s="91" t="s">
        <v>390</v>
      </c>
      <c r="G1005" s="91" t="s">
        <v>298</v>
      </c>
      <c r="H1005" s="91" t="s">
        <v>13</v>
      </c>
      <c r="I1005" s="91" t="s">
        <v>235</v>
      </c>
      <c r="J1005" s="92" t="s">
        <v>299</v>
      </c>
      <c r="K1005" s="93">
        <v>13.25</v>
      </c>
      <c r="L1005" s="93">
        <f>K1005*VLOOKUP(H1005,dagsoorttabel1,2,FALSE)</f>
        <v>2.6500000000000004</v>
      </c>
      <c r="M1005" s="94">
        <f>prodnorm124</f>
        <v>0</v>
      </c>
      <c r="N1005" s="91" t="s">
        <v>101</v>
      </c>
      <c r="O1005" s="26">
        <f>uurtarief124</f>
        <v>0</v>
      </c>
      <c r="P1005" s="93" t="e">
        <f>IF(ISBLANK(M1005),0,L1005/ROUND(M1005,4))</f>
        <v>#DIV/0!</v>
      </c>
      <c r="Q1005" s="26" t="e">
        <f>ROUND(O1005,2)*P1005</f>
        <v>#DIV/0!</v>
      </c>
      <c r="R1005" s="93" t="e">
        <f>P1005*dagenperjaar1</f>
        <v>#DIV/0!</v>
      </c>
      <c r="S1005" s="27" t="e">
        <f>R1005*ROUND(O1005,2)</f>
        <v>#DIV/0!</v>
      </c>
    </row>
    <row r="1006" spans="1:19" x14ac:dyDescent="0.2">
      <c r="A1006" s="90" t="s">
        <v>1083</v>
      </c>
      <c r="B1006" s="91" t="s">
        <v>35</v>
      </c>
      <c r="C1006" s="91" t="s">
        <v>343</v>
      </c>
      <c r="D1006" s="91" t="s">
        <v>345</v>
      </c>
      <c r="E1006" s="92" t="s">
        <v>1095</v>
      </c>
      <c r="F1006" s="91" t="s">
        <v>427</v>
      </c>
      <c r="G1006" s="91" t="s">
        <v>352</v>
      </c>
      <c r="H1006" s="91"/>
      <c r="I1006" s="91"/>
      <c r="J1006" s="91"/>
      <c r="K1006" s="93">
        <v>6.5</v>
      </c>
      <c r="L1006" s="93"/>
      <c r="M1006" s="94"/>
      <c r="N1006" s="91"/>
      <c r="O1006" s="26"/>
      <c r="P1006" s="93"/>
      <c r="Q1006" s="26"/>
      <c r="R1006" s="95"/>
      <c r="S1006" s="27"/>
    </row>
    <row r="1007" spans="1:19" x14ac:dyDescent="0.2">
      <c r="A1007" s="90" t="s">
        <v>1083</v>
      </c>
      <c r="B1007" s="91" t="s">
        <v>35</v>
      </c>
      <c r="C1007" s="91" t="s">
        <v>343</v>
      </c>
      <c r="D1007" s="91" t="s">
        <v>348</v>
      </c>
      <c r="E1007" s="92" t="s">
        <v>326</v>
      </c>
      <c r="F1007" s="91" t="s">
        <v>387</v>
      </c>
      <c r="G1007" s="91" t="s">
        <v>260</v>
      </c>
      <c r="H1007" s="91" t="s">
        <v>12</v>
      </c>
      <c r="I1007" s="91" t="s">
        <v>235</v>
      </c>
      <c r="J1007" s="92" t="s">
        <v>261</v>
      </c>
      <c r="K1007" s="93">
        <v>62.839999999999996</v>
      </c>
      <c r="L1007" s="93">
        <f>K1007*VLOOKUP(H1007,dagsoorttabel1,2,FALSE)</f>
        <v>25.135999999999999</v>
      </c>
      <c r="M1007" s="94">
        <f>prodnorm76</f>
        <v>0</v>
      </c>
      <c r="N1007" s="91" t="s">
        <v>101</v>
      </c>
      <c r="O1007" s="26">
        <f>uurtarief76</f>
        <v>0</v>
      </c>
      <c r="P1007" s="93" t="e">
        <f>IF(ISBLANK(M1007),0,L1007/ROUND(M1007,4))</f>
        <v>#DIV/0!</v>
      </c>
      <c r="Q1007" s="26" t="e">
        <f>ROUND(O1007,2)*P1007</f>
        <v>#DIV/0!</v>
      </c>
      <c r="R1007" s="93" t="e">
        <f>P1007*dagenperjaar1</f>
        <v>#DIV/0!</v>
      </c>
      <c r="S1007" s="27" t="e">
        <f>R1007*ROUND(O1007,2)</f>
        <v>#DIV/0!</v>
      </c>
    </row>
    <row r="1008" spans="1:19" x14ac:dyDescent="0.2">
      <c r="A1008" s="90" t="s">
        <v>1083</v>
      </c>
      <c r="B1008" s="91" t="s">
        <v>35</v>
      </c>
      <c r="C1008" s="91" t="s">
        <v>343</v>
      </c>
      <c r="D1008" s="91" t="s">
        <v>350</v>
      </c>
      <c r="E1008" s="92" t="s">
        <v>882</v>
      </c>
      <c r="F1008" s="91" t="s">
        <v>387</v>
      </c>
      <c r="G1008" s="91" t="s">
        <v>270</v>
      </c>
      <c r="H1008" s="91" t="s">
        <v>12</v>
      </c>
      <c r="I1008" s="91" t="s">
        <v>235</v>
      </c>
      <c r="J1008" s="92" t="s">
        <v>271</v>
      </c>
      <c r="K1008" s="93">
        <v>45.02</v>
      </c>
      <c r="L1008" s="93">
        <f>K1008*VLOOKUP(H1008,dagsoorttabel1,2,FALSE)</f>
        <v>18.008000000000003</v>
      </c>
      <c r="M1008" s="94">
        <f>prodnorm90</f>
        <v>0</v>
      </c>
      <c r="N1008" s="91" t="s">
        <v>101</v>
      </c>
      <c r="O1008" s="26">
        <f>uurtarief90</f>
        <v>0</v>
      </c>
      <c r="P1008" s="93" t="e">
        <f>IF(ISBLANK(M1008),0,L1008/ROUND(M1008,4))</f>
        <v>#DIV/0!</v>
      </c>
      <c r="Q1008" s="26" t="e">
        <f>ROUND(O1008,2)*P1008</f>
        <v>#DIV/0!</v>
      </c>
      <c r="R1008" s="93" t="e">
        <f>P1008*dagenperjaar1</f>
        <v>#DIV/0!</v>
      </c>
      <c r="S1008" s="27" t="e">
        <f>R1008*ROUND(O1008,2)</f>
        <v>#DIV/0!</v>
      </c>
    </row>
    <row r="1009" spans="1:19" x14ac:dyDescent="0.2">
      <c r="A1009" s="90" t="s">
        <v>1083</v>
      </c>
      <c r="B1009" s="91" t="s">
        <v>35</v>
      </c>
      <c r="C1009" s="91" t="s">
        <v>343</v>
      </c>
      <c r="D1009" s="91" t="s">
        <v>353</v>
      </c>
      <c r="E1009" s="92" t="s">
        <v>403</v>
      </c>
      <c r="F1009" s="91" t="s">
        <v>347</v>
      </c>
      <c r="G1009" s="91" t="s">
        <v>270</v>
      </c>
      <c r="H1009" s="91" t="s">
        <v>12</v>
      </c>
      <c r="I1009" s="91" t="s">
        <v>235</v>
      </c>
      <c r="J1009" s="92" t="s">
        <v>271</v>
      </c>
      <c r="K1009" s="93">
        <v>37.15</v>
      </c>
      <c r="L1009" s="93">
        <f>K1009*VLOOKUP(H1009,dagsoorttabel1,2,FALSE)</f>
        <v>14.86</v>
      </c>
      <c r="M1009" s="94">
        <f>prodnorm90</f>
        <v>0</v>
      </c>
      <c r="N1009" s="91" t="s">
        <v>101</v>
      </c>
      <c r="O1009" s="26">
        <f>uurtarief90</f>
        <v>0</v>
      </c>
      <c r="P1009" s="93" t="e">
        <f>IF(ISBLANK(M1009),0,L1009/ROUND(M1009,4))</f>
        <v>#DIV/0!</v>
      </c>
      <c r="Q1009" s="26" t="e">
        <f>ROUND(O1009,2)*P1009</f>
        <v>#DIV/0!</v>
      </c>
      <c r="R1009" s="93" t="e">
        <f>P1009*dagenperjaar1</f>
        <v>#DIV/0!</v>
      </c>
      <c r="S1009" s="27" t="e">
        <f>R1009*ROUND(O1009,2)</f>
        <v>#DIV/0!</v>
      </c>
    </row>
    <row r="1010" spans="1:19" x14ac:dyDescent="0.2">
      <c r="A1010" s="90" t="s">
        <v>1083</v>
      </c>
      <c r="B1010" s="91" t="s">
        <v>35</v>
      </c>
      <c r="C1010" s="91" t="s">
        <v>343</v>
      </c>
      <c r="D1010" s="91" t="s">
        <v>355</v>
      </c>
      <c r="E1010" s="92" t="s">
        <v>367</v>
      </c>
      <c r="F1010" s="91" t="s">
        <v>387</v>
      </c>
      <c r="G1010" s="91" t="s">
        <v>283</v>
      </c>
      <c r="H1010" s="91" t="s">
        <v>12</v>
      </c>
      <c r="I1010" s="91" t="s">
        <v>235</v>
      </c>
      <c r="J1010" s="92" t="s">
        <v>284</v>
      </c>
      <c r="K1010" s="93">
        <v>30.2</v>
      </c>
      <c r="L1010" s="93">
        <f>K1010*VLOOKUP(H1010,dagsoorttabel1,2,FALSE)</f>
        <v>12.08</v>
      </c>
      <c r="M1010" s="94">
        <f>prodnorm107</f>
        <v>0</v>
      </c>
      <c r="N1010" s="91" t="s">
        <v>101</v>
      </c>
      <c r="O1010" s="26">
        <f>uurtarief107</f>
        <v>0</v>
      </c>
      <c r="P1010" s="93" t="e">
        <f>IF(ISBLANK(M1010),0,L1010/ROUND(M1010,4))</f>
        <v>#DIV/0!</v>
      </c>
      <c r="Q1010" s="26" t="e">
        <f>ROUND(O1010,2)*P1010</f>
        <v>#DIV/0!</v>
      </c>
      <c r="R1010" s="93" t="e">
        <f>P1010*dagenperjaar1</f>
        <v>#DIV/0!</v>
      </c>
      <c r="S1010" s="27" t="e">
        <f>R1010*ROUND(O1010,2)</f>
        <v>#DIV/0!</v>
      </c>
    </row>
    <row r="1011" spans="1:19" ht="25.2" x14ac:dyDescent="0.2">
      <c r="A1011" s="90" t="s">
        <v>1083</v>
      </c>
      <c r="B1011" s="91" t="s">
        <v>35</v>
      </c>
      <c r="C1011" s="91" t="s">
        <v>343</v>
      </c>
      <c r="D1011" s="91" t="s">
        <v>379</v>
      </c>
      <c r="E1011" s="92" t="s">
        <v>360</v>
      </c>
      <c r="F1011" s="91" t="s">
        <v>387</v>
      </c>
      <c r="G1011" s="91" t="s">
        <v>293</v>
      </c>
      <c r="H1011" s="91" t="s">
        <v>13</v>
      </c>
      <c r="I1011" s="91" t="s">
        <v>235</v>
      </c>
      <c r="J1011" s="92" t="s">
        <v>294</v>
      </c>
      <c r="K1011" s="93">
        <v>6.05</v>
      </c>
      <c r="L1011" s="93">
        <f>K1011*VLOOKUP(H1011,dagsoorttabel1,2,FALSE)</f>
        <v>1.21</v>
      </c>
      <c r="M1011" s="94">
        <f>prodnorm119</f>
        <v>0</v>
      </c>
      <c r="N1011" s="91" t="s">
        <v>101</v>
      </c>
      <c r="O1011" s="26">
        <f>uurtarief119</f>
        <v>0</v>
      </c>
      <c r="P1011" s="93" t="e">
        <f>IF(ISBLANK(M1011),0,L1011/ROUND(M1011,4))</f>
        <v>#DIV/0!</v>
      </c>
      <c r="Q1011" s="26" t="e">
        <f>ROUND(O1011,2)*P1011</f>
        <v>#DIV/0!</v>
      </c>
      <c r="R1011" s="93" t="e">
        <f>P1011*dagenperjaar1</f>
        <v>#DIV/0!</v>
      </c>
      <c r="S1011" s="27" t="e">
        <f>R1011*ROUND(O1011,2)</f>
        <v>#DIV/0!</v>
      </c>
    </row>
    <row r="1012" spans="1:19" x14ac:dyDescent="0.2">
      <c r="A1012" s="90" t="s">
        <v>1083</v>
      </c>
      <c r="B1012" s="91" t="s">
        <v>35</v>
      </c>
      <c r="C1012" s="91" t="s">
        <v>343</v>
      </c>
      <c r="D1012" s="91" t="s">
        <v>406</v>
      </c>
      <c r="E1012" s="92" t="s">
        <v>1096</v>
      </c>
      <c r="F1012" s="91" t="s">
        <v>427</v>
      </c>
      <c r="G1012" s="91" t="s">
        <v>279</v>
      </c>
      <c r="H1012" s="91" t="s">
        <v>12</v>
      </c>
      <c r="I1012" s="91" t="s">
        <v>235</v>
      </c>
      <c r="J1012" s="92" t="s">
        <v>280</v>
      </c>
      <c r="K1012" s="93">
        <v>12.11</v>
      </c>
      <c r="L1012" s="93">
        <f>K1012*VLOOKUP(H1012,dagsoorttabel1,2,FALSE)</f>
        <v>4.8440000000000003</v>
      </c>
      <c r="M1012" s="94">
        <f>prodnorm101</f>
        <v>0</v>
      </c>
      <c r="N1012" s="91" t="s">
        <v>101</v>
      </c>
      <c r="O1012" s="26">
        <f>uurtarief101</f>
        <v>0</v>
      </c>
      <c r="P1012" s="93" t="e">
        <f>IF(ISBLANK(M1012),0,L1012/ROUND(M1012,4))</f>
        <v>#DIV/0!</v>
      </c>
      <c r="Q1012" s="26" t="e">
        <f>ROUND(O1012,2)*P1012</f>
        <v>#DIV/0!</v>
      </c>
      <c r="R1012" s="93" t="e">
        <f>P1012*dagenperjaar1</f>
        <v>#DIV/0!</v>
      </c>
      <c r="S1012" s="27" t="e">
        <f>R1012*ROUND(O1012,2)</f>
        <v>#DIV/0!</v>
      </c>
    </row>
    <row r="1013" spans="1:19" x14ac:dyDescent="0.2">
      <c r="A1013" s="90" t="s">
        <v>1083</v>
      </c>
      <c r="B1013" s="91" t="s">
        <v>35</v>
      </c>
      <c r="C1013" s="91" t="s">
        <v>343</v>
      </c>
      <c r="D1013" s="91" t="s">
        <v>407</v>
      </c>
      <c r="E1013" s="92" t="s">
        <v>448</v>
      </c>
      <c r="F1013" s="91" t="s">
        <v>427</v>
      </c>
      <c r="G1013" s="91" t="s">
        <v>279</v>
      </c>
      <c r="H1013" s="91" t="s">
        <v>12</v>
      </c>
      <c r="I1013" s="91" t="s">
        <v>235</v>
      </c>
      <c r="J1013" s="92" t="s">
        <v>280</v>
      </c>
      <c r="K1013" s="93">
        <v>3.66</v>
      </c>
      <c r="L1013" s="93">
        <f>K1013*VLOOKUP(H1013,dagsoorttabel1,2,FALSE)</f>
        <v>1.4640000000000002</v>
      </c>
      <c r="M1013" s="94">
        <f>prodnorm101</f>
        <v>0</v>
      </c>
      <c r="N1013" s="91" t="s">
        <v>101</v>
      </c>
      <c r="O1013" s="26">
        <f>uurtarief101</f>
        <v>0</v>
      </c>
      <c r="P1013" s="93" t="e">
        <f>IF(ISBLANK(M1013),0,L1013/ROUND(M1013,4))</f>
        <v>#DIV/0!</v>
      </c>
      <c r="Q1013" s="26" t="e">
        <f>ROUND(O1013,2)*P1013</f>
        <v>#DIV/0!</v>
      </c>
      <c r="R1013" s="93" t="e">
        <f>P1013*dagenperjaar1</f>
        <v>#DIV/0!</v>
      </c>
      <c r="S1013" s="27" t="e">
        <f>R1013*ROUND(O1013,2)</f>
        <v>#DIV/0!</v>
      </c>
    </row>
    <row r="1014" spans="1:19" x14ac:dyDescent="0.2">
      <c r="A1014" s="90" t="s">
        <v>1083</v>
      </c>
      <c r="B1014" s="91" t="s">
        <v>35</v>
      </c>
      <c r="C1014" s="91" t="s">
        <v>343</v>
      </c>
      <c r="D1014" s="91" t="s">
        <v>408</v>
      </c>
      <c r="E1014" s="92" t="s">
        <v>1073</v>
      </c>
      <c r="F1014" s="91" t="s">
        <v>427</v>
      </c>
      <c r="G1014" s="91" t="s">
        <v>279</v>
      </c>
      <c r="H1014" s="91" t="s">
        <v>12</v>
      </c>
      <c r="I1014" s="91" t="s">
        <v>235</v>
      </c>
      <c r="J1014" s="92" t="s">
        <v>280</v>
      </c>
      <c r="K1014" s="93">
        <v>6.6099999999999994</v>
      </c>
      <c r="L1014" s="93">
        <f>K1014*VLOOKUP(H1014,dagsoorttabel1,2,FALSE)</f>
        <v>2.6440000000000001</v>
      </c>
      <c r="M1014" s="94">
        <f>prodnorm101</f>
        <v>0</v>
      </c>
      <c r="N1014" s="91" t="s">
        <v>101</v>
      </c>
      <c r="O1014" s="26">
        <f>uurtarief101</f>
        <v>0</v>
      </c>
      <c r="P1014" s="93" t="e">
        <f>IF(ISBLANK(M1014),0,L1014/ROUND(M1014,4))</f>
        <v>#DIV/0!</v>
      </c>
      <c r="Q1014" s="26" t="e">
        <f>ROUND(O1014,2)*P1014</f>
        <v>#DIV/0!</v>
      </c>
      <c r="R1014" s="93" t="e">
        <f>P1014*dagenperjaar1</f>
        <v>#DIV/0!</v>
      </c>
      <c r="S1014" s="27" t="e">
        <f>R1014*ROUND(O1014,2)</f>
        <v>#DIV/0!</v>
      </c>
    </row>
    <row r="1015" spans="1:19" x14ac:dyDescent="0.2">
      <c r="A1015" s="90" t="s">
        <v>1083</v>
      </c>
      <c r="B1015" s="91" t="s">
        <v>35</v>
      </c>
      <c r="C1015" s="91" t="s">
        <v>343</v>
      </c>
      <c r="D1015" s="91" t="s">
        <v>409</v>
      </c>
      <c r="E1015" s="92" t="s">
        <v>1097</v>
      </c>
      <c r="F1015" s="91" t="s">
        <v>427</v>
      </c>
      <c r="G1015" s="91" t="s">
        <v>352</v>
      </c>
      <c r="H1015" s="91"/>
      <c r="I1015" s="91"/>
      <c r="J1015" s="91"/>
      <c r="K1015" s="93">
        <v>4.28</v>
      </c>
      <c r="L1015" s="93"/>
      <c r="M1015" s="94"/>
      <c r="N1015" s="91"/>
      <c r="O1015" s="26"/>
      <c r="P1015" s="93"/>
      <c r="Q1015" s="26"/>
      <c r="R1015" s="95"/>
      <c r="S1015" s="27"/>
    </row>
    <row r="1016" spans="1:19" x14ac:dyDescent="0.2">
      <c r="A1016" s="90" t="s">
        <v>1083</v>
      </c>
      <c r="B1016" s="91" t="s">
        <v>35</v>
      </c>
      <c r="C1016" s="91" t="s">
        <v>343</v>
      </c>
      <c r="D1016" s="91" t="s">
        <v>691</v>
      </c>
      <c r="E1016" s="92" t="s">
        <v>1098</v>
      </c>
      <c r="F1016" s="91" t="s">
        <v>35</v>
      </c>
      <c r="G1016" s="91" t="s">
        <v>352</v>
      </c>
      <c r="H1016" s="91"/>
      <c r="I1016" s="91"/>
      <c r="J1016" s="91"/>
      <c r="K1016" s="93">
        <v>0</v>
      </c>
      <c r="L1016" s="93"/>
      <c r="M1016" s="94"/>
      <c r="N1016" s="91"/>
      <c r="O1016" s="26"/>
      <c r="P1016" s="93"/>
      <c r="Q1016" s="26"/>
      <c r="R1016" s="95"/>
      <c r="S1016" s="27"/>
    </row>
    <row r="1017" spans="1:19" x14ac:dyDescent="0.2">
      <c r="A1017" s="90" t="s">
        <v>1083</v>
      </c>
      <c r="B1017" s="91" t="s">
        <v>35</v>
      </c>
      <c r="C1017" s="91" t="s">
        <v>343</v>
      </c>
      <c r="D1017" s="91" t="s">
        <v>695</v>
      </c>
      <c r="E1017" s="92" t="s">
        <v>366</v>
      </c>
      <c r="F1017" s="91" t="s">
        <v>35</v>
      </c>
      <c r="G1017" s="91" t="s">
        <v>352</v>
      </c>
      <c r="H1017" s="91"/>
      <c r="I1017" s="91"/>
      <c r="J1017" s="91"/>
      <c r="K1017" s="93">
        <v>0</v>
      </c>
      <c r="L1017" s="93"/>
      <c r="M1017" s="94"/>
      <c r="N1017" s="91"/>
      <c r="O1017" s="26"/>
      <c r="P1017" s="93"/>
      <c r="Q1017" s="26"/>
      <c r="R1017" s="95"/>
      <c r="S1017" s="27"/>
    </row>
    <row r="1018" spans="1:19" x14ac:dyDescent="0.2">
      <c r="A1018" s="90" t="s">
        <v>1083</v>
      </c>
      <c r="B1018" s="91" t="s">
        <v>35</v>
      </c>
      <c r="C1018" s="91" t="s">
        <v>343</v>
      </c>
      <c r="D1018" s="91" t="s">
        <v>697</v>
      </c>
      <c r="E1018" s="92" t="s">
        <v>349</v>
      </c>
      <c r="F1018" s="91" t="s">
        <v>508</v>
      </c>
      <c r="G1018" s="91" t="s">
        <v>266</v>
      </c>
      <c r="H1018" s="91" t="s">
        <v>12</v>
      </c>
      <c r="I1018" s="91" t="s">
        <v>235</v>
      </c>
      <c r="J1018" s="92" t="s">
        <v>267</v>
      </c>
      <c r="K1018" s="93">
        <v>17.64</v>
      </c>
      <c r="L1018" s="93">
        <f>K1018*VLOOKUP(H1018,dagsoorttabel1,2,FALSE)</f>
        <v>7.0560000000000009</v>
      </c>
      <c r="M1018" s="94">
        <f>prodnorm84</f>
        <v>0</v>
      </c>
      <c r="N1018" s="91" t="s">
        <v>101</v>
      </c>
      <c r="O1018" s="26">
        <f>uurtarief84</f>
        <v>0</v>
      </c>
      <c r="P1018" s="93" t="e">
        <f>IF(ISBLANK(M1018),0,L1018/ROUND(M1018,4))</f>
        <v>#DIV/0!</v>
      </c>
      <c r="Q1018" s="26" t="e">
        <f>ROUND(O1018,2)*P1018</f>
        <v>#DIV/0!</v>
      </c>
      <c r="R1018" s="93" t="e">
        <f>P1018*dagenperjaar1</f>
        <v>#DIV/0!</v>
      </c>
      <c r="S1018" s="27" t="e">
        <f>R1018*ROUND(O1018,2)</f>
        <v>#DIV/0!</v>
      </c>
    </row>
    <row r="1019" spans="1:19" x14ac:dyDescent="0.2">
      <c r="A1019" s="96" t="s">
        <v>1083</v>
      </c>
      <c r="B1019" s="97" t="s">
        <v>35</v>
      </c>
      <c r="C1019" s="97" t="s">
        <v>343</v>
      </c>
      <c r="D1019" s="97" t="s">
        <v>1026</v>
      </c>
      <c r="E1019" s="98" t="s">
        <v>1099</v>
      </c>
      <c r="F1019" s="97" t="s">
        <v>387</v>
      </c>
      <c r="G1019" s="97" t="s">
        <v>283</v>
      </c>
      <c r="H1019" s="97" t="s">
        <v>12</v>
      </c>
      <c r="I1019" s="97" t="s">
        <v>235</v>
      </c>
      <c r="J1019" s="98" t="s">
        <v>284</v>
      </c>
      <c r="K1019" s="99">
        <v>19.36</v>
      </c>
      <c r="L1019" s="99">
        <f>K1019*VLOOKUP(H1019,dagsoorttabel1,2,FALSE)</f>
        <v>7.7439999999999998</v>
      </c>
      <c r="M1019" s="100">
        <f>prodnorm107</f>
        <v>0</v>
      </c>
      <c r="N1019" s="97" t="s">
        <v>101</v>
      </c>
      <c r="O1019" s="36">
        <f>uurtarief107</f>
        <v>0</v>
      </c>
      <c r="P1019" s="99" t="e">
        <f>IF(ISBLANK(M1019),0,L1019/ROUND(M1019,4))</f>
        <v>#DIV/0!</v>
      </c>
      <c r="Q1019" s="36" t="e">
        <f>ROUND(O1019,2)*P1019</f>
        <v>#DIV/0!</v>
      </c>
      <c r="R1019" s="99" t="e">
        <f>P1019*dagenperjaar1</f>
        <v>#DIV/0!</v>
      </c>
      <c r="S1019" s="37" t="e">
        <f>R1019*ROUND(O1019,2)</f>
        <v>#DIV/0!</v>
      </c>
    </row>
    <row r="1020" spans="1:19" x14ac:dyDescent="0.2">
      <c r="A1020" s="101" t="s">
        <v>356</v>
      </c>
      <c r="B1020" s="74"/>
      <c r="C1020" s="74"/>
      <c r="D1020" s="74"/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6" t="e">
        <f>IF(_xlfn.SINGLE(object27_urenjaar1)&gt;0,_xlfn.SINGLE(object27_prijsjaar1)/_xlfn.SINGLE(object27_urenjaar1),0)</f>
        <v>#DIV/0!</v>
      </c>
      <c r="P1020" s="75" t="e">
        <f>SUM(P977:P1019)</f>
        <v>#DIV/0!</v>
      </c>
      <c r="Q1020" s="76" t="e">
        <f>SUM(Q977:Q1019)</f>
        <v>#DIV/0!</v>
      </c>
      <c r="R1020" s="75" t="e">
        <f>SUM(R977:R1019)</f>
        <v>#DIV/0!</v>
      </c>
      <c r="S1020" s="77" t="e">
        <f>SUM(S977:S1019)</f>
        <v>#DIV/0!</v>
      </c>
    </row>
    <row r="1021" spans="1:19" x14ac:dyDescent="0.2">
      <c r="A1021" s="82" t="s">
        <v>1100</v>
      </c>
      <c r="B1021" s="49"/>
      <c r="C1021" s="49"/>
      <c r="D1021" s="49"/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72"/>
    </row>
    <row r="1022" spans="1:19" x14ac:dyDescent="0.2">
      <c r="A1022" s="83" t="s">
        <v>1101</v>
      </c>
      <c r="B1022" s="84" t="s">
        <v>35</v>
      </c>
      <c r="C1022" s="84" t="s">
        <v>313</v>
      </c>
      <c r="D1022" s="84" t="s">
        <v>314</v>
      </c>
      <c r="E1022" s="85" t="s">
        <v>913</v>
      </c>
      <c r="F1022" s="84" t="s">
        <v>316</v>
      </c>
      <c r="G1022" s="84" t="s">
        <v>287</v>
      </c>
      <c r="H1022" s="84" t="s">
        <v>13</v>
      </c>
      <c r="I1022" s="84" t="s">
        <v>235</v>
      </c>
      <c r="J1022" s="85" t="s">
        <v>288</v>
      </c>
      <c r="K1022" s="86">
        <v>22.6</v>
      </c>
      <c r="L1022" s="86">
        <f>K1022*VLOOKUP(H1022,dagsoorttabel1,2,FALSE)</f>
        <v>4.5200000000000005</v>
      </c>
      <c r="M1022" s="87">
        <f>prodnorm112</f>
        <v>0</v>
      </c>
      <c r="N1022" s="84" t="s">
        <v>101</v>
      </c>
      <c r="O1022" s="88">
        <f>uurtarief112</f>
        <v>0</v>
      </c>
      <c r="P1022" s="86" t="e">
        <f>IF(ISBLANK(M1022),0,L1022/ROUND(M1022,4))</f>
        <v>#DIV/0!</v>
      </c>
      <c r="Q1022" s="88" t="e">
        <f>ROUND(O1022,2)*P1022</f>
        <v>#DIV/0!</v>
      </c>
      <c r="R1022" s="86" t="e">
        <f>P1022*dagenperjaar1</f>
        <v>#DIV/0!</v>
      </c>
      <c r="S1022" s="89" t="e">
        <f>R1022*ROUND(O1022,2)</f>
        <v>#DIV/0!</v>
      </c>
    </row>
    <row r="1023" spans="1:19" x14ac:dyDescent="0.2">
      <c r="A1023" s="90" t="s">
        <v>1101</v>
      </c>
      <c r="B1023" s="91" t="s">
        <v>35</v>
      </c>
      <c r="C1023" s="91" t="s">
        <v>313</v>
      </c>
      <c r="D1023" s="91" t="s">
        <v>317</v>
      </c>
      <c r="E1023" s="92" t="s">
        <v>326</v>
      </c>
      <c r="F1023" s="91" t="s">
        <v>361</v>
      </c>
      <c r="G1023" s="91" t="s">
        <v>260</v>
      </c>
      <c r="H1023" s="91" t="s">
        <v>13</v>
      </c>
      <c r="I1023" s="91" t="s">
        <v>235</v>
      </c>
      <c r="J1023" s="92" t="s">
        <v>261</v>
      </c>
      <c r="K1023" s="93">
        <v>56.6</v>
      </c>
      <c r="L1023" s="93">
        <f>K1023*VLOOKUP(H1023,dagsoorttabel1,2,FALSE)</f>
        <v>11.32</v>
      </c>
      <c r="M1023" s="94">
        <f>prodnorm75</f>
        <v>0</v>
      </c>
      <c r="N1023" s="91" t="s">
        <v>101</v>
      </c>
      <c r="O1023" s="26">
        <f>uurtarief75</f>
        <v>0</v>
      </c>
      <c r="P1023" s="93" t="e">
        <f>IF(ISBLANK(M1023),0,L1023/ROUND(M1023,4))</f>
        <v>#DIV/0!</v>
      </c>
      <c r="Q1023" s="26" t="e">
        <f>ROUND(O1023,2)*P1023</f>
        <v>#DIV/0!</v>
      </c>
      <c r="R1023" s="93" t="e">
        <f>P1023*dagenperjaar1</f>
        <v>#DIV/0!</v>
      </c>
      <c r="S1023" s="27" t="e">
        <f>R1023*ROUND(O1023,2)</f>
        <v>#DIV/0!</v>
      </c>
    </row>
    <row r="1024" spans="1:19" x14ac:dyDescent="0.2">
      <c r="A1024" s="90" t="s">
        <v>1101</v>
      </c>
      <c r="B1024" s="91" t="s">
        <v>35</v>
      </c>
      <c r="C1024" s="91" t="s">
        <v>313</v>
      </c>
      <c r="D1024" s="91" t="s">
        <v>320</v>
      </c>
      <c r="E1024" s="92" t="s">
        <v>551</v>
      </c>
      <c r="F1024" s="91" t="s">
        <v>316</v>
      </c>
      <c r="G1024" s="91" t="s">
        <v>279</v>
      </c>
      <c r="H1024" s="91" t="s">
        <v>13</v>
      </c>
      <c r="I1024" s="91" t="s">
        <v>235</v>
      </c>
      <c r="J1024" s="92" t="s">
        <v>280</v>
      </c>
      <c r="K1024" s="93">
        <v>1.4</v>
      </c>
      <c r="L1024" s="93">
        <f>K1024*VLOOKUP(H1024,dagsoorttabel1,2,FALSE)</f>
        <v>0.27999999999999997</v>
      </c>
      <c r="M1024" s="94">
        <f>prodnorm100</f>
        <v>0</v>
      </c>
      <c r="N1024" s="91" t="s">
        <v>101</v>
      </c>
      <c r="O1024" s="26">
        <f>uurtarief100</f>
        <v>0</v>
      </c>
      <c r="P1024" s="93" t="e">
        <f>IF(ISBLANK(M1024),0,L1024/ROUND(M1024,4))</f>
        <v>#DIV/0!</v>
      </c>
      <c r="Q1024" s="26" t="e">
        <f>ROUND(O1024,2)*P1024</f>
        <v>#DIV/0!</v>
      </c>
      <c r="R1024" s="93" t="e">
        <f>P1024*dagenperjaar1</f>
        <v>#DIV/0!</v>
      </c>
      <c r="S1024" s="27" t="e">
        <f>R1024*ROUND(O1024,2)</f>
        <v>#DIV/0!</v>
      </c>
    </row>
    <row r="1025" spans="1:19" x14ac:dyDescent="0.2">
      <c r="A1025" s="90" t="s">
        <v>1101</v>
      </c>
      <c r="B1025" s="91" t="s">
        <v>35</v>
      </c>
      <c r="C1025" s="91" t="s">
        <v>313</v>
      </c>
      <c r="D1025" s="91" t="s">
        <v>322</v>
      </c>
      <c r="E1025" s="92" t="s">
        <v>562</v>
      </c>
      <c r="F1025" s="91" t="s">
        <v>316</v>
      </c>
      <c r="G1025" s="91" t="s">
        <v>279</v>
      </c>
      <c r="H1025" s="91" t="s">
        <v>13</v>
      </c>
      <c r="I1025" s="91" t="s">
        <v>235</v>
      </c>
      <c r="J1025" s="92" t="s">
        <v>280</v>
      </c>
      <c r="K1025" s="93">
        <v>3.4</v>
      </c>
      <c r="L1025" s="93">
        <f>K1025*VLOOKUP(H1025,dagsoorttabel1,2,FALSE)</f>
        <v>0.68</v>
      </c>
      <c r="M1025" s="94">
        <f>prodnorm100</f>
        <v>0</v>
      </c>
      <c r="N1025" s="91" t="s">
        <v>101</v>
      </c>
      <c r="O1025" s="26">
        <f>uurtarief100</f>
        <v>0</v>
      </c>
      <c r="P1025" s="93" t="e">
        <f>IF(ISBLANK(M1025),0,L1025/ROUND(M1025,4))</f>
        <v>#DIV/0!</v>
      </c>
      <c r="Q1025" s="26" t="e">
        <f>ROUND(O1025,2)*P1025</f>
        <v>#DIV/0!</v>
      </c>
      <c r="R1025" s="93" t="e">
        <f>P1025*dagenperjaar1</f>
        <v>#DIV/0!</v>
      </c>
      <c r="S1025" s="27" t="e">
        <f>R1025*ROUND(O1025,2)</f>
        <v>#DIV/0!</v>
      </c>
    </row>
    <row r="1026" spans="1:19" ht="25.2" x14ac:dyDescent="0.2">
      <c r="A1026" s="90" t="s">
        <v>1101</v>
      </c>
      <c r="B1026" s="91" t="s">
        <v>35</v>
      </c>
      <c r="C1026" s="91" t="s">
        <v>313</v>
      </c>
      <c r="D1026" s="91" t="s">
        <v>324</v>
      </c>
      <c r="E1026" s="92" t="s">
        <v>899</v>
      </c>
      <c r="F1026" s="91" t="s">
        <v>387</v>
      </c>
      <c r="G1026" s="91" t="s">
        <v>250</v>
      </c>
      <c r="H1026" s="91" t="s">
        <v>13</v>
      </c>
      <c r="I1026" s="91" t="s">
        <v>235</v>
      </c>
      <c r="J1026" s="92" t="s">
        <v>251</v>
      </c>
      <c r="K1026" s="93">
        <v>12.57</v>
      </c>
      <c r="L1026" s="93">
        <f>K1026*VLOOKUP(H1026,dagsoorttabel1,2,FALSE)</f>
        <v>2.5140000000000002</v>
      </c>
      <c r="M1026" s="94">
        <f>prodnorm64</f>
        <v>0</v>
      </c>
      <c r="N1026" s="91" t="s">
        <v>101</v>
      </c>
      <c r="O1026" s="26">
        <f>uurtarief64</f>
        <v>0</v>
      </c>
      <c r="P1026" s="93" t="e">
        <f>IF(ISBLANK(M1026),0,L1026/ROUND(M1026,4))</f>
        <v>#DIV/0!</v>
      </c>
      <c r="Q1026" s="26" t="e">
        <f>ROUND(O1026,2)*P1026</f>
        <v>#DIV/0!</v>
      </c>
      <c r="R1026" s="93" t="e">
        <f>P1026*dagenperjaar1</f>
        <v>#DIV/0!</v>
      </c>
      <c r="S1026" s="27" t="e">
        <f>R1026*ROUND(O1026,2)</f>
        <v>#DIV/0!</v>
      </c>
    </row>
    <row r="1027" spans="1:19" x14ac:dyDescent="0.2">
      <c r="A1027" s="90" t="s">
        <v>1101</v>
      </c>
      <c r="B1027" s="91" t="s">
        <v>35</v>
      </c>
      <c r="C1027" s="91" t="s">
        <v>313</v>
      </c>
      <c r="D1027" s="91" t="s">
        <v>325</v>
      </c>
      <c r="E1027" s="92" t="s">
        <v>380</v>
      </c>
      <c r="F1027" s="91" t="s">
        <v>316</v>
      </c>
      <c r="G1027" s="91" t="s">
        <v>352</v>
      </c>
      <c r="H1027" s="91"/>
      <c r="I1027" s="91"/>
      <c r="J1027" s="91"/>
      <c r="K1027" s="93">
        <v>1.5</v>
      </c>
      <c r="L1027" s="93"/>
      <c r="M1027" s="94"/>
      <c r="N1027" s="91"/>
      <c r="O1027" s="26"/>
      <c r="P1027" s="93"/>
      <c r="Q1027" s="26"/>
      <c r="R1027" s="95"/>
      <c r="S1027" s="27"/>
    </row>
    <row r="1028" spans="1:19" x14ac:dyDescent="0.2">
      <c r="A1028" s="90" t="s">
        <v>1101</v>
      </c>
      <c r="B1028" s="91" t="s">
        <v>35</v>
      </c>
      <c r="C1028" s="91" t="s">
        <v>313</v>
      </c>
      <c r="D1028" s="91" t="s">
        <v>327</v>
      </c>
      <c r="E1028" s="92" t="s">
        <v>321</v>
      </c>
      <c r="F1028" s="91" t="s">
        <v>316</v>
      </c>
      <c r="G1028" s="91" t="s">
        <v>283</v>
      </c>
      <c r="H1028" s="91" t="s">
        <v>13</v>
      </c>
      <c r="I1028" s="91" t="s">
        <v>235</v>
      </c>
      <c r="J1028" s="92" t="s">
        <v>284</v>
      </c>
      <c r="K1028" s="93">
        <v>8.3000000000000007</v>
      </c>
      <c r="L1028" s="93">
        <f>K1028*VLOOKUP(H1028,dagsoorttabel1,2,FALSE)</f>
        <v>1.6600000000000001</v>
      </c>
      <c r="M1028" s="94">
        <f>prodnorm106</f>
        <v>0</v>
      </c>
      <c r="N1028" s="91" t="s">
        <v>101</v>
      </c>
      <c r="O1028" s="26">
        <f>uurtarief106</f>
        <v>0</v>
      </c>
      <c r="P1028" s="93" t="e">
        <f>IF(ISBLANK(M1028),0,L1028/ROUND(M1028,4))</f>
        <v>#DIV/0!</v>
      </c>
      <c r="Q1028" s="26" t="e">
        <f>ROUND(O1028,2)*P1028</f>
        <v>#DIV/0!</v>
      </c>
      <c r="R1028" s="93" t="e">
        <f>P1028*dagenperjaar1</f>
        <v>#DIV/0!</v>
      </c>
      <c r="S1028" s="27" t="e">
        <f>R1028*ROUND(O1028,2)</f>
        <v>#DIV/0!</v>
      </c>
    </row>
    <row r="1029" spans="1:19" x14ac:dyDescent="0.2">
      <c r="A1029" s="90" t="s">
        <v>1101</v>
      </c>
      <c r="B1029" s="91" t="s">
        <v>35</v>
      </c>
      <c r="C1029" s="91" t="s">
        <v>313</v>
      </c>
      <c r="D1029" s="91" t="s">
        <v>330</v>
      </c>
      <c r="E1029" s="92" t="s">
        <v>1102</v>
      </c>
      <c r="F1029" s="91" t="s">
        <v>316</v>
      </c>
      <c r="G1029" s="91" t="s">
        <v>352</v>
      </c>
      <c r="H1029" s="91"/>
      <c r="I1029" s="91"/>
      <c r="J1029" s="91"/>
      <c r="K1029" s="93">
        <v>5.5</v>
      </c>
      <c r="L1029" s="93"/>
      <c r="M1029" s="94"/>
      <c r="N1029" s="91"/>
      <c r="O1029" s="26"/>
      <c r="P1029" s="93"/>
      <c r="Q1029" s="26"/>
      <c r="R1029" s="95"/>
      <c r="S1029" s="27"/>
    </row>
    <row r="1030" spans="1:19" x14ac:dyDescent="0.2">
      <c r="A1030" s="90" t="s">
        <v>1101</v>
      </c>
      <c r="B1030" s="91" t="s">
        <v>35</v>
      </c>
      <c r="C1030" s="91" t="s">
        <v>313</v>
      </c>
      <c r="D1030" s="91" t="s">
        <v>332</v>
      </c>
      <c r="E1030" s="92" t="s">
        <v>1103</v>
      </c>
      <c r="F1030" s="91" t="s">
        <v>316</v>
      </c>
      <c r="G1030" s="91" t="s">
        <v>277</v>
      </c>
      <c r="H1030" s="91" t="s">
        <v>13</v>
      </c>
      <c r="I1030" s="91" t="s">
        <v>235</v>
      </c>
      <c r="J1030" s="92" t="s">
        <v>278</v>
      </c>
      <c r="K1030" s="93">
        <v>6.7</v>
      </c>
      <c r="L1030" s="93">
        <f>K1030*VLOOKUP(H1030,dagsoorttabel1,2,FALSE)</f>
        <v>1.34</v>
      </c>
      <c r="M1030" s="94">
        <f>prodnorm97</f>
        <v>0</v>
      </c>
      <c r="N1030" s="91" t="s">
        <v>101</v>
      </c>
      <c r="O1030" s="26">
        <f>uurtarief97</f>
        <v>0</v>
      </c>
      <c r="P1030" s="93" t="e">
        <f>IF(ISBLANK(M1030),0,L1030/ROUND(M1030,4))</f>
        <v>#DIV/0!</v>
      </c>
      <c r="Q1030" s="26" t="e">
        <f>ROUND(O1030,2)*P1030</f>
        <v>#DIV/0!</v>
      </c>
      <c r="R1030" s="93" t="e">
        <f>P1030*dagenperjaar1</f>
        <v>#DIV/0!</v>
      </c>
      <c r="S1030" s="27" t="e">
        <f>R1030*ROUND(O1030,2)</f>
        <v>#DIV/0!</v>
      </c>
    </row>
    <row r="1031" spans="1:19" x14ac:dyDescent="0.2">
      <c r="A1031" s="90" t="s">
        <v>1101</v>
      </c>
      <c r="B1031" s="91" t="s">
        <v>35</v>
      </c>
      <c r="C1031" s="91" t="s">
        <v>313</v>
      </c>
      <c r="D1031" s="91" t="s">
        <v>334</v>
      </c>
      <c r="E1031" s="92" t="s">
        <v>1104</v>
      </c>
      <c r="F1031" s="91" t="s">
        <v>316</v>
      </c>
      <c r="G1031" s="91" t="s">
        <v>277</v>
      </c>
      <c r="H1031" s="91" t="s">
        <v>13</v>
      </c>
      <c r="I1031" s="91" t="s">
        <v>235</v>
      </c>
      <c r="J1031" s="92" t="s">
        <v>278</v>
      </c>
      <c r="K1031" s="93">
        <v>17.7</v>
      </c>
      <c r="L1031" s="93">
        <f>K1031*VLOOKUP(H1031,dagsoorttabel1,2,FALSE)</f>
        <v>3.54</v>
      </c>
      <c r="M1031" s="94">
        <f>prodnorm97</f>
        <v>0</v>
      </c>
      <c r="N1031" s="91" t="s">
        <v>101</v>
      </c>
      <c r="O1031" s="26">
        <f>uurtarief97</f>
        <v>0</v>
      </c>
      <c r="P1031" s="93" t="e">
        <f>IF(ISBLANK(M1031),0,L1031/ROUND(M1031,4))</f>
        <v>#DIV/0!</v>
      </c>
      <c r="Q1031" s="26" t="e">
        <f>ROUND(O1031,2)*P1031</f>
        <v>#DIV/0!</v>
      </c>
      <c r="R1031" s="93" t="e">
        <f>P1031*dagenperjaar1</f>
        <v>#DIV/0!</v>
      </c>
      <c r="S1031" s="27" t="e">
        <f>R1031*ROUND(O1031,2)</f>
        <v>#DIV/0!</v>
      </c>
    </row>
    <row r="1032" spans="1:19" x14ac:dyDescent="0.2">
      <c r="A1032" s="90" t="s">
        <v>1101</v>
      </c>
      <c r="B1032" s="91" t="s">
        <v>35</v>
      </c>
      <c r="C1032" s="91" t="s">
        <v>313</v>
      </c>
      <c r="D1032" s="91" t="s">
        <v>336</v>
      </c>
      <c r="E1032" s="92" t="s">
        <v>354</v>
      </c>
      <c r="F1032" s="91" t="s">
        <v>329</v>
      </c>
      <c r="G1032" s="91" t="s">
        <v>352</v>
      </c>
      <c r="H1032" s="91"/>
      <c r="I1032" s="91"/>
      <c r="J1032" s="91"/>
      <c r="K1032" s="93">
        <v>0.2</v>
      </c>
      <c r="L1032" s="93"/>
      <c r="M1032" s="94"/>
      <c r="N1032" s="91"/>
      <c r="O1032" s="26"/>
      <c r="P1032" s="93"/>
      <c r="Q1032" s="26"/>
      <c r="R1032" s="95"/>
      <c r="S1032" s="27"/>
    </row>
    <row r="1033" spans="1:19" x14ac:dyDescent="0.2">
      <c r="A1033" s="90" t="s">
        <v>1101</v>
      </c>
      <c r="B1033" s="91" t="s">
        <v>35</v>
      </c>
      <c r="C1033" s="91" t="s">
        <v>313</v>
      </c>
      <c r="D1033" s="91" t="s">
        <v>338</v>
      </c>
      <c r="E1033" s="92" t="s">
        <v>351</v>
      </c>
      <c r="F1033" s="91" t="s">
        <v>316</v>
      </c>
      <c r="G1033" s="91" t="s">
        <v>352</v>
      </c>
      <c r="H1033" s="91"/>
      <c r="I1033" s="91"/>
      <c r="J1033" s="91"/>
      <c r="K1033" s="93">
        <v>29.7</v>
      </c>
      <c r="L1033" s="93"/>
      <c r="M1033" s="94"/>
      <c r="N1033" s="91"/>
      <c r="O1033" s="26"/>
      <c r="P1033" s="93"/>
      <c r="Q1033" s="26"/>
      <c r="R1033" s="95"/>
      <c r="S1033" s="27"/>
    </row>
    <row r="1034" spans="1:19" x14ac:dyDescent="0.2">
      <c r="A1034" s="90" t="s">
        <v>1101</v>
      </c>
      <c r="B1034" s="91" t="s">
        <v>35</v>
      </c>
      <c r="C1034" s="91" t="s">
        <v>313</v>
      </c>
      <c r="D1034" s="91" t="s">
        <v>339</v>
      </c>
      <c r="E1034" s="92" t="s">
        <v>734</v>
      </c>
      <c r="F1034" s="91" t="s">
        <v>329</v>
      </c>
      <c r="G1034" s="91" t="s">
        <v>352</v>
      </c>
      <c r="H1034" s="91"/>
      <c r="I1034" s="91"/>
      <c r="J1034" s="91"/>
      <c r="K1034" s="93">
        <v>5.8</v>
      </c>
      <c r="L1034" s="93"/>
      <c r="M1034" s="94"/>
      <c r="N1034" s="91"/>
      <c r="O1034" s="26"/>
      <c r="P1034" s="93"/>
      <c r="Q1034" s="26"/>
      <c r="R1034" s="95"/>
      <c r="S1034" s="27"/>
    </row>
    <row r="1035" spans="1:19" x14ac:dyDescent="0.2">
      <c r="A1035" s="90" t="s">
        <v>1101</v>
      </c>
      <c r="B1035" s="91" t="s">
        <v>35</v>
      </c>
      <c r="C1035" s="91" t="s">
        <v>313</v>
      </c>
      <c r="D1035" s="91" t="s">
        <v>341</v>
      </c>
      <c r="E1035" s="92" t="s">
        <v>370</v>
      </c>
      <c r="F1035" s="91" t="s">
        <v>329</v>
      </c>
      <c r="G1035" s="91" t="s">
        <v>252</v>
      </c>
      <c r="H1035" s="91" t="s">
        <v>21</v>
      </c>
      <c r="I1035" s="91" t="s">
        <v>235</v>
      </c>
      <c r="J1035" s="92" t="s">
        <v>253</v>
      </c>
      <c r="K1035" s="93">
        <v>17.399999999999999</v>
      </c>
      <c r="L1035" s="93">
        <f>K1035*VLOOKUP(H1035,dagsoorttabel1,2,FALSE)</f>
        <v>6.6923076923076918E-2</v>
      </c>
      <c r="M1035" s="94">
        <f>prodnorm67</f>
        <v>0</v>
      </c>
      <c r="N1035" s="91" t="s">
        <v>101</v>
      </c>
      <c r="O1035" s="26">
        <f>uurtarief67</f>
        <v>0</v>
      </c>
      <c r="P1035" s="93" t="e">
        <f>IF(ISBLANK(M1035),0,L1035/ROUND(M1035,4))</f>
        <v>#DIV/0!</v>
      </c>
      <c r="Q1035" s="26" t="e">
        <f>ROUND(O1035,2)*P1035</f>
        <v>#DIV/0!</v>
      </c>
      <c r="R1035" s="93" t="e">
        <f>P1035*dagenperjaar1</f>
        <v>#DIV/0!</v>
      </c>
      <c r="S1035" s="27" t="e">
        <f>R1035*ROUND(O1035,2)</f>
        <v>#DIV/0!</v>
      </c>
    </row>
    <row r="1036" spans="1:19" x14ac:dyDescent="0.2">
      <c r="A1036" s="90" t="s">
        <v>1101</v>
      </c>
      <c r="B1036" s="91" t="s">
        <v>35</v>
      </c>
      <c r="C1036" s="91" t="s">
        <v>313</v>
      </c>
      <c r="D1036" s="91" t="s">
        <v>372</v>
      </c>
      <c r="E1036" s="92" t="s">
        <v>323</v>
      </c>
      <c r="F1036" s="91" t="s">
        <v>361</v>
      </c>
      <c r="G1036" s="91" t="s">
        <v>239</v>
      </c>
      <c r="H1036" s="91" t="s">
        <v>13</v>
      </c>
      <c r="I1036" s="91" t="s">
        <v>235</v>
      </c>
      <c r="J1036" s="92" t="s">
        <v>240</v>
      </c>
      <c r="K1036" s="93">
        <v>13.9</v>
      </c>
      <c r="L1036" s="93">
        <f>K1036*VLOOKUP(H1036,dagsoorttabel1,2,FALSE)</f>
        <v>2.7800000000000002</v>
      </c>
      <c r="M1036" s="94">
        <f>prodnorm53</f>
        <v>0</v>
      </c>
      <c r="N1036" s="91" t="s">
        <v>101</v>
      </c>
      <c r="O1036" s="26">
        <f>uurtarief53</f>
        <v>0</v>
      </c>
      <c r="P1036" s="93" t="e">
        <f>IF(ISBLANK(M1036),0,L1036/ROUND(M1036,4))</f>
        <v>#DIV/0!</v>
      </c>
      <c r="Q1036" s="26" t="e">
        <f>ROUND(O1036,2)*P1036</f>
        <v>#DIV/0!</v>
      </c>
      <c r="R1036" s="93" t="e">
        <f>P1036*dagenperjaar1</f>
        <v>#DIV/0!</v>
      </c>
      <c r="S1036" s="27" t="e">
        <f>R1036*ROUND(O1036,2)</f>
        <v>#DIV/0!</v>
      </c>
    </row>
    <row r="1037" spans="1:19" ht="25.2" x14ac:dyDescent="0.2">
      <c r="A1037" s="90" t="s">
        <v>1101</v>
      </c>
      <c r="B1037" s="91" t="s">
        <v>35</v>
      </c>
      <c r="C1037" s="91" t="s">
        <v>313</v>
      </c>
      <c r="D1037" s="91" t="s">
        <v>391</v>
      </c>
      <c r="E1037" s="92" t="s">
        <v>1105</v>
      </c>
      <c r="F1037" s="91" t="s">
        <v>316</v>
      </c>
      <c r="G1037" s="91" t="s">
        <v>293</v>
      </c>
      <c r="H1037" s="91" t="s">
        <v>21</v>
      </c>
      <c r="I1037" s="91" t="s">
        <v>235</v>
      </c>
      <c r="J1037" s="92" t="s">
        <v>294</v>
      </c>
      <c r="K1037" s="93">
        <v>23.6</v>
      </c>
      <c r="L1037" s="93">
        <f>K1037*VLOOKUP(H1037,dagsoorttabel1,2,FALSE)</f>
        <v>9.0769230769230783E-2</v>
      </c>
      <c r="M1037" s="94">
        <f>prodnorm118</f>
        <v>0</v>
      </c>
      <c r="N1037" s="91" t="s">
        <v>101</v>
      </c>
      <c r="O1037" s="26">
        <f>uurtarief118</f>
        <v>0</v>
      </c>
      <c r="P1037" s="93" t="e">
        <f>IF(ISBLANK(M1037),0,L1037/ROUND(M1037,4))</f>
        <v>#DIV/0!</v>
      </c>
      <c r="Q1037" s="26" t="e">
        <f>ROUND(O1037,2)*P1037</f>
        <v>#DIV/0!</v>
      </c>
      <c r="R1037" s="93" t="e">
        <f>P1037*dagenperjaar1</f>
        <v>#DIV/0!</v>
      </c>
      <c r="S1037" s="27" t="e">
        <f>R1037*ROUND(O1037,2)</f>
        <v>#DIV/0!</v>
      </c>
    </row>
    <row r="1038" spans="1:19" x14ac:dyDescent="0.2">
      <c r="A1038" s="90" t="s">
        <v>1101</v>
      </c>
      <c r="B1038" s="91" t="s">
        <v>35</v>
      </c>
      <c r="C1038" s="91" t="s">
        <v>313</v>
      </c>
      <c r="D1038" s="91" t="s">
        <v>392</v>
      </c>
      <c r="E1038" s="92" t="s">
        <v>1106</v>
      </c>
      <c r="F1038" s="91" t="s">
        <v>329</v>
      </c>
      <c r="G1038" s="91" t="s">
        <v>252</v>
      </c>
      <c r="H1038" s="91" t="s">
        <v>21</v>
      </c>
      <c r="I1038" s="91" t="s">
        <v>235</v>
      </c>
      <c r="J1038" s="92" t="s">
        <v>253</v>
      </c>
      <c r="K1038" s="93">
        <v>203.3</v>
      </c>
      <c r="L1038" s="93">
        <f>K1038*VLOOKUP(H1038,dagsoorttabel1,2,FALSE)</f>
        <v>0.78192307692307705</v>
      </c>
      <c r="M1038" s="94">
        <f>prodnorm67</f>
        <v>0</v>
      </c>
      <c r="N1038" s="91" t="s">
        <v>101</v>
      </c>
      <c r="O1038" s="26">
        <f>uurtarief67</f>
        <v>0</v>
      </c>
      <c r="P1038" s="93" t="e">
        <f>IF(ISBLANK(M1038),0,L1038/ROUND(M1038,4))</f>
        <v>#DIV/0!</v>
      </c>
      <c r="Q1038" s="26" t="e">
        <f>ROUND(O1038,2)*P1038</f>
        <v>#DIV/0!</v>
      </c>
      <c r="R1038" s="93" t="e">
        <f>P1038*dagenperjaar1</f>
        <v>#DIV/0!</v>
      </c>
      <c r="S1038" s="27" t="e">
        <f>R1038*ROUND(O1038,2)</f>
        <v>#DIV/0!</v>
      </c>
    </row>
    <row r="1039" spans="1:19" x14ac:dyDescent="0.2">
      <c r="A1039" s="90" t="s">
        <v>1101</v>
      </c>
      <c r="B1039" s="91" t="s">
        <v>35</v>
      </c>
      <c r="C1039" s="91" t="s">
        <v>313</v>
      </c>
      <c r="D1039" s="91" t="s">
        <v>393</v>
      </c>
      <c r="E1039" s="92" t="s">
        <v>318</v>
      </c>
      <c r="F1039" s="91" t="s">
        <v>390</v>
      </c>
      <c r="G1039" s="91" t="s">
        <v>298</v>
      </c>
      <c r="H1039" s="91" t="s">
        <v>13</v>
      </c>
      <c r="I1039" s="91" t="s">
        <v>235</v>
      </c>
      <c r="J1039" s="92" t="s">
        <v>299</v>
      </c>
      <c r="K1039" s="93">
        <v>6</v>
      </c>
      <c r="L1039" s="93">
        <f>K1039*VLOOKUP(H1039,dagsoorttabel1,2,FALSE)</f>
        <v>1.2000000000000002</v>
      </c>
      <c r="M1039" s="94">
        <f>prodnorm124</f>
        <v>0</v>
      </c>
      <c r="N1039" s="91" t="s">
        <v>101</v>
      </c>
      <c r="O1039" s="26">
        <f>uurtarief124</f>
        <v>0</v>
      </c>
      <c r="P1039" s="93" t="e">
        <f>IF(ISBLANK(M1039),0,L1039/ROUND(M1039,4))</f>
        <v>#DIV/0!</v>
      </c>
      <c r="Q1039" s="26" t="e">
        <f>ROUND(O1039,2)*P1039</f>
        <v>#DIV/0!</v>
      </c>
      <c r="R1039" s="93" t="e">
        <f>P1039*dagenperjaar1</f>
        <v>#DIV/0!</v>
      </c>
      <c r="S1039" s="27" t="e">
        <f>R1039*ROUND(O1039,2)</f>
        <v>#DIV/0!</v>
      </c>
    </row>
    <row r="1040" spans="1:19" x14ac:dyDescent="0.2">
      <c r="A1040" s="90" t="s">
        <v>1101</v>
      </c>
      <c r="B1040" s="91" t="s">
        <v>35</v>
      </c>
      <c r="C1040" s="91" t="s">
        <v>313</v>
      </c>
      <c r="D1040" s="91" t="s">
        <v>394</v>
      </c>
      <c r="E1040" s="92" t="s">
        <v>321</v>
      </c>
      <c r="F1040" s="91" t="s">
        <v>387</v>
      </c>
      <c r="G1040" s="91" t="s">
        <v>283</v>
      </c>
      <c r="H1040" s="91" t="s">
        <v>13</v>
      </c>
      <c r="I1040" s="91" t="s">
        <v>235</v>
      </c>
      <c r="J1040" s="92" t="s">
        <v>284</v>
      </c>
      <c r="K1040" s="93">
        <v>6.3</v>
      </c>
      <c r="L1040" s="93">
        <f>K1040*VLOOKUP(H1040,dagsoorttabel1,2,FALSE)</f>
        <v>1.26</v>
      </c>
      <c r="M1040" s="94">
        <f>prodnorm106</f>
        <v>0</v>
      </c>
      <c r="N1040" s="91" t="s">
        <v>101</v>
      </c>
      <c r="O1040" s="26">
        <f>uurtarief106</f>
        <v>0</v>
      </c>
      <c r="P1040" s="93" t="e">
        <f>IF(ISBLANK(M1040),0,L1040/ROUND(M1040,4))</f>
        <v>#DIV/0!</v>
      </c>
      <c r="Q1040" s="26" t="e">
        <f>ROUND(O1040,2)*P1040</f>
        <v>#DIV/0!</v>
      </c>
      <c r="R1040" s="93" t="e">
        <f>P1040*dagenperjaar1</f>
        <v>#DIV/0!</v>
      </c>
      <c r="S1040" s="27" t="e">
        <f>R1040*ROUND(O1040,2)</f>
        <v>#DIV/0!</v>
      </c>
    </row>
    <row r="1041" spans="1:19" x14ac:dyDescent="0.2">
      <c r="A1041" s="90" t="s">
        <v>1101</v>
      </c>
      <c r="B1041" s="91" t="s">
        <v>35</v>
      </c>
      <c r="C1041" s="91" t="s">
        <v>313</v>
      </c>
      <c r="D1041" s="91" t="s">
        <v>395</v>
      </c>
      <c r="E1041" s="92" t="s">
        <v>991</v>
      </c>
      <c r="F1041" s="91" t="s">
        <v>361</v>
      </c>
      <c r="G1041" s="91" t="s">
        <v>352</v>
      </c>
      <c r="H1041" s="91"/>
      <c r="I1041" s="91"/>
      <c r="J1041" s="91"/>
      <c r="K1041" s="93">
        <v>9.1999999999999993</v>
      </c>
      <c r="L1041" s="93"/>
      <c r="M1041" s="94"/>
      <c r="N1041" s="91"/>
      <c r="O1041" s="26"/>
      <c r="P1041" s="93"/>
      <c r="Q1041" s="26"/>
      <c r="R1041" s="95"/>
      <c r="S1041" s="27"/>
    </row>
    <row r="1042" spans="1:19" x14ac:dyDescent="0.2">
      <c r="A1042" s="90" t="s">
        <v>1101</v>
      </c>
      <c r="B1042" s="91" t="s">
        <v>35</v>
      </c>
      <c r="C1042" s="91" t="s">
        <v>343</v>
      </c>
      <c r="D1042" s="91" t="s">
        <v>344</v>
      </c>
      <c r="E1042" s="92" t="s">
        <v>321</v>
      </c>
      <c r="F1042" s="91" t="s">
        <v>390</v>
      </c>
      <c r="G1042" s="91" t="s">
        <v>283</v>
      </c>
      <c r="H1042" s="91" t="s">
        <v>13</v>
      </c>
      <c r="I1042" s="91" t="s">
        <v>235</v>
      </c>
      <c r="J1042" s="92" t="s">
        <v>284</v>
      </c>
      <c r="K1042" s="93">
        <v>4.0999999999999996</v>
      </c>
      <c r="L1042" s="93">
        <f>K1042*VLOOKUP(H1042,dagsoorttabel1,2,FALSE)</f>
        <v>0.82</v>
      </c>
      <c r="M1042" s="94">
        <f>prodnorm106</f>
        <v>0</v>
      </c>
      <c r="N1042" s="91" t="s">
        <v>101</v>
      </c>
      <c r="O1042" s="26">
        <f>uurtarief106</f>
        <v>0</v>
      </c>
      <c r="P1042" s="93" t="e">
        <f>IF(ISBLANK(M1042),0,L1042/ROUND(M1042,4))</f>
        <v>#DIV/0!</v>
      </c>
      <c r="Q1042" s="26" t="e">
        <f>ROUND(O1042,2)*P1042</f>
        <v>#DIV/0!</v>
      </c>
      <c r="R1042" s="93" t="e">
        <f>P1042*dagenperjaar1</f>
        <v>#DIV/0!</v>
      </c>
      <c r="S1042" s="27" t="e">
        <f>R1042*ROUND(O1042,2)</f>
        <v>#DIV/0!</v>
      </c>
    </row>
    <row r="1043" spans="1:19" x14ac:dyDescent="0.2">
      <c r="A1043" s="90" t="s">
        <v>1101</v>
      </c>
      <c r="B1043" s="91" t="s">
        <v>35</v>
      </c>
      <c r="C1043" s="91" t="s">
        <v>343</v>
      </c>
      <c r="D1043" s="91" t="s">
        <v>345</v>
      </c>
      <c r="E1043" s="92" t="s">
        <v>404</v>
      </c>
      <c r="F1043" s="91" t="s">
        <v>347</v>
      </c>
      <c r="G1043" s="91" t="s">
        <v>260</v>
      </c>
      <c r="H1043" s="91" t="s">
        <v>13</v>
      </c>
      <c r="I1043" s="91" t="s">
        <v>235</v>
      </c>
      <c r="J1043" s="92" t="s">
        <v>261</v>
      </c>
      <c r="K1043" s="93">
        <v>55.2</v>
      </c>
      <c r="L1043" s="93">
        <f>K1043*VLOOKUP(H1043,dagsoorttabel1,2,FALSE)</f>
        <v>11.040000000000001</v>
      </c>
      <c r="M1043" s="94">
        <f>prodnorm75</f>
        <v>0</v>
      </c>
      <c r="N1043" s="91" t="s">
        <v>101</v>
      </c>
      <c r="O1043" s="26">
        <f>uurtarief75</f>
        <v>0</v>
      </c>
      <c r="P1043" s="93" t="e">
        <f>IF(ISBLANK(M1043),0,L1043/ROUND(M1043,4))</f>
        <v>#DIV/0!</v>
      </c>
      <c r="Q1043" s="26" t="e">
        <f>ROUND(O1043,2)*P1043</f>
        <v>#DIV/0!</v>
      </c>
      <c r="R1043" s="93" t="e">
        <f>P1043*dagenperjaar1</f>
        <v>#DIV/0!</v>
      </c>
      <c r="S1043" s="27" t="e">
        <f>R1043*ROUND(O1043,2)</f>
        <v>#DIV/0!</v>
      </c>
    </row>
    <row r="1044" spans="1:19" x14ac:dyDescent="0.2">
      <c r="A1044" s="96" t="s">
        <v>1101</v>
      </c>
      <c r="B1044" s="97" t="s">
        <v>35</v>
      </c>
      <c r="C1044" s="97" t="s">
        <v>343</v>
      </c>
      <c r="D1044" s="97" t="s">
        <v>348</v>
      </c>
      <c r="E1044" s="98" t="s">
        <v>318</v>
      </c>
      <c r="F1044" s="97" t="s">
        <v>390</v>
      </c>
      <c r="G1044" s="97" t="s">
        <v>298</v>
      </c>
      <c r="H1044" s="97" t="s">
        <v>13</v>
      </c>
      <c r="I1044" s="97" t="s">
        <v>235</v>
      </c>
      <c r="J1044" s="98" t="s">
        <v>299</v>
      </c>
      <c r="K1044" s="99">
        <v>6.2</v>
      </c>
      <c r="L1044" s="99">
        <f>K1044*VLOOKUP(H1044,dagsoorttabel1,2,FALSE)</f>
        <v>1.2400000000000002</v>
      </c>
      <c r="M1044" s="100">
        <f>prodnorm124</f>
        <v>0</v>
      </c>
      <c r="N1044" s="97" t="s">
        <v>101</v>
      </c>
      <c r="O1044" s="36">
        <f>uurtarief124</f>
        <v>0</v>
      </c>
      <c r="P1044" s="99" t="e">
        <f>IF(ISBLANK(M1044),0,L1044/ROUND(M1044,4))</f>
        <v>#DIV/0!</v>
      </c>
      <c r="Q1044" s="36" t="e">
        <f>ROUND(O1044,2)*P1044</f>
        <v>#DIV/0!</v>
      </c>
      <c r="R1044" s="99" t="e">
        <f>P1044*dagenperjaar1</f>
        <v>#DIV/0!</v>
      </c>
      <c r="S1044" s="37" t="e">
        <f>R1044*ROUND(O1044,2)</f>
        <v>#DIV/0!</v>
      </c>
    </row>
    <row r="1045" spans="1:19" x14ac:dyDescent="0.2">
      <c r="A1045" s="101" t="s">
        <v>356</v>
      </c>
      <c r="B1045" s="74"/>
      <c r="C1045" s="74"/>
      <c r="D1045" s="74"/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6" t="e">
        <f>IF(_xlfn.SINGLE(object28_urenjaar1)&gt;0,_xlfn.SINGLE(object28_prijsjaar1)/_xlfn.SINGLE(object28_urenjaar1),0)</f>
        <v>#DIV/0!</v>
      </c>
      <c r="P1045" s="75" t="e">
        <f>SUM(P1022:P1044)</f>
        <v>#DIV/0!</v>
      </c>
      <c r="Q1045" s="76" t="e">
        <f>SUM(Q1022:Q1044)</f>
        <v>#DIV/0!</v>
      </c>
      <c r="R1045" s="75" t="e">
        <f>SUM(R1022:R1044)</f>
        <v>#DIV/0!</v>
      </c>
      <c r="S1045" s="77" t="e">
        <f>SUM(S1022:S1044)</f>
        <v>#DIV/0!</v>
      </c>
    </row>
    <row r="1046" spans="1:19" x14ac:dyDescent="0.2">
      <c r="A1046" s="82" t="s">
        <v>1107</v>
      </c>
      <c r="B1046" s="49"/>
      <c r="C1046" s="49"/>
      <c r="D1046" s="49"/>
      <c r="E1046" s="49"/>
      <c r="F1046" s="49"/>
      <c r="G1046" s="49"/>
      <c r="H1046" s="49"/>
      <c r="I1046" s="49"/>
      <c r="J1046" s="49"/>
      <c r="K1046" s="49"/>
      <c r="L1046" s="49"/>
      <c r="M1046" s="49"/>
      <c r="N1046" s="49"/>
      <c r="O1046" s="49"/>
      <c r="P1046" s="49"/>
      <c r="Q1046" s="49"/>
      <c r="R1046" s="49"/>
      <c r="S1046" s="72"/>
    </row>
    <row r="1047" spans="1:19" x14ac:dyDescent="0.2">
      <c r="A1047" s="83" t="s">
        <v>1108</v>
      </c>
      <c r="B1047" s="84" t="s">
        <v>35</v>
      </c>
      <c r="C1047" s="84" t="s">
        <v>313</v>
      </c>
      <c r="D1047" s="84" t="s">
        <v>314</v>
      </c>
      <c r="E1047" s="85" t="s">
        <v>1109</v>
      </c>
      <c r="F1047" s="84" t="s">
        <v>329</v>
      </c>
      <c r="G1047" s="84" t="s">
        <v>283</v>
      </c>
      <c r="H1047" s="84" t="s">
        <v>12</v>
      </c>
      <c r="I1047" s="84" t="s">
        <v>235</v>
      </c>
      <c r="J1047" s="85" t="s">
        <v>284</v>
      </c>
      <c r="K1047" s="86">
        <v>39.4</v>
      </c>
      <c r="L1047" s="86">
        <f>K1047*VLOOKUP(H1047,dagsoorttabel1,2,FALSE)</f>
        <v>15.76</v>
      </c>
      <c r="M1047" s="87">
        <f>prodnorm107</f>
        <v>0</v>
      </c>
      <c r="N1047" s="84" t="s">
        <v>101</v>
      </c>
      <c r="O1047" s="88">
        <f>uurtarief107</f>
        <v>0</v>
      </c>
      <c r="P1047" s="86" t="e">
        <f>IF(ISBLANK(M1047),0,L1047/ROUND(M1047,4))</f>
        <v>#DIV/0!</v>
      </c>
      <c r="Q1047" s="88" t="e">
        <f>ROUND(O1047,2)*P1047</f>
        <v>#DIV/0!</v>
      </c>
      <c r="R1047" s="86" t="e">
        <f>P1047*dagenperjaar1</f>
        <v>#DIV/0!</v>
      </c>
      <c r="S1047" s="89" t="e">
        <f>R1047*ROUND(O1047,2)</f>
        <v>#DIV/0!</v>
      </c>
    </row>
    <row r="1048" spans="1:19" x14ac:dyDescent="0.2">
      <c r="A1048" s="90" t="s">
        <v>1108</v>
      </c>
      <c r="B1048" s="91" t="s">
        <v>35</v>
      </c>
      <c r="C1048" s="91" t="s">
        <v>313</v>
      </c>
      <c r="D1048" s="91" t="s">
        <v>317</v>
      </c>
      <c r="E1048" s="92" t="s">
        <v>383</v>
      </c>
      <c r="F1048" s="91" t="s">
        <v>347</v>
      </c>
      <c r="G1048" s="91" t="s">
        <v>291</v>
      </c>
      <c r="H1048" s="91" t="s">
        <v>13</v>
      </c>
      <c r="I1048" s="91" t="s">
        <v>235</v>
      </c>
      <c r="J1048" s="92" t="s">
        <v>292</v>
      </c>
      <c r="K1048" s="93">
        <v>1.55</v>
      </c>
      <c r="L1048" s="93">
        <f>K1048*VLOOKUP(H1048,dagsoorttabel1,2,FALSE)</f>
        <v>0.31000000000000005</v>
      </c>
      <c r="M1048" s="94">
        <f>prodnorm116</f>
        <v>0</v>
      </c>
      <c r="N1048" s="91" t="s">
        <v>101</v>
      </c>
      <c r="O1048" s="26">
        <f>uurtarief116</f>
        <v>0</v>
      </c>
      <c r="P1048" s="93" t="e">
        <f>IF(ISBLANK(M1048),0,L1048/ROUND(M1048,4))</f>
        <v>#DIV/0!</v>
      </c>
      <c r="Q1048" s="26" t="e">
        <f>ROUND(O1048,2)*P1048</f>
        <v>#DIV/0!</v>
      </c>
      <c r="R1048" s="93" t="e">
        <f>P1048*dagenperjaar1</f>
        <v>#DIV/0!</v>
      </c>
      <c r="S1048" s="27" t="e">
        <f>R1048*ROUND(O1048,2)</f>
        <v>#DIV/0!</v>
      </c>
    </row>
    <row r="1049" spans="1:19" x14ac:dyDescent="0.2">
      <c r="A1049" s="90" t="s">
        <v>1108</v>
      </c>
      <c r="B1049" s="91" t="s">
        <v>35</v>
      </c>
      <c r="C1049" s="91" t="s">
        <v>313</v>
      </c>
      <c r="D1049" s="91" t="s">
        <v>320</v>
      </c>
      <c r="E1049" s="92" t="s">
        <v>318</v>
      </c>
      <c r="F1049" s="91" t="s">
        <v>329</v>
      </c>
      <c r="G1049" s="91" t="s">
        <v>298</v>
      </c>
      <c r="H1049" s="91" t="s">
        <v>12</v>
      </c>
      <c r="I1049" s="91" t="s">
        <v>235</v>
      </c>
      <c r="J1049" s="92" t="s">
        <v>299</v>
      </c>
      <c r="K1049" s="93">
        <v>7.1499999999999995</v>
      </c>
      <c r="L1049" s="93">
        <f>K1049*VLOOKUP(H1049,dagsoorttabel1,2,FALSE)</f>
        <v>2.86</v>
      </c>
      <c r="M1049" s="94">
        <f>prodnorm125</f>
        <v>0</v>
      </c>
      <c r="N1049" s="91" t="s">
        <v>101</v>
      </c>
      <c r="O1049" s="26">
        <f>uurtarief125</f>
        <v>0</v>
      </c>
      <c r="P1049" s="93" t="e">
        <f>IF(ISBLANK(M1049),0,L1049/ROUND(M1049,4))</f>
        <v>#DIV/0!</v>
      </c>
      <c r="Q1049" s="26" t="e">
        <f>ROUND(O1049,2)*P1049</f>
        <v>#DIV/0!</v>
      </c>
      <c r="R1049" s="93" t="e">
        <f>P1049*dagenperjaar1</f>
        <v>#DIV/0!</v>
      </c>
      <c r="S1049" s="27" t="e">
        <f>R1049*ROUND(O1049,2)</f>
        <v>#DIV/0!</v>
      </c>
    </row>
    <row r="1050" spans="1:19" x14ac:dyDescent="0.2">
      <c r="A1050" s="90" t="s">
        <v>1108</v>
      </c>
      <c r="B1050" s="91" t="s">
        <v>35</v>
      </c>
      <c r="C1050" s="91" t="s">
        <v>313</v>
      </c>
      <c r="D1050" s="91" t="s">
        <v>322</v>
      </c>
      <c r="E1050" s="92" t="s">
        <v>979</v>
      </c>
      <c r="F1050" s="91" t="s">
        <v>329</v>
      </c>
      <c r="G1050" s="91" t="s">
        <v>352</v>
      </c>
      <c r="H1050" s="91"/>
      <c r="I1050" s="91"/>
      <c r="J1050" s="91"/>
      <c r="K1050" s="93">
        <v>5</v>
      </c>
      <c r="L1050" s="93"/>
      <c r="M1050" s="94"/>
      <c r="N1050" s="91"/>
      <c r="O1050" s="26"/>
      <c r="P1050" s="93"/>
      <c r="Q1050" s="26"/>
      <c r="R1050" s="95"/>
      <c r="S1050" s="27"/>
    </row>
    <row r="1051" spans="1:19" x14ac:dyDescent="0.2">
      <c r="A1051" s="90" t="s">
        <v>1108</v>
      </c>
      <c r="B1051" s="91" t="s">
        <v>35</v>
      </c>
      <c r="C1051" s="91" t="s">
        <v>313</v>
      </c>
      <c r="D1051" s="91" t="s">
        <v>324</v>
      </c>
      <c r="E1051" s="92" t="s">
        <v>373</v>
      </c>
      <c r="F1051" s="91" t="s">
        <v>329</v>
      </c>
      <c r="G1051" s="91" t="s">
        <v>277</v>
      </c>
      <c r="H1051" s="91" t="s">
        <v>12</v>
      </c>
      <c r="I1051" s="91" t="s">
        <v>235</v>
      </c>
      <c r="J1051" s="92" t="s">
        <v>278</v>
      </c>
      <c r="K1051" s="93">
        <v>71</v>
      </c>
      <c r="L1051" s="93">
        <f>K1051*VLOOKUP(H1051,dagsoorttabel1,2,FALSE)</f>
        <v>28.400000000000002</v>
      </c>
      <c r="M1051" s="94">
        <f>prodnorm98</f>
        <v>0</v>
      </c>
      <c r="N1051" s="91" t="s">
        <v>101</v>
      </c>
      <c r="O1051" s="26">
        <f>uurtarief98</f>
        <v>0</v>
      </c>
      <c r="P1051" s="93" t="e">
        <f>IF(ISBLANK(M1051),0,L1051/ROUND(M1051,4))</f>
        <v>#DIV/0!</v>
      </c>
      <c r="Q1051" s="26" t="e">
        <f>ROUND(O1051,2)*P1051</f>
        <v>#DIV/0!</v>
      </c>
      <c r="R1051" s="93" t="e">
        <f>P1051*dagenperjaar1</f>
        <v>#DIV/0!</v>
      </c>
      <c r="S1051" s="27" t="e">
        <f>R1051*ROUND(O1051,2)</f>
        <v>#DIV/0!</v>
      </c>
    </row>
    <row r="1052" spans="1:19" x14ac:dyDescent="0.2">
      <c r="A1052" s="90" t="s">
        <v>1108</v>
      </c>
      <c r="B1052" s="91" t="s">
        <v>35</v>
      </c>
      <c r="C1052" s="91" t="s">
        <v>313</v>
      </c>
      <c r="D1052" s="91" t="s">
        <v>325</v>
      </c>
      <c r="E1052" s="92" t="s">
        <v>363</v>
      </c>
      <c r="F1052" s="91" t="s">
        <v>329</v>
      </c>
      <c r="G1052" s="91" t="s">
        <v>277</v>
      </c>
      <c r="H1052" s="91" t="s">
        <v>13</v>
      </c>
      <c r="I1052" s="91" t="s">
        <v>235</v>
      </c>
      <c r="J1052" s="92" t="s">
        <v>278</v>
      </c>
      <c r="K1052" s="93">
        <v>69.8</v>
      </c>
      <c r="L1052" s="93">
        <f>K1052*VLOOKUP(H1052,dagsoorttabel1,2,FALSE)</f>
        <v>13.96</v>
      </c>
      <c r="M1052" s="94">
        <f>prodnorm97</f>
        <v>0</v>
      </c>
      <c r="N1052" s="91" t="s">
        <v>101</v>
      </c>
      <c r="O1052" s="26">
        <f>uurtarief97</f>
        <v>0</v>
      </c>
      <c r="P1052" s="93" t="e">
        <f>IF(ISBLANK(M1052),0,L1052/ROUND(M1052,4))</f>
        <v>#DIV/0!</v>
      </c>
      <c r="Q1052" s="26" t="e">
        <f>ROUND(O1052,2)*P1052</f>
        <v>#DIV/0!</v>
      </c>
      <c r="R1052" s="93" t="e">
        <f>P1052*dagenperjaar1</f>
        <v>#DIV/0!</v>
      </c>
      <c r="S1052" s="27" t="e">
        <f>R1052*ROUND(O1052,2)</f>
        <v>#DIV/0!</v>
      </c>
    </row>
    <row r="1053" spans="1:19" x14ac:dyDescent="0.2">
      <c r="A1053" s="90" t="s">
        <v>1108</v>
      </c>
      <c r="B1053" s="91" t="s">
        <v>35</v>
      </c>
      <c r="C1053" s="91" t="s">
        <v>313</v>
      </c>
      <c r="D1053" s="91" t="s">
        <v>327</v>
      </c>
      <c r="E1053" s="92" t="s">
        <v>362</v>
      </c>
      <c r="F1053" s="91" t="s">
        <v>329</v>
      </c>
      <c r="G1053" s="91" t="s">
        <v>277</v>
      </c>
      <c r="H1053" s="91" t="s">
        <v>13</v>
      </c>
      <c r="I1053" s="91" t="s">
        <v>235</v>
      </c>
      <c r="J1053" s="92" t="s">
        <v>278</v>
      </c>
      <c r="K1053" s="93">
        <v>17.170000000000002</v>
      </c>
      <c r="L1053" s="93">
        <f>K1053*VLOOKUP(H1053,dagsoorttabel1,2,FALSE)</f>
        <v>3.4340000000000006</v>
      </c>
      <c r="M1053" s="94">
        <f>prodnorm97</f>
        <v>0</v>
      </c>
      <c r="N1053" s="91" t="s">
        <v>101</v>
      </c>
      <c r="O1053" s="26">
        <f>uurtarief97</f>
        <v>0</v>
      </c>
      <c r="P1053" s="93" t="e">
        <f>IF(ISBLANK(M1053),0,L1053/ROUND(M1053,4))</f>
        <v>#DIV/0!</v>
      </c>
      <c r="Q1053" s="26" t="e">
        <f>ROUND(O1053,2)*P1053</f>
        <v>#DIV/0!</v>
      </c>
      <c r="R1053" s="93" t="e">
        <f>P1053*dagenperjaar1</f>
        <v>#DIV/0!</v>
      </c>
      <c r="S1053" s="27" t="e">
        <f>R1053*ROUND(O1053,2)</f>
        <v>#DIV/0!</v>
      </c>
    </row>
    <row r="1054" spans="1:19" ht="25.2" x14ac:dyDescent="0.2">
      <c r="A1054" s="90" t="s">
        <v>1108</v>
      </c>
      <c r="B1054" s="91" t="s">
        <v>35</v>
      </c>
      <c r="C1054" s="91" t="s">
        <v>313</v>
      </c>
      <c r="D1054" s="91" t="s">
        <v>330</v>
      </c>
      <c r="E1054" s="92" t="s">
        <v>1110</v>
      </c>
      <c r="F1054" s="91" t="s">
        <v>329</v>
      </c>
      <c r="G1054" s="91" t="s">
        <v>293</v>
      </c>
      <c r="H1054" s="91" t="s">
        <v>13</v>
      </c>
      <c r="I1054" s="91" t="s">
        <v>235</v>
      </c>
      <c r="J1054" s="92" t="s">
        <v>294</v>
      </c>
      <c r="K1054" s="93">
        <v>3.7</v>
      </c>
      <c r="L1054" s="93">
        <f>K1054*VLOOKUP(H1054,dagsoorttabel1,2,FALSE)</f>
        <v>0.7400000000000001</v>
      </c>
      <c r="M1054" s="94">
        <f>prodnorm119</f>
        <v>0</v>
      </c>
      <c r="N1054" s="91" t="s">
        <v>101</v>
      </c>
      <c r="O1054" s="26">
        <f>uurtarief119</f>
        <v>0</v>
      </c>
      <c r="P1054" s="93" t="e">
        <f>IF(ISBLANK(M1054),0,L1054/ROUND(M1054,4))</f>
        <v>#DIV/0!</v>
      </c>
      <c r="Q1054" s="26" t="e">
        <f>ROUND(O1054,2)*P1054</f>
        <v>#DIV/0!</v>
      </c>
      <c r="R1054" s="93" t="e">
        <f>P1054*dagenperjaar1</f>
        <v>#DIV/0!</v>
      </c>
      <c r="S1054" s="27" t="e">
        <f>R1054*ROUND(O1054,2)</f>
        <v>#DIV/0!</v>
      </c>
    </row>
    <row r="1055" spans="1:19" x14ac:dyDescent="0.2">
      <c r="A1055" s="90" t="s">
        <v>1108</v>
      </c>
      <c r="B1055" s="91" t="s">
        <v>35</v>
      </c>
      <c r="C1055" s="91" t="s">
        <v>313</v>
      </c>
      <c r="D1055" s="91" t="s">
        <v>332</v>
      </c>
      <c r="E1055" s="92" t="s">
        <v>1111</v>
      </c>
      <c r="F1055" s="91" t="s">
        <v>329</v>
      </c>
      <c r="G1055" s="91" t="s">
        <v>252</v>
      </c>
      <c r="H1055" s="91" t="s">
        <v>21</v>
      </c>
      <c r="I1055" s="91" t="s">
        <v>235</v>
      </c>
      <c r="J1055" s="92" t="s">
        <v>253</v>
      </c>
      <c r="K1055" s="93">
        <v>48.8</v>
      </c>
      <c r="L1055" s="93">
        <f>K1055*VLOOKUP(H1055,dagsoorttabel1,2,FALSE)</f>
        <v>0.18769230769230769</v>
      </c>
      <c r="M1055" s="94">
        <f>prodnorm67</f>
        <v>0</v>
      </c>
      <c r="N1055" s="91" t="s">
        <v>101</v>
      </c>
      <c r="O1055" s="26">
        <f>uurtarief67</f>
        <v>0</v>
      </c>
      <c r="P1055" s="93" t="e">
        <f>IF(ISBLANK(M1055),0,L1055/ROUND(M1055,4))</f>
        <v>#DIV/0!</v>
      </c>
      <c r="Q1055" s="26" t="e">
        <f>ROUND(O1055,2)*P1055</f>
        <v>#DIV/0!</v>
      </c>
      <c r="R1055" s="93" t="e">
        <f>P1055*dagenperjaar1</f>
        <v>#DIV/0!</v>
      </c>
      <c r="S1055" s="27" t="e">
        <f>R1055*ROUND(O1055,2)</f>
        <v>#DIV/0!</v>
      </c>
    </row>
    <row r="1056" spans="1:19" x14ac:dyDescent="0.2">
      <c r="A1056" s="90" t="s">
        <v>1108</v>
      </c>
      <c r="B1056" s="91" t="s">
        <v>35</v>
      </c>
      <c r="C1056" s="91" t="s">
        <v>313</v>
      </c>
      <c r="D1056" s="91" t="s">
        <v>334</v>
      </c>
      <c r="E1056" s="92" t="s">
        <v>366</v>
      </c>
      <c r="F1056" s="91" t="s">
        <v>329</v>
      </c>
      <c r="G1056" s="91" t="s">
        <v>264</v>
      </c>
      <c r="H1056" s="91" t="s">
        <v>21</v>
      </c>
      <c r="I1056" s="91" t="s">
        <v>235</v>
      </c>
      <c r="J1056" s="92" t="s">
        <v>265</v>
      </c>
      <c r="K1056" s="93">
        <v>9.6999999999999993</v>
      </c>
      <c r="L1056" s="93">
        <f>K1056*VLOOKUP(H1056,dagsoorttabel1,2,FALSE)</f>
        <v>3.7307692307692306E-2</v>
      </c>
      <c r="M1056" s="94">
        <f>prodnorm81</f>
        <v>0</v>
      </c>
      <c r="N1056" s="91" t="s">
        <v>101</v>
      </c>
      <c r="O1056" s="26">
        <f>uurtarief81</f>
        <v>0</v>
      </c>
      <c r="P1056" s="93" t="e">
        <f>IF(ISBLANK(M1056),0,L1056/ROUND(M1056,4))</f>
        <v>#DIV/0!</v>
      </c>
      <c r="Q1056" s="26" t="e">
        <f>ROUND(O1056,2)*P1056</f>
        <v>#DIV/0!</v>
      </c>
      <c r="R1056" s="93" t="e">
        <f>P1056*dagenperjaar1</f>
        <v>#DIV/0!</v>
      </c>
      <c r="S1056" s="27" t="e">
        <f>R1056*ROUND(O1056,2)</f>
        <v>#DIV/0!</v>
      </c>
    </row>
    <row r="1057" spans="1:19" x14ac:dyDescent="0.2">
      <c r="A1057" s="90" t="s">
        <v>1108</v>
      </c>
      <c r="B1057" s="91" t="s">
        <v>35</v>
      </c>
      <c r="C1057" s="91" t="s">
        <v>313</v>
      </c>
      <c r="D1057" s="91" t="s">
        <v>336</v>
      </c>
      <c r="E1057" s="92" t="s">
        <v>1112</v>
      </c>
      <c r="F1057" s="91" t="s">
        <v>329</v>
      </c>
      <c r="G1057" s="91" t="s">
        <v>264</v>
      </c>
      <c r="H1057" s="91" t="s">
        <v>21</v>
      </c>
      <c r="I1057" s="91" t="s">
        <v>235</v>
      </c>
      <c r="J1057" s="92" t="s">
        <v>265</v>
      </c>
      <c r="K1057" s="93">
        <v>22.5</v>
      </c>
      <c r="L1057" s="93">
        <f>K1057*VLOOKUP(H1057,dagsoorttabel1,2,FALSE)</f>
        <v>8.6538461538461536E-2</v>
      </c>
      <c r="M1057" s="94">
        <f>prodnorm81</f>
        <v>0</v>
      </c>
      <c r="N1057" s="91" t="s">
        <v>101</v>
      </c>
      <c r="O1057" s="26">
        <f>uurtarief81</f>
        <v>0</v>
      </c>
      <c r="P1057" s="93" t="e">
        <f>IF(ISBLANK(M1057),0,L1057/ROUND(M1057,4))</f>
        <v>#DIV/0!</v>
      </c>
      <c r="Q1057" s="26" t="e">
        <f>ROUND(O1057,2)*P1057</f>
        <v>#DIV/0!</v>
      </c>
      <c r="R1057" s="93" t="e">
        <f>P1057*dagenperjaar1</f>
        <v>#DIV/0!</v>
      </c>
      <c r="S1057" s="27" t="e">
        <f>R1057*ROUND(O1057,2)</f>
        <v>#DIV/0!</v>
      </c>
    </row>
    <row r="1058" spans="1:19" x14ac:dyDescent="0.2">
      <c r="A1058" s="90" t="s">
        <v>1108</v>
      </c>
      <c r="B1058" s="91" t="s">
        <v>35</v>
      </c>
      <c r="C1058" s="91" t="s">
        <v>313</v>
      </c>
      <c r="D1058" s="91" t="s">
        <v>338</v>
      </c>
      <c r="E1058" s="92" t="s">
        <v>380</v>
      </c>
      <c r="F1058" s="91" t="s">
        <v>329</v>
      </c>
      <c r="G1058" s="91" t="s">
        <v>352</v>
      </c>
      <c r="H1058" s="91"/>
      <c r="I1058" s="91"/>
      <c r="J1058" s="91"/>
      <c r="K1058" s="93">
        <v>3.5</v>
      </c>
      <c r="L1058" s="93"/>
      <c r="M1058" s="94"/>
      <c r="N1058" s="91"/>
      <c r="O1058" s="26"/>
      <c r="P1058" s="93"/>
      <c r="Q1058" s="26"/>
      <c r="R1058" s="95"/>
      <c r="S1058" s="27"/>
    </row>
    <row r="1059" spans="1:19" x14ac:dyDescent="0.2">
      <c r="A1059" s="90" t="s">
        <v>1108</v>
      </c>
      <c r="B1059" s="91" t="s">
        <v>35</v>
      </c>
      <c r="C1059" s="91" t="s">
        <v>313</v>
      </c>
      <c r="D1059" s="91" t="s">
        <v>339</v>
      </c>
      <c r="E1059" s="92" t="s">
        <v>365</v>
      </c>
      <c r="F1059" s="91" t="s">
        <v>329</v>
      </c>
      <c r="G1059" s="91" t="s">
        <v>279</v>
      </c>
      <c r="H1059" s="91" t="s">
        <v>12</v>
      </c>
      <c r="I1059" s="91" t="s">
        <v>235</v>
      </c>
      <c r="J1059" s="92" t="s">
        <v>280</v>
      </c>
      <c r="K1059" s="93">
        <v>4.0999999999999996</v>
      </c>
      <c r="L1059" s="93">
        <f>K1059*VLOOKUP(H1059,dagsoorttabel1,2,FALSE)</f>
        <v>1.64</v>
      </c>
      <c r="M1059" s="94">
        <f>prodnorm101</f>
        <v>0</v>
      </c>
      <c r="N1059" s="91" t="s">
        <v>101</v>
      </c>
      <c r="O1059" s="26">
        <f>uurtarief101</f>
        <v>0</v>
      </c>
      <c r="P1059" s="93" t="e">
        <f>IF(ISBLANK(M1059),0,L1059/ROUND(M1059,4))</f>
        <v>#DIV/0!</v>
      </c>
      <c r="Q1059" s="26" t="e">
        <f>ROUND(O1059,2)*P1059</f>
        <v>#DIV/0!</v>
      </c>
      <c r="R1059" s="93" t="e">
        <f>P1059*dagenperjaar1</f>
        <v>#DIV/0!</v>
      </c>
      <c r="S1059" s="27" t="e">
        <f>R1059*ROUND(O1059,2)</f>
        <v>#DIV/0!</v>
      </c>
    </row>
    <row r="1060" spans="1:19" x14ac:dyDescent="0.2">
      <c r="A1060" s="90" t="s">
        <v>1108</v>
      </c>
      <c r="B1060" s="91" t="s">
        <v>35</v>
      </c>
      <c r="C1060" s="91" t="s">
        <v>313</v>
      </c>
      <c r="D1060" s="91" t="s">
        <v>341</v>
      </c>
      <c r="E1060" s="92" t="s">
        <v>1113</v>
      </c>
      <c r="F1060" s="91" t="s">
        <v>329</v>
      </c>
      <c r="G1060" s="91" t="s">
        <v>239</v>
      </c>
      <c r="H1060" s="91" t="s">
        <v>13</v>
      </c>
      <c r="I1060" s="91" t="s">
        <v>235</v>
      </c>
      <c r="J1060" s="92" t="s">
        <v>240</v>
      </c>
      <c r="K1060" s="93">
        <v>17.899999999999999</v>
      </c>
      <c r="L1060" s="93">
        <f>K1060*VLOOKUP(H1060,dagsoorttabel1,2,FALSE)</f>
        <v>3.58</v>
      </c>
      <c r="M1060" s="94">
        <f>prodnorm53</f>
        <v>0</v>
      </c>
      <c r="N1060" s="91" t="s">
        <v>101</v>
      </c>
      <c r="O1060" s="26">
        <f>uurtarief53</f>
        <v>0</v>
      </c>
      <c r="P1060" s="93" t="e">
        <f>IF(ISBLANK(M1060),0,L1060/ROUND(M1060,4))</f>
        <v>#DIV/0!</v>
      </c>
      <c r="Q1060" s="26" t="e">
        <f>ROUND(O1060,2)*P1060</f>
        <v>#DIV/0!</v>
      </c>
      <c r="R1060" s="93" t="e">
        <f>P1060*dagenperjaar1</f>
        <v>#DIV/0!</v>
      </c>
      <c r="S1060" s="27" t="e">
        <f>R1060*ROUND(O1060,2)</f>
        <v>#DIV/0!</v>
      </c>
    </row>
    <row r="1061" spans="1:19" x14ac:dyDescent="0.2">
      <c r="A1061" s="90" t="s">
        <v>1108</v>
      </c>
      <c r="B1061" s="91" t="s">
        <v>35</v>
      </c>
      <c r="C1061" s="91" t="s">
        <v>313</v>
      </c>
      <c r="D1061" s="91" t="s">
        <v>372</v>
      </c>
      <c r="E1061" s="92" t="s">
        <v>553</v>
      </c>
      <c r="F1061" s="91" t="s">
        <v>329</v>
      </c>
      <c r="G1061" s="91" t="s">
        <v>252</v>
      </c>
      <c r="H1061" s="91" t="s">
        <v>21</v>
      </c>
      <c r="I1061" s="91" t="s">
        <v>235</v>
      </c>
      <c r="J1061" s="92" t="s">
        <v>253</v>
      </c>
      <c r="K1061" s="93">
        <v>300</v>
      </c>
      <c r="L1061" s="93">
        <f>K1061*VLOOKUP(H1061,dagsoorttabel1,2,FALSE)</f>
        <v>1.153846153846154</v>
      </c>
      <c r="M1061" s="94">
        <f>prodnorm67</f>
        <v>0</v>
      </c>
      <c r="N1061" s="91" t="s">
        <v>101</v>
      </c>
      <c r="O1061" s="26">
        <f>uurtarief67</f>
        <v>0</v>
      </c>
      <c r="P1061" s="93" t="e">
        <f>IF(ISBLANK(M1061),0,L1061/ROUND(M1061,4))</f>
        <v>#DIV/0!</v>
      </c>
      <c r="Q1061" s="26" t="e">
        <f>ROUND(O1061,2)*P1061</f>
        <v>#DIV/0!</v>
      </c>
      <c r="R1061" s="93" t="e">
        <f>P1061*dagenperjaar1</f>
        <v>#DIV/0!</v>
      </c>
      <c r="S1061" s="27" t="e">
        <f>R1061*ROUND(O1061,2)</f>
        <v>#DIV/0!</v>
      </c>
    </row>
    <row r="1062" spans="1:19" x14ac:dyDescent="0.2">
      <c r="A1062" s="90" t="s">
        <v>1108</v>
      </c>
      <c r="B1062" s="91" t="s">
        <v>35</v>
      </c>
      <c r="C1062" s="91" t="s">
        <v>313</v>
      </c>
      <c r="D1062" s="91" t="s">
        <v>391</v>
      </c>
      <c r="E1062" s="92" t="s">
        <v>1114</v>
      </c>
      <c r="F1062" s="91" t="s">
        <v>329</v>
      </c>
      <c r="G1062" s="91" t="s">
        <v>264</v>
      </c>
      <c r="H1062" s="91" t="s">
        <v>13</v>
      </c>
      <c r="I1062" s="91" t="s">
        <v>235</v>
      </c>
      <c r="J1062" s="92" t="s">
        <v>265</v>
      </c>
      <c r="K1062" s="93">
        <v>66</v>
      </c>
      <c r="L1062" s="93">
        <f>K1062*VLOOKUP(H1062,dagsoorttabel1,2,FALSE)</f>
        <v>13.200000000000001</v>
      </c>
      <c r="M1062" s="94">
        <f>prodnorm82</f>
        <v>0</v>
      </c>
      <c r="N1062" s="91" t="s">
        <v>101</v>
      </c>
      <c r="O1062" s="26">
        <f>uurtarief82</f>
        <v>0</v>
      </c>
      <c r="P1062" s="93" t="e">
        <f>IF(ISBLANK(M1062),0,L1062/ROUND(M1062,4))</f>
        <v>#DIV/0!</v>
      </c>
      <c r="Q1062" s="26" t="e">
        <f>ROUND(O1062,2)*P1062</f>
        <v>#DIV/0!</v>
      </c>
      <c r="R1062" s="93" t="e">
        <f>P1062*dagenperjaar1</f>
        <v>#DIV/0!</v>
      </c>
      <c r="S1062" s="27" t="e">
        <f>R1062*ROUND(O1062,2)</f>
        <v>#DIV/0!</v>
      </c>
    </row>
    <row r="1063" spans="1:19" x14ac:dyDescent="0.2">
      <c r="A1063" s="90" t="s">
        <v>1108</v>
      </c>
      <c r="B1063" s="91" t="s">
        <v>35</v>
      </c>
      <c r="C1063" s="91" t="s">
        <v>313</v>
      </c>
      <c r="D1063" s="91" t="s">
        <v>392</v>
      </c>
      <c r="E1063" s="92" t="s">
        <v>1115</v>
      </c>
      <c r="F1063" s="91" t="s">
        <v>329</v>
      </c>
      <c r="G1063" s="91" t="s">
        <v>252</v>
      </c>
      <c r="H1063" s="91" t="s">
        <v>21</v>
      </c>
      <c r="I1063" s="91" t="s">
        <v>235</v>
      </c>
      <c r="J1063" s="92" t="s">
        <v>253</v>
      </c>
      <c r="K1063" s="93">
        <v>15</v>
      </c>
      <c r="L1063" s="93">
        <f>K1063*VLOOKUP(H1063,dagsoorttabel1,2,FALSE)</f>
        <v>5.7692307692307696E-2</v>
      </c>
      <c r="M1063" s="94">
        <f>prodnorm67</f>
        <v>0</v>
      </c>
      <c r="N1063" s="91" t="s">
        <v>101</v>
      </c>
      <c r="O1063" s="26">
        <f>uurtarief67</f>
        <v>0</v>
      </c>
      <c r="P1063" s="93" t="e">
        <f>IF(ISBLANK(M1063),0,L1063/ROUND(M1063,4))</f>
        <v>#DIV/0!</v>
      </c>
      <c r="Q1063" s="26" t="e">
        <f>ROUND(O1063,2)*P1063</f>
        <v>#DIV/0!</v>
      </c>
      <c r="R1063" s="93" t="e">
        <f>P1063*dagenperjaar1</f>
        <v>#DIV/0!</v>
      </c>
      <c r="S1063" s="27" t="e">
        <f>R1063*ROUND(O1063,2)</f>
        <v>#DIV/0!</v>
      </c>
    </row>
    <row r="1064" spans="1:19" ht="25.2" x14ac:dyDescent="0.2">
      <c r="A1064" s="90" t="s">
        <v>1108</v>
      </c>
      <c r="B1064" s="91" t="s">
        <v>35</v>
      </c>
      <c r="C1064" s="91" t="s">
        <v>313</v>
      </c>
      <c r="D1064" s="91" t="s">
        <v>393</v>
      </c>
      <c r="E1064" s="92" t="s">
        <v>550</v>
      </c>
      <c r="F1064" s="91" t="s">
        <v>329</v>
      </c>
      <c r="G1064" s="91" t="s">
        <v>248</v>
      </c>
      <c r="H1064" s="91" t="s">
        <v>12</v>
      </c>
      <c r="I1064" s="91" t="s">
        <v>235</v>
      </c>
      <c r="J1064" s="92" t="s">
        <v>249</v>
      </c>
      <c r="K1064" s="93">
        <v>22.2</v>
      </c>
      <c r="L1064" s="93">
        <f>K1064*VLOOKUP(H1064,dagsoorttabel1,2,FALSE)</f>
        <v>8.8800000000000008</v>
      </c>
      <c r="M1064" s="94">
        <f>prodnorm62</f>
        <v>0</v>
      </c>
      <c r="N1064" s="91" t="s">
        <v>101</v>
      </c>
      <c r="O1064" s="26">
        <f>uurtarief62</f>
        <v>0</v>
      </c>
      <c r="P1064" s="93" t="e">
        <f>IF(ISBLANK(M1064),0,L1064/ROUND(M1064,4))</f>
        <v>#DIV/0!</v>
      </c>
      <c r="Q1064" s="26" t="e">
        <f>ROUND(O1064,2)*P1064</f>
        <v>#DIV/0!</v>
      </c>
      <c r="R1064" s="93" t="e">
        <f>P1064*dagenperjaar1</f>
        <v>#DIV/0!</v>
      </c>
      <c r="S1064" s="27" t="e">
        <f>R1064*ROUND(O1064,2)</f>
        <v>#DIV/0!</v>
      </c>
    </row>
    <row r="1065" spans="1:19" x14ac:dyDescent="0.2">
      <c r="A1065" s="90" t="s">
        <v>1108</v>
      </c>
      <c r="B1065" s="91" t="s">
        <v>35</v>
      </c>
      <c r="C1065" s="91" t="s">
        <v>313</v>
      </c>
      <c r="D1065" s="91" t="s">
        <v>394</v>
      </c>
      <c r="E1065" s="92" t="s">
        <v>333</v>
      </c>
      <c r="F1065" s="91" t="s">
        <v>329</v>
      </c>
      <c r="G1065" s="91" t="s">
        <v>279</v>
      </c>
      <c r="H1065" s="91" t="s">
        <v>12</v>
      </c>
      <c r="I1065" s="91" t="s">
        <v>235</v>
      </c>
      <c r="J1065" s="92" t="s">
        <v>280</v>
      </c>
      <c r="K1065" s="93">
        <v>1.5</v>
      </c>
      <c r="L1065" s="93">
        <f>K1065*VLOOKUP(H1065,dagsoorttabel1,2,FALSE)</f>
        <v>0.60000000000000009</v>
      </c>
      <c r="M1065" s="94">
        <f>prodnorm101</f>
        <v>0</v>
      </c>
      <c r="N1065" s="91" t="s">
        <v>101</v>
      </c>
      <c r="O1065" s="26">
        <f>uurtarief101</f>
        <v>0</v>
      </c>
      <c r="P1065" s="93" t="e">
        <f>IF(ISBLANK(M1065),0,L1065/ROUND(M1065,4))</f>
        <v>#DIV/0!</v>
      </c>
      <c r="Q1065" s="26" t="e">
        <f>ROUND(O1065,2)*P1065</f>
        <v>#DIV/0!</v>
      </c>
      <c r="R1065" s="93" t="e">
        <f>P1065*dagenperjaar1</f>
        <v>#DIV/0!</v>
      </c>
      <c r="S1065" s="27" t="e">
        <f>R1065*ROUND(O1065,2)</f>
        <v>#DIV/0!</v>
      </c>
    </row>
    <row r="1066" spans="1:19" x14ac:dyDescent="0.2">
      <c r="A1066" s="90" t="s">
        <v>1108</v>
      </c>
      <c r="B1066" s="91" t="s">
        <v>35</v>
      </c>
      <c r="C1066" s="91" t="s">
        <v>343</v>
      </c>
      <c r="D1066" s="91" t="s">
        <v>344</v>
      </c>
      <c r="E1066" s="92" t="s">
        <v>367</v>
      </c>
      <c r="F1066" s="91" t="s">
        <v>329</v>
      </c>
      <c r="G1066" s="91" t="s">
        <v>283</v>
      </c>
      <c r="H1066" s="91" t="s">
        <v>12</v>
      </c>
      <c r="I1066" s="91" t="s">
        <v>235</v>
      </c>
      <c r="J1066" s="92" t="s">
        <v>284</v>
      </c>
      <c r="K1066" s="93">
        <v>25.2</v>
      </c>
      <c r="L1066" s="93">
        <f>K1066*VLOOKUP(H1066,dagsoorttabel1,2,FALSE)</f>
        <v>10.08</v>
      </c>
      <c r="M1066" s="94">
        <f>prodnorm107</f>
        <v>0</v>
      </c>
      <c r="N1066" s="91" t="s">
        <v>101</v>
      </c>
      <c r="O1066" s="26">
        <f>uurtarief107</f>
        <v>0</v>
      </c>
      <c r="P1066" s="93" t="e">
        <f>IF(ISBLANK(M1066),0,L1066/ROUND(M1066,4))</f>
        <v>#DIV/0!</v>
      </c>
      <c r="Q1066" s="26" t="e">
        <f>ROUND(O1066,2)*P1066</f>
        <v>#DIV/0!</v>
      </c>
      <c r="R1066" s="93" t="e">
        <f>P1066*dagenperjaar1</f>
        <v>#DIV/0!</v>
      </c>
      <c r="S1066" s="27" t="e">
        <f>R1066*ROUND(O1066,2)</f>
        <v>#DIV/0!</v>
      </c>
    </row>
    <row r="1067" spans="1:19" ht="25.2" x14ac:dyDescent="0.2">
      <c r="A1067" s="90" t="s">
        <v>1108</v>
      </c>
      <c r="B1067" s="91" t="s">
        <v>35</v>
      </c>
      <c r="C1067" s="91" t="s">
        <v>343</v>
      </c>
      <c r="D1067" s="91" t="s">
        <v>345</v>
      </c>
      <c r="E1067" s="92" t="s">
        <v>360</v>
      </c>
      <c r="F1067" s="91" t="s">
        <v>329</v>
      </c>
      <c r="G1067" s="91" t="s">
        <v>293</v>
      </c>
      <c r="H1067" s="91" t="s">
        <v>13</v>
      </c>
      <c r="I1067" s="91" t="s">
        <v>235</v>
      </c>
      <c r="J1067" s="92" t="s">
        <v>294</v>
      </c>
      <c r="K1067" s="93">
        <v>6.5</v>
      </c>
      <c r="L1067" s="93">
        <f>K1067*VLOOKUP(H1067,dagsoorttabel1,2,FALSE)</f>
        <v>1.3</v>
      </c>
      <c r="M1067" s="94">
        <f>prodnorm119</f>
        <v>0</v>
      </c>
      <c r="N1067" s="91" t="s">
        <v>101</v>
      </c>
      <c r="O1067" s="26">
        <f>uurtarief119</f>
        <v>0</v>
      </c>
      <c r="P1067" s="93" t="e">
        <f>IF(ISBLANK(M1067),0,L1067/ROUND(M1067,4))</f>
        <v>#DIV/0!</v>
      </c>
      <c r="Q1067" s="26" t="e">
        <f>ROUND(O1067,2)*P1067</f>
        <v>#DIV/0!</v>
      </c>
      <c r="R1067" s="93" t="e">
        <f>P1067*dagenperjaar1</f>
        <v>#DIV/0!</v>
      </c>
      <c r="S1067" s="27" t="e">
        <f>R1067*ROUND(O1067,2)</f>
        <v>#DIV/0!</v>
      </c>
    </row>
    <row r="1068" spans="1:19" x14ac:dyDescent="0.2">
      <c r="A1068" s="90" t="s">
        <v>1108</v>
      </c>
      <c r="B1068" s="91" t="s">
        <v>35</v>
      </c>
      <c r="C1068" s="91" t="s">
        <v>343</v>
      </c>
      <c r="D1068" s="91" t="s">
        <v>348</v>
      </c>
      <c r="E1068" s="92" t="s">
        <v>333</v>
      </c>
      <c r="F1068" s="91" t="s">
        <v>329</v>
      </c>
      <c r="G1068" s="91" t="s">
        <v>279</v>
      </c>
      <c r="H1068" s="91" t="s">
        <v>12</v>
      </c>
      <c r="I1068" s="91" t="s">
        <v>235</v>
      </c>
      <c r="J1068" s="92" t="s">
        <v>280</v>
      </c>
      <c r="K1068" s="93">
        <v>6.6</v>
      </c>
      <c r="L1068" s="93">
        <f>K1068*VLOOKUP(H1068,dagsoorttabel1,2,FALSE)</f>
        <v>2.64</v>
      </c>
      <c r="M1068" s="94">
        <f>prodnorm101</f>
        <v>0</v>
      </c>
      <c r="N1068" s="91" t="s">
        <v>101</v>
      </c>
      <c r="O1068" s="26">
        <f>uurtarief101</f>
        <v>0</v>
      </c>
      <c r="P1068" s="93" t="e">
        <f>IF(ISBLANK(M1068),0,L1068/ROUND(M1068,4))</f>
        <v>#DIV/0!</v>
      </c>
      <c r="Q1068" s="26" t="e">
        <f>ROUND(O1068,2)*P1068</f>
        <v>#DIV/0!</v>
      </c>
      <c r="R1068" s="93" t="e">
        <f>P1068*dagenperjaar1</f>
        <v>#DIV/0!</v>
      </c>
      <c r="S1068" s="27" t="e">
        <f>R1068*ROUND(O1068,2)</f>
        <v>#DIV/0!</v>
      </c>
    </row>
    <row r="1069" spans="1:19" x14ac:dyDescent="0.2">
      <c r="A1069" s="90" t="s">
        <v>1108</v>
      </c>
      <c r="B1069" s="91" t="s">
        <v>35</v>
      </c>
      <c r="C1069" s="91" t="s">
        <v>343</v>
      </c>
      <c r="D1069" s="91" t="s">
        <v>350</v>
      </c>
      <c r="E1069" s="92" t="s">
        <v>1116</v>
      </c>
      <c r="F1069" s="91" t="s">
        <v>347</v>
      </c>
      <c r="G1069" s="91" t="s">
        <v>266</v>
      </c>
      <c r="H1069" s="91" t="s">
        <v>12</v>
      </c>
      <c r="I1069" s="91" t="s">
        <v>235</v>
      </c>
      <c r="J1069" s="92" t="s">
        <v>267</v>
      </c>
      <c r="K1069" s="93">
        <v>13.1</v>
      </c>
      <c r="L1069" s="93">
        <f>K1069*VLOOKUP(H1069,dagsoorttabel1,2,FALSE)</f>
        <v>5.24</v>
      </c>
      <c r="M1069" s="94">
        <f>prodnorm84</f>
        <v>0</v>
      </c>
      <c r="N1069" s="91" t="s">
        <v>101</v>
      </c>
      <c r="O1069" s="26">
        <f>uurtarief84</f>
        <v>0</v>
      </c>
      <c r="P1069" s="93" t="e">
        <f>IF(ISBLANK(M1069),0,L1069/ROUND(M1069,4))</f>
        <v>#DIV/0!</v>
      </c>
      <c r="Q1069" s="26" t="e">
        <f>ROUND(O1069,2)*P1069</f>
        <v>#DIV/0!</v>
      </c>
      <c r="R1069" s="93" t="e">
        <f>P1069*dagenperjaar1</f>
        <v>#DIV/0!</v>
      </c>
      <c r="S1069" s="27" t="e">
        <f>R1069*ROUND(O1069,2)</f>
        <v>#DIV/0!</v>
      </c>
    </row>
    <row r="1070" spans="1:19" x14ac:dyDescent="0.2">
      <c r="A1070" s="90" t="s">
        <v>1108</v>
      </c>
      <c r="B1070" s="91" t="s">
        <v>35</v>
      </c>
      <c r="C1070" s="91" t="s">
        <v>343</v>
      </c>
      <c r="D1070" s="91" t="s">
        <v>353</v>
      </c>
      <c r="E1070" s="92" t="s">
        <v>1077</v>
      </c>
      <c r="F1070" s="91" t="s">
        <v>347</v>
      </c>
      <c r="G1070" s="91" t="s">
        <v>270</v>
      </c>
      <c r="H1070" s="91" t="s">
        <v>12</v>
      </c>
      <c r="I1070" s="91" t="s">
        <v>235</v>
      </c>
      <c r="J1070" s="92" t="s">
        <v>271</v>
      </c>
      <c r="K1070" s="93">
        <v>72.3</v>
      </c>
      <c r="L1070" s="93">
        <f>K1070*VLOOKUP(H1070,dagsoorttabel1,2,FALSE)</f>
        <v>28.92</v>
      </c>
      <c r="M1070" s="94">
        <f>prodnorm90</f>
        <v>0</v>
      </c>
      <c r="N1070" s="91" t="s">
        <v>101</v>
      </c>
      <c r="O1070" s="26">
        <f>uurtarief90</f>
        <v>0</v>
      </c>
      <c r="P1070" s="93" t="e">
        <f>IF(ISBLANK(M1070),0,L1070/ROUND(M1070,4))</f>
        <v>#DIV/0!</v>
      </c>
      <c r="Q1070" s="26" t="e">
        <f>ROUND(O1070,2)*P1070</f>
        <v>#DIV/0!</v>
      </c>
      <c r="R1070" s="93" t="e">
        <f>P1070*dagenperjaar1</f>
        <v>#DIV/0!</v>
      </c>
      <c r="S1070" s="27" t="e">
        <f>R1070*ROUND(O1070,2)</f>
        <v>#DIV/0!</v>
      </c>
    </row>
    <row r="1071" spans="1:19" x14ac:dyDescent="0.2">
      <c r="A1071" s="90" t="s">
        <v>1108</v>
      </c>
      <c r="B1071" s="91" t="s">
        <v>35</v>
      </c>
      <c r="C1071" s="91" t="s">
        <v>343</v>
      </c>
      <c r="D1071" s="91" t="s">
        <v>355</v>
      </c>
      <c r="E1071" s="92" t="s">
        <v>403</v>
      </c>
      <c r="F1071" s="91" t="s">
        <v>347</v>
      </c>
      <c r="G1071" s="91" t="s">
        <v>270</v>
      </c>
      <c r="H1071" s="91" t="s">
        <v>12</v>
      </c>
      <c r="I1071" s="91" t="s">
        <v>235</v>
      </c>
      <c r="J1071" s="92" t="s">
        <v>271</v>
      </c>
      <c r="K1071" s="93">
        <v>19.3</v>
      </c>
      <c r="L1071" s="93">
        <f>K1071*VLOOKUP(H1071,dagsoorttabel1,2,FALSE)</f>
        <v>7.7200000000000006</v>
      </c>
      <c r="M1071" s="94">
        <f>prodnorm90</f>
        <v>0</v>
      </c>
      <c r="N1071" s="91" t="s">
        <v>101</v>
      </c>
      <c r="O1071" s="26">
        <f>uurtarief90</f>
        <v>0</v>
      </c>
      <c r="P1071" s="93" t="e">
        <f>IF(ISBLANK(M1071),0,L1071/ROUND(M1071,4))</f>
        <v>#DIV/0!</v>
      </c>
      <c r="Q1071" s="26" t="e">
        <f>ROUND(O1071,2)*P1071</f>
        <v>#DIV/0!</v>
      </c>
      <c r="R1071" s="93" t="e">
        <f>P1071*dagenperjaar1</f>
        <v>#DIV/0!</v>
      </c>
      <c r="S1071" s="27" t="e">
        <f>R1071*ROUND(O1071,2)</f>
        <v>#DIV/0!</v>
      </c>
    </row>
    <row r="1072" spans="1:19" ht="25.2" x14ac:dyDescent="0.2">
      <c r="A1072" s="90" t="s">
        <v>1108</v>
      </c>
      <c r="B1072" s="91" t="s">
        <v>35</v>
      </c>
      <c r="C1072" s="91" t="s">
        <v>343</v>
      </c>
      <c r="D1072" s="91" t="s">
        <v>379</v>
      </c>
      <c r="E1072" s="92" t="s">
        <v>410</v>
      </c>
      <c r="F1072" s="91" t="s">
        <v>347</v>
      </c>
      <c r="G1072" s="91" t="s">
        <v>248</v>
      </c>
      <c r="H1072" s="91" t="s">
        <v>12</v>
      </c>
      <c r="I1072" s="91" t="s">
        <v>235</v>
      </c>
      <c r="J1072" s="92" t="s">
        <v>249</v>
      </c>
      <c r="K1072" s="93">
        <v>43.5</v>
      </c>
      <c r="L1072" s="93">
        <f>K1072*VLOOKUP(H1072,dagsoorttabel1,2,FALSE)</f>
        <v>17.400000000000002</v>
      </c>
      <c r="M1072" s="94">
        <f>prodnorm62</f>
        <v>0</v>
      </c>
      <c r="N1072" s="91" t="s">
        <v>101</v>
      </c>
      <c r="O1072" s="26">
        <f>uurtarief62</f>
        <v>0</v>
      </c>
      <c r="P1072" s="93" t="e">
        <f>IF(ISBLANK(M1072),0,L1072/ROUND(M1072,4))</f>
        <v>#DIV/0!</v>
      </c>
      <c r="Q1072" s="26" t="e">
        <f>ROUND(O1072,2)*P1072</f>
        <v>#DIV/0!</v>
      </c>
      <c r="R1072" s="93" t="e">
        <f>P1072*dagenperjaar1</f>
        <v>#DIV/0!</v>
      </c>
      <c r="S1072" s="27" t="e">
        <f>R1072*ROUND(O1072,2)</f>
        <v>#DIV/0!</v>
      </c>
    </row>
    <row r="1073" spans="1:19" ht="25.2" x14ac:dyDescent="0.2">
      <c r="A1073" s="90" t="s">
        <v>1108</v>
      </c>
      <c r="B1073" s="91" t="s">
        <v>35</v>
      </c>
      <c r="C1073" s="91" t="s">
        <v>343</v>
      </c>
      <c r="D1073" s="91" t="s">
        <v>405</v>
      </c>
      <c r="E1073" s="92" t="s">
        <v>410</v>
      </c>
      <c r="F1073" s="91" t="s">
        <v>347</v>
      </c>
      <c r="G1073" s="91" t="s">
        <v>248</v>
      </c>
      <c r="H1073" s="91" t="s">
        <v>12</v>
      </c>
      <c r="I1073" s="91" t="s">
        <v>235</v>
      </c>
      <c r="J1073" s="92" t="s">
        <v>249</v>
      </c>
      <c r="K1073" s="93">
        <v>42.3</v>
      </c>
      <c r="L1073" s="93">
        <f>K1073*VLOOKUP(H1073,dagsoorttabel1,2,FALSE)</f>
        <v>16.919999999999998</v>
      </c>
      <c r="M1073" s="94">
        <f>prodnorm62</f>
        <v>0</v>
      </c>
      <c r="N1073" s="91" t="s">
        <v>101</v>
      </c>
      <c r="O1073" s="26">
        <f>uurtarief62</f>
        <v>0</v>
      </c>
      <c r="P1073" s="93" t="e">
        <f>IF(ISBLANK(M1073),0,L1073/ROUND(M1073,4))</f>
        <v>#DIV/0!</v>
      </c>
      <c r="Q1073" s="26" t="e">
        <f>ROUND(O1073,2)*P1073</f>
        <v>#DIV/0!</v>
      </c>
      <c r="R1073" s="93" t="e">
        <f>P1073*dagenperjaar1</f>
        <v>#DIV/0!</v>
      </c>
      <c r="S1073" s="27" t="e">
        <f>R1073*ROUND(O1073,2)</f>
        <v>#DIV/0!</v>
      </c>
    </row>
    <row r="1074" spans="1:19" x14ac:dyDescent="0.2">
      <c r="A1074" s="90" t="s">
        <v>1108</v>
      </c>
      <c r="B1074" s="91" t="s">
        <v>35</v>
      </c>
      <c r="C1074" s="91" t="s">
        <v>343</v>
      </c>
      <c r="D1074" s="91" t="s">
        <v>406</v>
      </c>
      <c r="E1074" s="92" t="s">
        <v>366</v>
      </c>
      <c r="F1074" s="91" t="s">
        <v>347</v>
      </c>
      <c r="G1074" s="91" t="s">
        <v>264</v>
      </c>
      <c r="H1074" s="91" t="s">
        <v>21</v>
      </c>
      <c r="I1074" s="91" t="s">
        <v>235</v>
      </c>
      <c r="J1074" s="92" t="s">
        <v>265</v>
      </c>
      <c r="K1074" s="93">
        <v>21.1</v>
      </c>
      <c r="L1074" s="93">
        <f>K1074*VLOOKUP(H1074,dagsoorttabel1,2,FALSE)</f>
        <v>8.115384615384616E-2</v>
      </c>
      <c r="M1074" s="94">
        <f>prodnorm81</f>
        <v>0</v>
      </c>
      <c r="N1074" s="91" t="s">
        <v>101</v>
      </c>
      <c r="O1074" s="26">
        <f>uurtarief81</f>
        <v>0</v>
      </c>
      <c r="P1074" s="93" t="e">
        <f>IF(ISBLANK(M1074),0,L1074/ROUND(M1074,4))</f>
        <v>#DIV/0!</v>
      </c>
      <c r="Q1074" s="26" t="e">
        <f>ROUND(O1074,2)*P1074</f>
        <v>#DIV/0!</v>
      </c>
      <c r="R1074" s="93" t="e">
        <f>P1074*dagenperjaar1</f>
        <v>#DIV/0!</v>
      </c>
      <c r="S1074" s="27" t="e">
        <f>R1074*ROUND(O1074,2)</f>
        <v>#DIV/0!</v>
      </c>
    </row>
    <row r="1075" spans="1:19" x14ac:dyDescent="0.2">
      <c r="A1075" s="90" t="s">
        <v>1108</v>
      </c>
      <c r="B1075" s="91" t="s">
        <v>35</v>
      </c>
      <c r="C1075" s="91" t="s">
        <v>343</v>
      </c>
      <c r="D1075" s="91" t="s">
        <v>407</v>
      </c>
      <c r="E1075" s="92" t="s">
        <v>380</v>
      </c>
      <c r="F1075" s="91" t="s">
        <v>347</v>
      </c>
      <c r="G1075" s="91" t="s">
        <v>352</v>
      </c>
      <c r="H1075" s="91"/>
      <c r="I1075" s="91"/>
      <c r="J1075" s="91"/>
      <c r="K1075" s="93">
        <v>1.5</v>
      </c>
      <c r="L1075" s="93"/>
      <c r="M1075" s="94"/>
      <c r="N1075" s="91"/>
      <c r="O1075" s="26"/>
      <c r="P1075" s="93"/>
      <c r="Q1075" s="26"/>
      <c r="R1075" s="95"/>
      <c r="S1075" s="27"/>
    </row>
    <row r="1076" spans="1:19" x14ac:dyDescent="0.2">
      <c r="A1076" s="96" t="s">
        <v>1108</v>
      </c>
      <c r="B1076" s="97" t="s">
        <v>35</v>
      </c>
      <c r="C1076" s="97" t="s">
        <v>343</v>
      </c>
      <c r="D1076" s="97" t="s">
        <v>408</v>
      </c>
      <c r="E1076" s="98" t="s">
        <v>333</v>
      </c>
      <c r="F1076" s="97" t="s">
        <v>329</v>
      </c>
      <c r="G1076" s="97" t="s">
        <v>279</v>
      </c>
      <c r="H1076" s="97" t="s">
        <v>12</v>
      </c>
      <c r="I1076" s="97" t="s">
        <v>235</v>
      </c>
      <c r="J1076" s="98" t="s">
        <v>280</v>
      </c>
      <c r="K1076" s="99">
        <v>9</v>
      </c>
      <c r="L1076" s="99">
        <f>K1076*VLOOKUP(H1076,dagsoorttabel1,2,FALSE)</f>
        <v>3.6</v>
      </c>
      <c r="M1076" s="100">
        <f>prodnorm101</f>
        <v>0</v>
      </c>
      <c r="N1076" s="97" t="s">
        <v>101</v>
      </c>
      <c r="O1076" s="36">
        <f>uurtarief101</f>
        <v>0</v>
      </c>
      <c r="P1076" s="99" t="e">
        <f>IF(ISBLANK(M1076),0,L1076/ROUND(M1076,4))</f>
        <v>#DIV/0!</v>
      </c>
      <c r="Q1076" s="36" t="e">
        <f>ROUND(O1076,2)*P1076</f>
        <v>#DIV/0!</v>
      </c>
      <c r="R1076" s="99" t="e">
        <f>P1076*dagenperjaar1</f>
        <v>#DIV/0!</v>
      </c>
      <c r="S1076" s="37" t="e">
        <f>R1076*ROUND(O1076,2)</f>
        <v>#DIV/0!</v>
      </c>
    </row>
    <row r="1077" spans="1:19" x14ac:dyDescent="0.2">
      <c r="A1077" s="101" t="s">
        <v>356</v>
      </c>
      <c r="B1077" s="74"/>
      <c r="C1077" s="74"/>
      <c r="D1077" s="74"/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6" t="e">
        <f>IF(_xlfn.SINGLE(object29_urenjaar1)&gt;0,_xlfn.SINGLE(object29_prijsjaar1)/_xlfn.SINGLE(object29_urenjaar1),0)</f>
        <v>#DIV/0!</v>
      </c>
      <c r="P1077" s="75" t="e">
        <f>SUM(P1047:P1076)</f>
        <v>#DIV/0!</v>
      </c>
      <c r="Q1077" s="76" t="e">
        <f>SUM(Q1047:Q1076)</f>
        <v>#DIV/0!</v>
      </c>
      <c r="R1077" s="75" t="e">
        <f>SUM(R1047:R1076)</f>
        <v>#DIV/0!</v>
      </c>
      <c r="S1077" s="77" t="e">
        <f>SUM(S1047:S1076)</f>
        <v>#DIV/0!</v>
      </c>
    </row>
    <row r="1078" spans="1:19" x14ac:dyDescent="0.2">
      <c r="A1078" s="82" t="s">
        <v>1117</v>
      </c>
      <c r="B1078" s="49"/>
      <c r="C1078" s="49"/>
      <c r="D1078" s="49"/>
      <c r="E1078" s="49"/>
      <c r="F1078" s="49"/>
      <c r="G1078" s="49"/>
      <c r="H1078" s="49"/>
      <c r="I1078" s="49"/>
      <c r="J1078" s="49"/>
      <c r="K1078" s="49"/>
      <c r="L1078" s="49"/>
      <c r="M1078" s="49"/>
      <c r="N1078" s="49"/>
      <c r="O1078" s="49"/>
      <c r="P1078" s="49"/>
      <c r="Q1078" s="49"/>
      <c r="R1078" s="49"/>
      <c r="S1078" s="72"/>
    </row>
    <row r="1079" spans="1:19" x14ac:dyDescent="0.2">
      <c r="A1079" s="83" t="s">
        <v>1118</v>
      </c>
      <c r="B1079" s="84" t="s">
        <v>35</v>
      </c>
      <c r="C1079" s="84" t="s">
        <v>313</v>
      </c>
      <c r="D1079" s="84" t="s">
        <v>314</v>
      </c>
      <c r="E1079" s="85" t="s">
        <v>553</v>
      </c>
      <c r="F1079" s="84" t="s">
        <v>316</v>
      </c>
      <c r="G1079" s="84" t="s">
        <v>252</v>
      </c>
      <c r="H1079" s="84" t="s">
        <v>21</v>
      </c>
      <c r="I1079" s="84" t="s">
        <v>235</v>
      </c>
      <c r="J1079" s="85" t="s">
        <v>253</v>
      </c>
      <c r="K1079" s="86">
        <v>363</v>
      </c>
      <c r="L1079" s="86">
        <f>K1079*VLOOKUP(H1079,dagsoorttabel1,2,FALSE)</f>
        <v>1.3961538461538463</v>
      </c>
      <c r="M1079" s="87">
        <f>prodnorm67</f>
        <v>0</v>
      </c>
      <c r="N1079" s="84" t="s">
        <v>101</v>
      </c>
      <c r="O1079" s="88">
        <f>uurtarief67</f>
        <v>0</v>
      </c>
      <c r="P1079" s="86" t="e">
        <f>IF(ISBLANK(M1079),0,L1079/ROUND(M1079,4))</f>
        <v>#DIV/0!</v>
      </c>
      <c r="Q1079" s="88" t="e">
        <f>ROUND(O1079,2)*P1079</f>
        <v>#DIV/0!</v>
      </c>
      <c r="R1079" s="86" t="e">
        <f>P1079*dagenperjaar1</f>
        <v>#DIV/0!</v>
      </c>
      <c r="S1079" s="89" t="e">
        <f>R1079*ROUND(O1079,2)</f>
        <v>#DIV/0!</v>
      </c>
    </row>
    <row r="1080" spans="1:19" x14ac:dyDescent="0.2">
      <c r="A1080" s="90" t="s">
        <v>1118</v>
      </c>
      <c r="B1080" s="91" t="s">
        <v>35</v>
      </c>
      <c r="C1080" s="91" t="s">
        <v>313</v>
      </c>
      <c r="D1080" s="91" t="s">
        <v>317</v>
      </c>
      <c r="E1080" s="92" t="s">
        <v>1119</v>
      </c>
      <c r="F1080" s="91" t="s">
        <v>385</v>
      </c>
      <c r="G1080" s="91" t="s">
        <v>352</v>
      </c>
      <c r="H1080" s="91"/>
      <c r="I1080" s="91"/>
      <c r="J1080" s="91"/>
      <c r="K1080" s="93">
        <v>6.3</v>
      </c>
      <c r="L1080" s="93"/>
      <c r="M1080" s="94"/>
      <c r="N1080" s="91"/>
      <c r="O1080" s="26"/>
      <c r="P1080" s="93"/>
      <c r="Q1080" s="26"/>
      <c r="R1080" s="95"/>
      <c r="S1080" s="27"/>
    </row>
    <row r="1081" spans="1:19" x14ac:dyDescent="0.2">
      <c r="A1081" s="90" t="s">
        <v>1118</v>
      </c>
      <c r="B1081" s="91" t="s">
        <v>35</v>
      </c>
      <c r="C1081" s="91" t="s">
        <v>313</v>
      </c>
      <c r="D1081" s="91" t="s">
        <v>320</v>
      </c>
      <c r="E1081" s="92" t="s">
        <v>1120</v>
      </c>
      <c r="F1081" s="91" t="s">
        <v>316</v>
      </c>
      <c r="G1081" s="91" t="s">
        <v>277</v>
      </c>
      <c r="H1081" s="91" t="s">
        <v>13</v>
      </c>
      <c r="I1081" s="91" t="s">
        <v>235</v>
      </c>
      <c r="J1081" s="92" t="s">
        <v>278</v>
      </c>
      <c r="K1081" s="93">
        <v>10.7</v>
      </c>
      <c r="L1081" s="93">
        <f>K1081*VLOOKUP(H1081,dagsoorttabel1,2,FALSE)</f>
        <v>2.14</v>
      </c>
      <c r="M1081" s="94">
        <f>prodnorm97</f>
        <v>0</v>
      </c>
      <c r="N1081" s="91" t="s">
        <v>101</v>
      </c>
      <c r="O1081" s="26">
        <f>uurtarief97</f>
        <v>0</v>
      </c>
      <c r="P1081" s="93" t="e">
        <f>IF(ISBLANK(M1081),0,L1081/ROUND(M1081,4))</f>
        <v>#DIV/0!</v>
      </c>
      <c r="Q1081" s="26" t="e">
        <f>ROUND(O1081,2)*P1081</f>
        <v>#DIV/0!</v>
      </c>
      <c r="R1081" s="93" t="e">
        <f>P1081*dagenperjaar1</f>
        <v>#DIV/0!</v>
      </c>
      <c r="S1081" s="27" t="e">
        <f>R1081*ROUND(O1081,2)</f>
        <v>#DIV/0!</v>
      </c>
    </row>
    <row r="1082" spans="1:19" x14ac:dyDescent="0.2">
      <c r="A1082" s="90" t="s">
        <v>1118</v>
      </c>
      <c r="B1082" s="91" t="s">
        <v>35</v>
      </c>
      <c r="C1082" s="91" t="s">
        <v>313</v>
      </c>
      <c r="D1082" s="91" t="s">
        <v>322</v>
      </c>
      <c r="E1082" s="92" t="s">
        <v>1121</v>
      </c>
      <c r="F1082" s="91" t="s">
        <v>316</v>
      </c>
      <c r="G1082" s="91" t="s">
        <v>277</v>
      </c>
      <c r="H1082" s="91" t="s">
        <v>13</v>
      </c>
      <c r="I1082" s="91" t="s">
        <v>235</v>
      </c>
      <c r="J1082" s="92" t="s">
        <v>278</v>
      </c>
      <c r="K1082" s="93">
        <v>31</v>
      </c>
      <c r="L1082" s="93">
        <f>K1082*VLOOKUP(H1082,dagsoorttabel1,2,FALSE)</f>
        <v>6.2</v>
      </c>
      <c r="M1082" s="94">
        <f>prodnorm97</f>
        <v>0</v>
      </c>
      <c r="N1082" s="91" t="s">
        <v>101</v>
      </c>
      <c r="O1082" s="26">
        <f>uurtarief97</f>
        <v>0</v>
      </c>
      <c r="P1082" s="93" t="e">
        <f>IF(ISBLANK(M1082),0,L1082/ROUND(M1082,4))</f>
        <v>#DIV/0!</v>
      </c>
      <c r="Q1082" s="26" t="e">
        <f>ROUND(O1082,2)*P1082</f>
        <v>#DIV/0!</v>
      </c>
      <c r="R1082" s="93" t="e">
        <f>P1082*dagenperjaar1</f>
        <v>#DIV/0!</v>
      </c>
      <c r="S1082" s="27" t="e">
        <f>R1082*ROUND(O1082,2)</f>
        <v>#DIV/0!</v>
      </c>
    </row>
    <row r="1083" spans="1:19" x14ac:dyDescent="0.2">
      <c r="A1083" s="90" t="s">
        <v>1118</v>
      </c>
      <c r="B1083" s="91" t="s">
        <v>35</v>
      </c>
      <c r="C1083" s="91" t="s">
        <v>313</v>
      </c>
      <c r="D1083" s="91" t="s">
        <v>324</v>
      </c>
      <c r="E1083" s="92" t="s">
        <v>367</v>
      </c>
      <c r="F1083" s="91" t="s">
        <v>316</v>
      </c>
      <c r="G1083" s="91" t="s">
        <v>283</v>
      </c>
      <c r="H1083" s="91" t="s">
        <v>13</v>
      </c>
      <c r="I1083" s="91" t="s">
        <v>235</v>
      </c>
      <c r="J1083" s="92" t="s">
        <v>284</v>
      </c>
      <c r="K1083" s="93">
        <v>9.65</v>
      </c>
      <c r="L1083" s="93">
        <f>K1083*VLOOKUP(H1083,dagsoorttabel1,2,FALSE)</f>
        <v>1.9300000000000002</v>
      </c>
      <c r="M1083" s="94">
        <f>prodnorm106</f>
        <v>0</v>
      </c>
      <c r="N1083" s="91" t="s">
        <v>101</v>
      </c>
      <c r="O1083" s="26">
        <f>uurtarief106</f>
        <v>0</v>
      </c>
      <c r="P1083" s="93" t="e">
        <f>IF(ISBLANK(M1083),0,L1083/ROUND(M1083,4))</f>
        <v>#DIV/0!</v>
      </c>
      <c r="Q1083" s="26" t="e">
        <f>ROUND(O1083,2)*P1083</f>
        <v>#DIV/0!</v>
      </c>
      <c r="R1083" s="93" t="e">
        <f>P1083*dagenperjaar1</f>
        <v>#DIV/0!</v>
      </c>
      <c r="S1083" s="27" t="e">
        <f>R1083*ROUND(O1083,2)</f>
        <v>#DIV/0!</v>
      </c>
    </row>
    <row r="1084" spans="1:19" x14ac:dyDescent="0.2">
      <c r="A1084" s="90" t="s">
        <v>1118</v>
      </c>
      <c r="B1084" s="91" t="s">
        <v>35</v>
      </c>
      <c r="C1084" s="91" t="s">
        <v>313</v>
      </c>
      <c r="D1084" s="91" t="s">
        <v>325</v>
      </c>
      <c r="E1084" s="92" t="s">
        <v>1065</v>
      </c>
      <c r="F1084" s="91" t="s">
        <v>361</v>
      </c>
      <c r="G1084" s="91" t="s">
        <v>239</v>
      </c>
      <c r="H1084" s="91" t="s">
        <v>13</v>
      </c>
      <c r="I1084" s="91" t="s">
        <v>235</v>
      </c>
      <c r="J1084" s="92" t="s">
        <v>240</v>
      </c>
      <c r="K1084" s="93">
        <v>20.99</v>
      </c>
      <c r="L1084" s="93">
        <f>K1084*VLOOKUP(H1084,dagsoorttabel1,2,FALSE)</f>
        <v>4.1979999999999995</v>
      </c>
      <c r="M1084" s="94">
        <f>prodnorm53</f>
        <v>0</v>
      </c>
      <c r="N1084" s="91" t="s">
        <v>101</v>
      </c>
      <c r="O1084" s="26">
        <f>uurtarief53</f>
        <v>0</v>
      </c>
      <c r="P1084" s="93" t="e">
        <f>IF(ISBLANK(M1084),0,L1084/ROUND(M1084,4))</f>
        <v>#DIV/0!</v>
      </c>
      <c r="Q1084" s="26" t="e">
        <f>ROUND(O1084,2)*P1084</f>
        <v>#DIV/0!</v>
      </c>
      <c r="R1084" s="93" t="e">
        <f>P1084*dagenperjaar1</f>
        <v>#DIV/0!</v>
      </c>
      <c r="S1084" s="27" t="e">
        <f>R1084*ROUND(O1084,2)</f>
        <v>#DIV/0!</v>
      </c>
    </row>
    <row r="1085" spans="1:19" ht="25.2" x14ac:dyDescent="0.2">
      <c r="A1085" s="90" t="s">
        <v>1118</v>
      </c>
      <c r="B1085" s="91" t="s">
        <v>35</v>
      </c>
      <c r="C1085" s="91" t="s">
        <v>313</v>
      </c>
      <c r="D1085" s="91" t="s">
        <v>327</v>
      </c>
      <c r="E1085" s="92" t="s">
        <v>1072</v>
      </c>
      <c r="F1085" s="91" t="s">
        <v>361</v>
      </c>
      <c r="G1085" s="91" t="s">
        <v>293</v>
      </c>
      <c r="H1085" s="91" t="s">
        <v>13</v>
      </c>
      <c r="I1085" s="91" t="s">
        <v>235</v>
      </c>
      <c r="J1085" s="92" t="s">
        <v>294</v>
      </c>
      <c r="K1085" s="93">
        <v>2.5</v>
      </c>
      <c r="L1085" s="93">
        <f>K1085*VLOOKUP(H1085,dagsoorttabel1,2,FALSE)</f>
        <v>0.5</v>
      </c>
      <c r="M1085" s="94">
        <f>prodnorm119</f>
        <v>0</v>
      </c>
      <c r="N1085" s="91" t="s">
        <v>101</v>
      </c>
      <c r="O1085" s="26">
        <f>uurtarief119</f>
        <v>0</v>
      </c>
      <c r="P1085" s="93" t="e">
        <f>IF(ISBLANK(M1085),0,L1085/ROUND(M1085,4))</f>
        <v>#DIV/0!</v>
      </c>
      <c r="Q1085" s="26" t="e">
        <f>ROUND(O1085,2)*P1085</f>
        <v>#DIV/0!</v>
      </c>
      <c r="R1085" s="93" t="e">
        <f>P1085*dagenperjaar1</f>
        <v>#DIV/0!</v>
      </c>
      <c r="S1085" s="27" t="e">
        <f>R1085*ROUND(O1085,2)</f>
        <v>#DIV/0!</v>
      </c>
    </row>
    <row r="1086" spans="1:19" x14ac:dyDescent="0.2">
      <c r="A1086" s="90" t="s">
        <v>1118</v>
      </c>
      <c r="B1086" s="91" t="s">
        <v>35</v>
      </c>
      <c r="C1086" s="91" t="s">
        <v>313</v>
      </c>
      <c r="D1086" s="91" t="s">
        <v>330</v>
      </c>
      <c r="E1086" s="92" t="s">
        <v>485</v>
      </c>
      <c r="F1086" s="91" t="s">
        <v>316</v>
      </c>
      <c r="G1086" s="91" t="s">
        <v>352</v>
      </c>
      <c r="H1086" s="91"/>
      <c r="I1086" s="91"/>
      <c r="J1086" s="91"/>
      <c r="K1086" s="93">
        <v>2.5</v>
      </c>
      <c r="L1086" s="93"/>
      <c r="M1086" s="94"/>
      <c r="N1086" s="91"/>
      <c r="O1086" s="26"/>
      <c r="P1086" s="93"/>
      <c r="Q1086" s="26"/>
      <c r="R1086" s="95"/>
      <c r="S1086" s="27"/>
    </row>
    <row r="1087" spans="1:19" x14ac:dyDescent="0.2">
      <c r="A1087" s="90" t="s">
        <v>1118</v>
      </c>
      <c r="B1087" s="91" t="s">
        <v>35</v>
      </c>
      <c r="C1087" s="91" t="s">
        <v>313</v>
      </c>
      <c r="D1087" s="91" t="s">
        <v>332</v>
      </c>
      <c r="E1087" s="92" t="s">
        <v>366</v>
      </c>
      <c r="F1087" s="91" t="s">
        <v>316</v>
      </c>
      <c r="G1087" s="91" t="s">
        <v>352</v>
      </c>
      <c r="H1087" s="91"/>
      <c r="I1087" s="91"/>
      <c r="J1087" s="91"/>
      <c r="K1087" s="93">
        <v>6.1</v>
      </c>
      <c r="L1087" s="93"/>
      <c r="M1087" s="94"/>
      <c r="N1087" s="91"/>
      <c r="O1087" s="26"/>
      <c r="P1087" s="93"/>
      <c r="Q1087" s="26"/>
      <c r="R1087" s="95"/>
      <c r="S1087" s="27"/>
    </row>
    <row r="1088" spans="1:19" x14ac:dyDescent="0.2">
      <c r="A1088" s="90" t="s">
        <v>1118</v>
      </c>
      <c r="B1088" s="91" t="s">
        <v>35</v>
      </c>
      <c r="C1088" s="91" t="s">
        <v>313</v>
      </c>
      <c r="D1088" s="91" t="s">
        <v>334</v>
      </c>
      <c r="E1088" s="92" t="s">
        <v>366</v>
      </c>
      <c r="F1088" s="91" t="s">
        <v>316</v>
      </c>
      <c r="G1088" s="91" t="s">
        <v>352</v>
      </c>
      <c r="H1088" s="91"/>
      <c r="I1088" s="91"/>
      <c r="J1088" s="91"/>
      <c r="K1088" s="93">
        <v>15.06</v>
      </c>
      <c r="L1088" s="93"/>
      <c r="M1088" s="94"/>
      <c r="N1088" s="91"/>
      <c r="O1088" s="26"/>
      <c r="P1088" s="93"/>
      <c r="Q1088" s="26"/>
      <c r="R1088" s="95"/>
      <c r="S1088" s="27"/>
    </row>
    <row r="1089" spans="1:19" x14ac:dyDescent="0.2">
      <c r="A1089" s="90" t="s">
        <v>1118</v>
      </c>
      <c r="B1089" s="91" t="s">
        <v>35</v>
      </c>
      <c r="C1089" s="91" t="s">
        <v>313</v>
      </c>
      <c r="D1089" s="91" t="s">
        <v>336</v>
      </c>
      <c r="E1089" s="92" t="s">
        <v>315</v>
      </c>
      <c r="F1089" s="91" t="s">
        <v>387</v>
      </c>
      <c r="G1089" s="91" t="s">
        <v>289</v>
      </c>
      <c r="H1089" s="91" t="s">
        <v>13</v>
      </c>
      <c r="I1089" s="91" t="s">
        <v>235</v>
      </c>
      <c r="J1089" s="92" t="s">
        <v>290</v>
      </c>
      <c r="K1089" s="93">
        <v>6.35</v>
      </c>
      <c r="L1089" s="93">
        <f>K1089*VLOOKUP(H1089,dagsoorttabel1,2,FALSE)</f>
        <v>1.27</v>
      </c>
      <c r="M1089" s="94">
        <f>prodnorm113</f>
        <v>0</v>
      </c>
      <c r="N1089" s="91" t="s">
        <v>101</v>
      </c>
      <c r="O1089" s="26">
        <f>uurtarief113</f>
        <v>0</v>
      </c>
      <c r="P1089" s="93" t="e">
        <f>IF(ISBLANK(M1089),0,L1089/ROUND(M1089,4))</f>
        <v>#DIV/0!</v>
      </c>
      <c r="Q1089" s="26" t="e">
        <f>ROUND(O1089,2)*P1089</f>
        <v>#DIV/0!</v>
      </c>
      <c r="R1089" s="93" t="e">
        <f>P1089*dagenperjaar1</f>
        <v>#DIV/0!</v>
      </c>
      <c r="S1089" s="27" t="e">
        <f>R1089*ROUND(O1089,2)</f>
        <v>#DIV/0!</v>
      </c>
    </row>
    <row r="1090" spans="1:19" x14ac:dyDescent="0.2">
      <c r="A1090" s="90" t="s">
        <v>1118</v>
      </c>
      <c r="B1090" s="91" t="s">
        <v>35</v>
      </c>
      <c r="C1090" s="91" t="s">
        <v>313</v>
      </c>
      <c r="D1090" s="91" t="s">
        <v>338</v>
      </c>
      <c r="E1090" s="92" t="s">
        <v>1122</v>
      </c>
      <c r="F1090" s="91" t="s">
        <v>361</v>
      </c>
      <c r="G1090" s="91" t="s">
        <v>239</v>
      </c>
      <c r="H1090" s="91" t="s">
        <v>13</v>
      </c>
      <c r="I1090" s="91" t="s">
        <v>235</v>
      </c>
      <c r="J1090" s="92" t="s">
        <v>240</v>
      </c>
      <c r="K1090" s="93">
        <v>11.7</v>
      </c>
      <c r="L1090" s="93">
        <f>K1090*VLOOKUP(H1090,dagsoorttabel1,2,FALSE)</f>
        <v>2.34</v>
      </c>
      <c r="M1090" s="94">
        <f>prodnorm53</f>
        <v>0</v>
      </c>
      <c r="N1090" s="91" t="s">
        <v>101</v>
      </c>
      <c r="O1090" s="26">
        <f>uurtarief53</f>
        <v>0</v>
      </c>
      <c r="P1090" s="93" t="e">
        <f>IF(ISBLANK(M1090),0,L1090/ROUND(M1090,4))</f>
        <v>#DIV/0!</v>
      </c>
      <c r="Q1090" s="26" t="e">
        <f>ROUND(O1090,2)*P1090</f>
        <v>#DIV/0!</v>
      </c>
      <c r="R1090" s="93" t="e">
        <f>P1090*dagenperjaar1</f>
        <v>#DIV/0!</v>
      </c>
      <c r="S1090" s="27" t="e">
        <f>R1090*ROUND(O1090,2)</f>
        <v>#DIV/0!</v>
      </c>
    </row>
    <row r="1091" spans="1:19" x14ac:dyDescent="0.2">
      <c r="A1091" s="90" t="s">
        <v>1118</v>
      </c>
      <c r="B1091" s="91" t="s">
        <v>35</v>
      </c>
      <c r="C1091" s="91" t="s">
        <v>313</v>
      </c>
      <c r="D1091" s="91" t="s">
        <v>339</v>
      </c>
      <c r="E1091" s="92" t="s">
        <v>366</v>
      </c>
      <c r="F1091" s="91" t="s">
        <v>316</v>
      </c>
      <c r="G1091" s="91" t="s">
        <v>352</v>
      </c>
      <c r="H1091" s="91"/>
      <c r="I1091" s="91"/>
      <c r="J1091" s="91"/>
      <c r="K1091" s="93">
        <v>6.5</v>
      </c>
      <c r="L1091" s="93"/>
      <c r="M1091" s="94"/>
      <c r="N1091" s="91"/>
      <c r="O1091" s="26"/>
      <c r="P1091" s="93"/>
      <c r="Q1091" s="26"/>
      <c r="R1091" s="95"/>
      <c r="S1091" s="27"/>
    </row>
    <row r="1092" spans="1:19" x14ac:dyDescent="0.2">
      <c r="A1092" s="90" t="s">
        <v>1118</v>
      </c>
      <c r="B1092" s="91" t="s">
        <v>35</v>
      </c>
      <c r="C1092" s="91" t="s">
        <v>313</v>
      </c>
      <c r="D1092" s="91" t="s">
        <v>341</v>
      </c>
      <c r="E1092" s="92" t="s">
        <v>373</v>
      </c>
      <c r="F1092" s="91" t="s">
        <v>316</v>
      </c>
      <c r="G1092" s="91" t="s">
        <v>277</v>
      </c>
      <c r="H1092" s="91" t="s">
        <v>13</v>
      </c>
      <c r="I1092" s="91" t="s">
        <v>235</v>
      </c>
      <c r="J1092" s="92" t="s">
        <v>278</v>
      </c>
      <c r="K1092" s="93">
        <v>36.5</v>
      </c>
      <c r="L1092" s="93">
        <f>K1092*VLOOKUP(H1092,dagsoorttabel1,2,FALSE)</f>
        <v>7.3000000000000007</v>
      </c>
      <c r="M1092" s="94">
        <f>prodnorm97</f>
        <v>0</v>
      </c>
      <c r="N1092" s="91" t="s">
        <v>101</v>
      </c>
      <c r="O1092" s="26">
        <f>uurtarief97</f>
        <v>0</v>
      </c>
      <c r="P1092" s="93" t="e">
        <f>IF(ISBLANK(M1092),0,L1092/ROUND(M1092,4))</f>
        <v>#DIV/0!</v>
      </c>
      <c r="Q1092" s="26" t="e">
        <f>ROUND(O1092,2)*P1092</f>
        <v>#DIV/0!</v>
      </c>
      <c r="R1092" s="93" t="e">
        <f>P1092*dagenperjaar1</f>
        <v>#DIV/0!</v>
      </c>
      <c r="S1092" s="27" t="e">
        <f>R1092*ROUND(O1092,2)</f>
        <v>#DIV/0!</v>
      </c>
    </row>
    <row r="1093" spans="1:19" x14ac:dyDescent="0.2">
      <c r="A1093" s="90" t="s">
        <v>1118</v>
      </c>
      <c r="B1093" s="91" t="s">
        <v>35</v>
      </c>
      <c r="C1093" s="91" t="s">
        <v>313</v>
      </c>
      <c r="D1093" s="91" t="s">
        <v>372</v>
      </c>
      <c r="E1093" s="92" t="s">
        <v>1123</v>
      </c>
      <c r="F1093" s="91" t="s">
        <v>387</v>
      </c>
      <c r="G1093" s="91" t="s">
        <v>289</v>
      </c>
      <c r="H1093" s="91" t="s">
        <v>13</v>
      </c>
      <c r="I1093" s="91" t="s">
        <v>235</v>
      </c>
      <c r="J1093" s="92" t="s">
        <v>290</v>
      </c>
      <c r="K1093" s="93">
        <v>14.52</v>
      </c>
      <c r="L1093" s="93">
        <f>K1093*VLOOKUP(H1093,dagsoorttabel1,2,FALSE)</f>
        <v>2.9039999999999999</v>
      </c>
      <c r="M1093" s="94">
        <f>prodnorm113</f>
        <v>0</v>
      </c>
      <c r="N1093" s="91" t="s">
        <v>101</v>
      </c>
      <c r="O1093" s="26">
        <f>uurtarief113</f>
        <v>0</v>
      </c>
      <c r="P1093" s="93" t="e">
        <f>IF(ISBLANK(M1093),0,L1093/ROUND(M1093,4))</f>
        <v>#DIV/0!</v>
      </c>
      <c r="Q1093" s="26" t="e">
        <f>ROUND(O1093,2)*P1093</f>
        <v>#DIV/0!</v>
      </c>
      <c r="R1093" s="93" t="e">
        <f>P1093*dagenperjaar1</f>
        <v>#DIV/0!</v>
      </c>
      <c r="S1093" s="27" t="e">
        <f>R1093*ROUND(O1093,2)</f>
        <v>#DIV/0!</v>
      </c>
    </row>
    <row r="1094" spans="1:19" x14ac:dyDescent="0.2">
      <c r="A1094" s="90" t="s">
        <v>1118</v>
      </c>
      <c r="B1094" s="91" t="s">
        <v>35</v>
      </c>
      <c r="C1094" s="91" t="s">
        <v>313</v>
      </c>
      <c r="D1094" s="91" t="s">
        <v>391</v>
      </c>
      <c r="E1094" s="92" t="s">
        <v>1124</v>
      </c>
      <c r="F1094" s="91" t="s">
        <v>316</v>
      </c>
      <c r="G1094" s="91" t="s">
        <v>352</v>
      </c>
      <c r="H1094" s="91"/>
      <c r="I1094" s="91"/>
      <c r="J1094" s="91"/>
      <c r="K1094" s="93">
        <v>8.4</v>
      </c>
      <c r="L1094" s="93"/>
      <c r="M1094" s="94"/>
      <c r="N1094" s="91"/>
      <c r="O1094" s="26"/>
      <c r="P1094" s="93"/>
      <c r="Q1094" s="26"/>
      <c r="R1094" s="95"/>
      <c r="S1094" s="27"/>
    </row>
    <row r="1095" spans="1:19" x14ac:dyDescent="0.2">
      <c r="A1095" s="90" t="s">
        <v>1118</v>
      </c>
      <c r="B1095" s="91" t="s">
        <v>35</v>
      </c>
      <c r="C1095" s="91" t="s">
        <v>313</v>
      </c>
      <c r="D1095" s="91" t="s">
        <v>392</v>
      </c>
      <c r="E1095" s="92" t="s">
        <v>321</v>
      </c>
      <c r="F1095" s="91" t="s">
        <v>347</v>
      </c>
      <c r="G1095" s="91" t="s">
        <v>283</v>
      </c>
      <c r="H1095" s="91" t="s">
        <v>13</v>
      </c>
      <c r="I1095" s="91" t="s">
        <v>235</v>
      </c>
      <c r="J1095" s="92" t="s">
        <v>284</v>
      </c>
      <c r="K1095" s="93">
        <v>7</v>
      </c>
      <c r="L1095" s="93">
        <f>K1095*VLOOKUP(H1095,dagsoorttabel1,2,FALSE)</f>
        <v>1.4000000000000001</v>
      </c>
      <c r="M1095" s="94">
        <f>prodnorm106</f>
        <v>0</v>
      </c>
      <c r="N1095" s="91" t="s">
        <v>101</v>
      </c>
      <c r="O1095" s="26">
        <f>uurtarief106</f>
        <v>0</v>
      </c>
      <c r="P1095" s="93" t="e">
        <f>IF(ISBLANK(M1095),0,L1095/ROUND(M1095,4))</f>
        <v>#DIV/0!</v>
      </c>
      <c r="Q1095" s="26" t="e">
        <f>ROUND(O1095,2)*P1095</f>
        <v>#DIV/0!</v>
      </c>
      <c r="R1095" s="93" t="e">
        <f>P1095*dagenperjaar1</f>
        <v>#DIV/0!</v>
      </c>
      <c r="S1095" s="27" t="e">
        <f>R1095*ROUND(O1095,2)</f>
        <v>#DIV/0!</v>
      </c>
    </row>
    <row r="1096" spans="1:19" x14ac:dyDescent="0.2">
      <c r="A1096" s="90" t="s">
        <v>1118</v>
      </c>
      <c r="B1096" s="91" t="s">
        <v>35</v>
      </c>
      <c r="C1096" s="91" t="s">
        <v>313</v>
      </c>
      <c r="D1096" s="91" t="s">
        <v>393</v>
      </c>
      <c r="E1096" s="92" t="s">
        <v>349</v>
      </c>
      <c r="F1096" s="91" t="s">
        <v>347</v>
      </c>
      <c r="G1096" s="91" t="s">
        <v>266</v>
      </c>
      <c r="H1096" s="91" t="s">
        <v>13</v>
      </c>
      <c r="I1096" s="91" t="s">
        <v>235</v>
      </c>
      <c r="J1096" s="92" t="s">
        <v>267</v>
      </c>
      <c r="K1096" s="93">
        <v>21.9</v>
      </c>
      <c r="L1096" s="93">
        <f>K1096*VLOOKUP(H1096,dagsoorttabel1,2,FALSE)</f>
        <v>4.38</v>
      </c>
      <c r="M1096" s="94">
        <f>prodnorm83</f>
        <v>0</v>
      </c>
      <c r="N1096" s="91" t="s">
        <v>101</v>
      </c>
      <c r="O1096" s="26">
        <f>uurtarief83</f>
        <v>0</v>
      </c>
      <c r="P1096" s="93" t="e">
        <f>IF(ISBLANK(M1096),0,L1096/ROUND(M1096,4))</f>
        <v>#DIV/0!</v>
      </c>
      <c r="Q1096" s="26" t="e">
        <f>ROUND(O1096,2)*P1096</f>
        <v>#DIV/0!</v>
      </c>
      <c r="R1096" s="93" t="e">
        <f>P1096*dagenperjaar1</f>
        <v>#DIV/0!</v>
      </c>
      <c r="S1096" s="27" t="e">
        <f>R1096*ROUND(O1096,2)</f>
        <v>#DIV/0!</v>
      </c>
    </row>
    <row r="1097" spans="1:19" x14ac:dyDescent="0.2">
      <c r="A1097" s="90" t="s">
        <v>1118</v>
      </c>
      <c r="B1097" s="91" t="s">
        <v>35</v>
      </c>
      <c r="C1097" s="91" t="s">
        <v>313</v>
      </c>
      <c r="D1097" s="91" t="s">
        <v>394</v>
      </c>
      <c r="E1097" s="92" t="s">
        <v>403</v>
      </c>
      <c r="F1097" s="91" t="s">
        <v>347</v>
      </c>
      <c r="G1097" s="91" t="s">
        <v>270</v>
      </c>
      <c r="H1097" s="91" t="s">
        <v>13</v>
      </c>
      <c r="I1097" s="91" t="s">
        <v>235</v>
      </c>
      <c r="J1097" s="92" t="s">
        <v>271</v>
      </c>
      <c r="K1097" s="93">
        <v>17.2</v>
      </c>
      <c r="L1097" s="93">
        <f>K1097*VLOOKUP(H1097,dagsoorttabel1,2,FALSE)</f>
        <v>3.44</v>
      </c>
      <c r="M1097" s="94">
        <f>prodnorm89</f>
        <v>0</v>
      </c>
      <c r="N1097" s="91" t="s">
        <v>101</v>
      </c>
      <c r="O1097" s="26">
        <f>uurtarief89</f>
        <v>0</v>
      </c>
      <c r="P1097" s="93" t="e">
        <f>IF(ISBLANK(M1097),0,L1097/ROUND(M1097,4))</f>
        <v>#DIV/0!</v>
      </c>
      <c r="Q1097" s="26" t="e">
        <f>ROUND(O1097,2)*P1097</f>
        <v>#DIV/0!</v>
      </c>
      <c r="R1097" s="93" t="e">
        <f>P1097*dagenperjaar1</f>
        <v>#DIV/0!</v>
      </c>
      <c r="S1097" s="27" t="e">
        <f>R1097*ROUND(O1097,2)</f>
        <v>#DIV/0!</v>
      </c>
    </row>
    <row r="1098" spans="1:19" x14ac:dyDescent="0.2">
      <c r="A1098" s="90" t="s">
        <v>1118</v>
      </c>
      <c r="B1098" s="91" t="s">
        <v>35</v>
      </c>
      <c r="C1098" s="91" t="s">
        <v>313</v>
      </c>
      <c r="D1098" s="91" t="s">
        <v>395</v>
      </c>
      <c r="E1098" s="92" t="s">
        <v>1125</v>
      </c>
      <c r="F1098" s="91" t="s">
        <v>347</v>
      </c>
      <c r="G1098" s="91" t="s">
        <v>270</v>
      </c>
      <c r="H1098" s="91" t="s">
        <v>13</v>
      </c>
      <c r="I1098" s="91" t="s">
        <v>235</v>
      </c>
      <c r="J1098" s="92" t="s">
        <v>271</v>
      </c>
      <c r="K1098" s="93">
        <v>74.649999999999991</v>
      </c>
      <c r="L1098" s="93">
        <f>K1098*VLOOKUP(H1098,dagsoorttabel1,2,FALSE)</f>
        <v>14.93</v>
      </c>
      <c r="M1098" s="94">
        <f>prodnorm89</f>
        <v>0</v>
      </c>
      <c r="N1098" s="91" t="s">
        <v>101</v>
      </c>
      <c r="O1098" s="26">
        <f>uurtarief89</f>
        <v>0</v>
      </c>
      <c r="P1098" s="93" t="e">
        <f>IF(ISBLANK(M1098),0,L1098/ROUND(M1098,4))</f>
        <v>#DIV/0!</v>
      </c>
      <c r="Q1098" s="26" t="e">
        <f>ROUND(O1098,2)*P1098</f>
        <v>#DIV/0!</v>
      </c>
      <c r="R1098" s="93" t="e">
        <f>P1098*dagenperjaar1</f>
        <v>#DIV/0!</v>
      </c>
      <c r="S1098" s="27" t="e">
        <f>R1098*ROUND(O1098,2)</f>
        <v>#DIV/0!</v>
      </c>
    </row>
    <row r="1099" spans="1:19" x14ac:dyDescent="0.2">
      <c r="A1099" s="90" t="s">
        <v>1118</v>
      </c>
      <c r="B1099" s="91" t="s">
        <v>35</v>
      </c>
      <c r="C1099" s="91" t="s">
        <v>343</v>
      </c>
      <c r="D1099" s="91" t="s">
        <v>344</v>
      </c>
      <c r="E1099" s="92" t="s">
        <v>342</v>
      </c>
      <c r="F1099" s="91" t="s">
        <v>390</v>
      </c>
      <c r="G1099" s="91" t="s">
        <v>352</v>
      </c>
      <c r="H1099" s="91"/>
      <c r="I1099" s="91"/>
      <c r="J1099" s="91"/>
      <c r="K1099" s="93">
        <v>19.100000000000001</v>
      </c>
      <c r="L1099" s="93"/>
      <c r="M1099" s="94"/>
      <c r="N1099" s="91"/>
      <c r="O1099" s="26"/>
      <c r="P1099" s="93"/>
      <c r="Q1099" s="26"/>
      <c r="R1099" s="95"/>
      <c r="S1099" s="27"/>
    </row>
    <row r="1100" spans="1:19" x14ac:dyDescent="0.2">
      <c r="A1100" s="96" t="s">
        <v>1118</v>
      </c>
      <c r="B1100" s="97" t="s">
        <v>35</v>
      </c>
      <c r="C1100" s="97" t="s">
        <v>343</v>
      </c>
      <c r="D1100" s="97" t="s">
        <v>345</v>
      </c>
      <c r="E1100" s="98" t="s">
        <v>366</v>
      </c>
      <c r="F1100" s="97" t="s">
        <v>387</v>
      </c>
      <c r="G1100" s="97" t="s">
        <v>352</v>
      </c>
      <c r="H1100" s="97"/>
      <c r="I1100" s="97"/>
      <c r="J1100" s="97"/>
      <c r="K1100" s="99">
        <v>5.5</v>
      </c>
      <c r="L1100" s="99"/>
      <c r="M1100" s="100"/>
      <c r="N1100" s="97"/>
      <c r="O1100" s="36"/>
      <c r="P1100" s="99"/>
      <c r="Q1100" s="36"/>
      <c r="R1100" s="102"/>
      <c r="S1100" s="37"/>
    </row>
    <row r="1101" spans="1:19" x14ac:dyDescent="0.2">
      <c r="A1101" s="101" t="s">
        <v>356</v>
      </c>
      <c r="B1101" s="74"/>
      <c r="C1101" s="74"/>
      <c r="D1101" s="74"/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6" t="e">
        <f>IF(_xlfn.SINGLE(object30_urenjaar1)&gt;0,_xlfn.SINGLE(object30_prijsjaar1)/_xlfn.SINGLE(object30_urenjaar1),0)</f>
        <v>#DIV/0!</v>
      </c>
      <c r="P1101" s="75" t="e">
        <f>SUM(P1079:P1100)</f>
        <v>#DIV/0!</v>
      </c>
      <c r="Q1101" s="76" t="e">
        <f>SUM(Q1079:Q1100)</f>
        <v>#DIV/0!</v>
      </c>
      <c r="R1101" s="75" t="e">
        <f>SUM(R1079:R1100)</f>
        <v>#DIV/0!</v>
      </c>
      <c r="S1101" s="77" t="e">
        <f>SUM(S1079:S1100)</f>
        <v>#DIV/0!</v>
      </c>
    </row>
    <row r="1102" spans="1:19" x14ac:dyDescent="0.2">
      <c r="A1102" s="82" t="s">
        <v>1126</v>
      </c>
      <c r="B1102" s="49"/>
      <c r="C1102" s="49"/>
      <c r="D1102" s="49"/>
      <c r="E1102" s="49"/>
      <c r="F1102" s="49"/>
      <c r="G1102" s="49"/>
      <c r="H1102" s="49"/>
      <c r="I1102" s="49"/>
      <c r="J1102" s="49"/>
      <c r="K1102" s="49"/>
      <c r="L1102" s="49"/>
      <c r="M1102" s="49"/>
      <c r="N1102" s="49"/>
      <c r="O1102" s="49"/>
      <c r="P1102" s="49"/>
      <c r="Q1102" s="49"/>
      <c r="R1102" s="49"/>
      <c r="S1102" s="72"/>
    </row>
    <row r="1103" spans="1:19" x14ac:dyDescent="0.2">
      <c r="A1103" s="83" t="s">
        <v>1127</v>
      </c>
      <c r="B1103" s="84" t="s">
        <v>35</v>
      </c>
      <c r="C1103" s="84" t="s">
        <v>313</v>
      </c>
      <c r="D1103" s="84" t="s">
        <v>314</v>
      </c>
      <c r="E1103" s="85" t="s">
        <v>417</v>
      </c>
      <c r="F1103" s="84" t="s">
        <v>387</v>
      </c>
      <c r="G1103" s="84" t="s">
        <v>289</v>
      </c>
      <c r="H1103" s="84" t="s">
        <v>13</v>
      </c>
      <c r="I1103" s="84" t="s">
        <v>235</v>
      </c>
      <c r="J1103" s="85" t="s">
        <v>290</v>
      </c>
      <c r="K1103" s="86">
        <v>11</v>
      </c>
      <c r="L1103" s="86">
        <f>K1103*VLOOKUP(H1103,dagsoorttabel1,2,FALSE)</f>
        <v>2.2000000000000002</v>
      </c>
      <c r="M1103" s="87">
        <f>prodnorm113</f>
        <v>0</v>
      </c>
      <c r="N1103" s="84" t="s">
        <v>101</v>
      </c>
      <c r="O1103" s="88">
        <f>uurtarief113</f>
        <v>0</v>
      </c>
      <c r="P1103" s="86" t="e">
        <f>IF(ISBLANK(M1103),0,L1103/ROUND(M1103,4))</f>
        <v>#DIV/0!</v>
      </c>
      <c r="Q1103" s="88" t="e">
        <f>ROUND(O1103,2)*P1103</f>
        <v>#DIV/0!</v>
      </c>
      <c r="R1103" s="86" t="e">
        <f>P1103*dagenperjaar1</f>
        <v>#DIV/0!</v>
      </c>
      <c r="S1103" s="89" t="e">
        <f>R1103*ROUND(O1103,2)</f>
        <v>#DIV/0!</v>
      </c>
    </row>
    <row r="1104" spans="1:19" ht="25.2" x14ac:dyDescent="0.2">
      <c r="A1104" s="90" t="s">
        <v>1127</v>
      </c>
      <c r="B1104" s="91" t="s">
        <v>35</v>
      </c>
      <c r="C1104" s="91" t="s">
        <v>313</v>
      </c>
      <c r="D1104" s="91" t="s">
        <v>317</v>
      </c>
      <c r="E1104" s="92" t="s">
        <v>507</v>
      </c>
      <c r="F1104" s="91" t="s">
        <v>387</v>
      </c>
      <c r="G1104" s="91" t="s">
        <v>250</v>
      </c>
      <c r="H1104" s="91" t="s">
        <v>13</v>
      </c>
      <c r="I1104" s="91" t="s">
        <v>235</v>
      </c>
      <c r="J1104" s="92" t="s">
        <v>251</v>
      </c>
      <c r="K1104" s="93">
        <v>15.2</v>
      </c>
      <c r="L1104" s="93">
        <f>K1104*VLOOKUP(H1104,dagsoorttabel1,2,FALSE)</f>
        <v>3.04</v>
      </c>
      <c r="M1104" s="94">
        <f>prodnorm64</f>
        <v>0</v>
      </c>
      <c r="N1104" s="91" t="s">
        <v>101</v>
      </c>
      <c r="O1104" s="26">
        <f>uurtarief64</f>
        <v>0</v>
      </c>
      <c r="P1104" s="93" t="e">
        <f>IF(ISBLANK(M1104),0,L1104/ROUND(M1104,4))</f>
        <v>#DIV/0!</v>
      </c>
      <c r="Q1104" s="26" t="e">
        <f>ROUND(O1104,2)*P1104</f>
        <v>#DIV/0!</v>
      </c>
      <c r="R1104" s="93" t="e">
        <f>P1104*dagenperjaar1</f>
        <v>#DIV/0!</v>
      </c>
      <c r="S1104" s="27" t="e">
        <f>R1104*ROUND(O1104,2)</f>
        <v>#DIV/0!</v>
      </c>
    </row>
    <row r="1105" spans="1:19" x14ac:dyDescent="0.2">
      <c r="A1105" s="90" t="s">
        <v>1127</v>
      </c>
      <c r="B1105" s="91" t="s">
        <v>35</v>
      </c>
      <c r="C1105" s="91" t="s">
        <v>313</v>
      </c>
      <c r="D1105" s="91" t="s">
        <v>320</v>
      </c>
      <c r="E1105" s="92" t="s">
        <v>423</v>
      </c>
      <c r="F1105" s="91" t="s">
        <v>920</v>
      </c>
      <c r="G1105" s="91" t="s">
        <v>252</v>
      </c>
      <c r="H1105" s="91" t="s">
        <v>21</v>
      </c>
      <c r="I1105" s="91" t="s">
        <v>235</v>
      </c>
      <c r="J1105" s="92" t="s">
        <v>253</v>
      </c>
      <c r="K1105" s="93">
        <v>212.5</v>
      </c>
      <c r="L1105" s="93">
        <f>K1105*VLOOKUP(H1105,dagsoorttabel1,2,FALSE)</f>
        <v>0.8173076923076924</v>
      </c>
      <c r="M1105" s="94">
        <f>prodnorm67</f>
        <v>0</v>
      </c>
      <c r="N1105" s="91" t="s">
        <v>101</v>
      </c>
      <c r="O1105" s="26">
        <f>uurtarief67</f>
        <v>0</v>
      </c>
      <c r="P1105" s="93" t="e">
        <f>IF(ISBLANK(M1105),0,L1105/ROUND(M1105,4))</f>
        <v>#DIV/0!</v>
      </c>
      <c r="Q1105" s="26" t="e">
        <f>ROUND(O1105,2)*P1105</f>
        <v>#DIV/0!</v>
      </c>
      <c r="R1105" s="93" t="e">
        <f>P1105*dagenperjaar1</f>
        <v>#DIV/0!</v>
      </c>
      <c r="S1105" s="27" t="e">
        <f>R1105*ROUND(O1105,2)</f>
        <v>#DIV/0!</v>
      </c>
    </row>
    <row r="1106" spans="1:19" x14ac:dyDescent="0.2">
      <c r="A1106" s="90" t="s">
        <v>1127</v>
      </c>
      <c r="B1106" s="91" t="s">
        <v>35</v>
      </c>
      <c r="C1106" s="91" t="s">
        <v>313</v>
      </c>
      <c r="D1106" s="91" t="s">
        <v>322</v>
      </c>
      <c r="E1106" s="92" t="s">
        <v>458</v>
      </c>
      <c r="F1106" s="91" t="s">
        <v>427</v>
      </c>
      <c r="G1106" s="91" t="s">
        <v>281</v>
      </c>
      <c r="H1106" s="91" t="s">
        <v>21</v>
      </c>
      <c r="I1106" s="91" t="s">
        <v>235</v>
      </c>
      <c r="J1106" s="92" t="s">
        <v>282</v>
      </c>
      <c r="K1106" s="93">
        <v>9.8000000000000007</v>
      </c>
      <c r="L1106" s="93">
        <f>K1106*VLOOKUP(H1106,dagsoorttabel1,2,FALSE)</f>
        <v>3.7692307692307699E-2</v>
      </c>
      <c r="M1106" s="94">
        <f>prodnorm103</f>
        <v>0</v>
      </c>
      <c r="N1106" s="91" t="s">
        <v>101</v>
      </c>
      <c r="O1106" s="26">
        <f>uurtarief103</f>
        <v>0</v>
      </c>
      <c r="P1106" s="93" t="e">
        <f>IF(ISBLANK(M1106),0,L1106/ROUND(M1106,4))</f>
        <v>#DIV/0!</v>
      </c>
      <c r="Q1106" s="26" t="e">
        <f>ROUND(O1106,2)*P1106</f>
        <v>#DIV/0!</v>
      </c>
      <c r="R1106" s="93" t="e">
        <f>P1106*dagenperjaar1</f>
        <v>#DIV/0!</v>
      </c>
      <c r="S1106" s="27" t="e">
        <f>R1106*ROUND(O1106,2)</f>
        <v>#DIV/0!</v>
      </c>
    </row>
    <row r="1107" spans="1:19" x14ac:dyDescent="0.2">
      <c r="A1107" s="90" t="s">
        <v>1127</v>
      </c>
      <c r="B1107" s="91" t="s">
        <v>35</v>
      </c>
      <c r="C1107" s="91" t="s">
        <v>313</v>
      </c>
      <c r="D1107" s="91" t="s">
        <v>324</v>
      </c>
      <c r="E1107" s="92" t="s">
        <v>467</v>
      </c>
      <c r="F1107" s="91" t="s">
        <v>347</v>
      </c>
      <c r="G1107" s="91" t="s">
        <v>266</v>
      </c>
      <c r="H1107" s="91" t="s">
        <v>13</v>
      </c>
      <c r="I1107" s="91" t="s">
        <v>235</v>
      </c>
      <c r="J1107" s="92" t="s">
        <v>267</v>
      </c>
      <c r="K1107" s="93">
        <v>11.9</v>
      </c>
      <c r="L1107" s="93">
        <f>K1107*VLOOKUP(H1107,dagsoorttabel1,2,FALSE)</f>
        <v>2.3800000000000003</v>
      </c>
      <c r="M1107" s="94">
        <f>prodnorm83</f>
        <v>0</v>
      </c>
      <c r="N1107" s="91" t="s">
        <v>101</v>
      </c>
      <c r="O1107" s="26">
        <f>uurtarief83</f>
        <v>0</v>
      </c>
      <c r="P1107" s="93" t="e">
        <f>IF(ISBLANK(M1107),0,L1107/ROUND(M1107,4))</f>
        <v>#DIV/0!</v>
      </c>
      <c r="Q1107" s="26" t="e">
        <f>ROUND(O1107,2)*P1107</f>
        <v>#DIV/0!</v>
      </c>
      <c r="R1107" s="93" t="e">
        <f>P1107*dagenperjaar1</f>
        <v>#DIV/0!</v>
      </c>
      <c r="S1107" s="27" t="e">
        <f>R1107*ROUND(O1107,2)</f>
        <v>#DIV/0!</v>
      </c>
    </row>
    <row r="1108" spans="1:19" x14ac:dyDescent="0.2">
      <c r="A1108" s="90" t="s">
        <v>1127</v>
      </c>
      <c r="B1108" s="91" t="s">
        <v>35</v>
      </c>
      <c r="C1108" s="91" t="s">
        <v>313</v>
      </c>
      <c r="D1108" s="91" t="s">
        <v>325</v>
      </c>
      <c r="E1108" s="92" t="s">
        <v>439</v>
      </c>
      <c r="F1108" s="91" t="s">
        <v>347</v>
      </c>
      <c r="G1108" s="91" t="s">
        <v>270</v>
      </c>
      <c r="H1108" s="91" t="s">
        <v>13</v>
      </c>
      <c r="I1108" s="91" t="s">
        <v>235</v>
      </c>
      <c r="J1108" s="92" t="s">
        <v>271</v>
      </c>
      <c r="K1108" s="93">
        <v>46.5</v>
      </c>
      <c r="L1108" s="93">
        <f>K1108*VLOOKUP(H1108,dagsoorttabel1,2,FALSE)</f>
        <v>9.3000000000000007</v>
      </c>
      <c r="M1108" s="94">
        <f>prodnorm89</f>
        <v>0</v>
      </c>
      <c r="N1108" s="91" t="s">
        <v>101</v>
      </c>
      <c r="O1108" s="26">
        <f>uurtarief89</f>
        <v>0</v>
      </c>
      <c r="P1108" s="93" t="e">
        <f>IF(ISBLANK(M1108),0,L1108/ROUND(M1108,4))</f>
        <v>#DIV/0!</v>
      </c>
      <c r="Q1108" s="26" t="e">
        <f>ROUND(O1108,2)*P1108</f>
        <v>#DIV/0!</v>
      </c>
      <c r="R1108" s="93" t="e">
        <f>P1108*dagenperjaar1</f>
        <v>#DIV/0!</v>
      </c>
      <c r="S1108" s="27" t="e">
        <f>R1108*ROUND(O1108,2)</f>
        <v>#DIV/0!</v>
      </c>
    </row>
    <row r="1109" spans="1:19" x14ac:dyDescent="0.2">
      <c r="A1109" s="90" t="s">
        <v>1127</v>
      </c>
      <c r="B1109" s="91" t="s">
        <v>35</v>
      </c>
      <c r="C1109" s="91" t="s">
        <v>313</v>
      </c>
      <c r="D1109" s="91" t="s">
        <v>327</v>
      </c>
      <c r="E1109" s="92" t="s">
        <v>517</v>
      </c>
      <c r="F1109" s="91" t="s">
        <v>347</v>
      </c>
      <c r="G1109" s="91" t="s">
        <v>260</v>
      </c>
      <c r="H1109" s="91" t="s">
        <v>13</v>
      </c>
      <c r="I1109" s="91" t="s">
        <v>235</v>
      </c>
      <c r="J1109" s="92" t="s">
        <v>261</v>
      </c>
      <c r="K1109" s="93">
        <v>32</v>
      </c>
      <c r="L1109" s="93">
        <f>K1109*VLOOKUP(H1109,dagsoorttabel1,2,FALSE)</f>
        <v>6.4</v>
      </c>
      <c r="M1109" s="94">
        <f>prodnorm75</f>
        <v>0</v>
      </c>
      <c r="N1109" s="91" t="s">
        <v>101</v>
      </c>
      <c r="O1109" s="26">
        <f>uurtarief75</f>
        <v>0</v>
      </c>
      <c r="P1109" s="93" t="e">
        <f>IF(ISBLANK(M1109),0,L1109/ROUND(M1109,4))</f>
        <v>#DIV/0!</v>
      </c>
      <c r="Q1109" s="26" t="e">
        <f>ROUND(O1109,2)*P1109</f>
        <v>#DIV/0!</v>
      </c>
      <c r="R1109" s="93" t="e">
        <f>P1109*dagenperjaar1</f>
        <v>#DIV/0!</v>
      </c>
      <c r="S1109" s="27" t="e">
        <f>R1109*ROUND(O1109,2)</f>
        <v>#DIV/0!</v>
      </c>
    </row>
    <row r="1110" spans="1:19" x14ac:dyDescent="0.2">
      <c r="A1110" s="90" t="s">
        <v>1127</v>
      </c>
      <c r="B1110" s="91" t="s">
        <v>35</v>
      </c>
      <c r="C1110" s="91" t="s">
        <v>313</v>
      </c>
      <c r="D1110" s="91" t="s">
        <v>330</v>
      </c>
      <c r="E1110" s="92" t="s">
        <v>419</v>
      </c>
      <c r="F1110" s="91" t="s">
        <v>329</v>
      </c>
      <c r="G1110" s="91" t="s">
        <v>283</v>
      </c>
      <c r="H1110" s="91" t="s">
        <v>13</v>
      </c>
      <c r="I1110" s="91" t="s">
        <v>235</v>
      </c>
      <c r="J1110" s="92" t="s">
        <v>284</v>
      </c>
      <c r="K1110" s="93">
        <v>10.9</v>
      </c>
      <c r="L1110" s="93">
        <f>K1110*VLOOKUP(H1110,dagsoorttabel1,2,FALSE)</f>
        <v>2.1800000000000002</v>
      </c>
      <c r="M1110" s="94">
        <f>prodnorm106</f>
        <v>0</v>
      </c>
      <c r="N1110" s="91" t="s">
        <v>101</v>
      </c>
      <c r="O1110" s="26">
        <f>uurtarief106</f>
        <v>0</v>
      </c>
      <c r="P1110" s="93" t="e">
        <f>IF(ISBLANK(M1110),0,L1110/ROUND(M1110,4))</f>
        <v>#DIV/0!</v>
      </c>
      <c r="Q1110" s="26" t="e">
        <f>ROUND(O1110,2)*P1110</f>
        <v>#DIV/0!</v>
      </c>
      <c r="R1110" s="93" t="e">
        <f>P1110*dagenperjaar1</f>
        <v>#DIV/0!</v>
      </c>
      <c r="S1110" s="27" t="e">
        <f>R1110*ROUND(O1110,2)</f>
        <v>#DIV/0!</v>
      </c>
    </row>
    <row r="1111" spans="1:19" x14ac:dyDescent="0.2">
      <c r="A1111" s="90" t="s">
        <v>1127</v>
      </c>
      <c r="B1111" s="91" t="s">
        <v>35</v>
      </c>
      <c r="C1111" s="91" t="s">
        <v>313</v>
      </c>
      <c r="D1111" s="91" t="s">
        <v>332</v>
      </c>
      <c r="E1111" s="92" t="s">
        <v>444</v>
      </c>
      <c r="F1111" s="91" t="s">
        <v>329</v>
      </c>
      <c r="G1111" s="91" t="s">
        <v>279</v>
      </c>
      <c r="H1111" s="91" t="s">
        <v>13</v>
      </c>
      <c r="I1111" s="91" t="s">
        <v>235</v>
      </c>
      <c r="J1111" s="92" t="s">
        <v>280</v>
      </c>
      <c r="K1111" s="93">
        <v>1.6</v>
      </c>
      <c r="L1111" s="93">
        <f>K1111*VLOOKUP(H1111,dagsoorttabel1,2,FALSE)</f>
        <v>0.32000000000000006</v>
      </c>
      <c r="M1111" s="94">
        <f>prodnorm100</f>
        <v>0</v>
      </c>
      <c r="N1111" s="91" t="s">
        <v>101</v>
      </c>
      <c r="O1111" s="26">
        <f>uurtarief100</f>
        <v>0</v>
      </c>
      <c r="P1111" s="93" t="e">
        <f>IF(ISBLANK(M1111),0,L1111/ROUND(M1111,4))</f>
        <v>#DIV/0!</v>
      </c>
      <c r="Q1111" s="26" t="e">
        <f>ROUND(O1111,2)*P1111</f>
        <v>#DIV/0!</v>
      </c>
      <c r="R1111" s="93" t="e">
        <f>P1111*dagenperjaar1</f>
        <v>#DIV/0!</v>
      </c>
      <c r="S1111" s="27" t="e">
        <f>R1111*ROUND(O1111,2)</f>
        <v>#DIV/0!</v>
      </c>
    </row>
    <row r="1112" spans="1:19" x14ac:dyDescent="0.2">
      <c r="A1112" s="90" t="s">
        <v>1127</v>
      </c>
      <c r="B1112" s="91" t="s">
        <v>35</v>
      </c>
      <c r="C1112" s="91" t="s">
        <v>313</v>
      </c>
      <c r="D1112" s="91" t="s">
        <v>334</v>
      </c>
      <c r="E1112" s="92" t="s">
        <v>442</v>
      </c>
      <c r="F1112" s="91" t="s">
        <v>329</v>
      </c>
      <c r="G1112" s="91" t="s">
        <v>279</v>
      </c>
      <c r="H1112" s="91" t="s">
        <v>13</v>
      </c>
      <c r="I1112" s="91" t="s">
        <v>235</v>
      </c>
      <c r="J1112" s="92" t="s">
        <v>280</v>
      </c>
      <c r="K1112" s="93">
        <v>4.8499999999999996</v>
      </c>
      <c r="L1112" s="93">
        <f>K1112*VLOOKUP(H1112,dagsoorttabel1,2,FALSE)</f>
        <v>0.97</v>
      </c>
      <c r="M1112" s="94">
        <f>prodnorm100</f>
        <v>0</v>
      </c>
      <c r="N1112" s="91" t="s">
        <v>101</v>
      </c>
      <c r="O1112" s="26">
        <f>uurtarief100</f>
        <v>0</v>
      </c>
      <c r="P1112" s="93" t="e">
        <f>IF(ISBLANK(M1112),0,L1112/ROUND(M1112,4))</f>
        <v>#DIV/0!</v>
      </c>
      <c r="Q1112" s="26" t="e">
        <f>ROUND(O1112,2)*P1112</f>
        <v>#DIV/0!</v>
      </c>
      <c r="R1112" s="93" t="e">
        <f>P1112*dagenperjaar1</f>
        <v>#DIV/0!</v>
      </c>
      <c r="S1112" s="27" t="e">
        <f>R1112*ROUND(O1112,2)</f>
        <v>#DIV/0!</v>
      </c>
    </row>
    <row r="1113" spans="1:19" x14ac:dyDescent="0.2">
      <c r="A1113" s="90" t="s">
        <v>1127</v>
      </c>
      <c r="B1113" s="91" t="s">
        <v>35</v>
      </c>
      <c r="C1113" s="91" t="s">
        <v>313</v>
      </c>
      <c r="D1113" s="91" t="s">
        <v>336</v>
      </c>
      <c r="E1113" s="92" t="s">
        <v>421</v>
      </c>
      <c r="F1113" s="91" t="s">
        <v>387</v>
      </c>
      <c r="G1113" s="91" t="s">
        <v>241</v>
      </c>
      <c r="H1113" s="91" t="s">
        <v>13</v>
      </c>
      <c r="I1113" s="91" t="s">
        <v>235</v>
      </c>
      <c r="J1113" s="92" t="s">
        <v>242</v>
      </c>
      <c r="K1113" s="93">
        <v>11.8</v>
      </c>
      <c r="L1113" s="93">
        <f>K1113*VLOOKUP(H1113,dagsoorttabel1,2,FALSE)</f>
        <v>2.3600000000000003</v>
      </c>
      <c r="M1113" s="94">
        <f>prodnorm56</f>
        <v>0</v>
      </c>
      <c r="N1113" s="91" t="s">
        <v>101</v>
      </c>
      <c r="O1113" s="26">
        <f>uurtarief56</f>
        <v>0</v>
      </c>
      <c r="P1113" s="93" t="e">
        <f>IF(ISBLANK(M1113),0,L1113/ROUND(M1113,4))</f>
        <v>#DIV/0!</v>
      </c>
      <c r="Q1113" s="26" t="e">
        <f>ROUND(O1113,2)*P1113</f>
        <v>#DIV/0!</v>
      </c>
      <c r="R1113" s="93" t="e">
        <f>P1113*dagenperjaar1</f>
        <v>#DIV/0!</v>
      </c>
      <c r="S1113" s="27" t="e">
        <f>R1113*ROUND(O1113,2)</f>
        <v>#DIV/0!</v>
      </c>
    </row>
    <row r="1114" spans="1:19" x14ac:dyDescent="0.2">
      <c r="A1114" s="90" t="s">
        <v>1127</v>
      </c>
      <c r="B1114" s="91" t="s">
        <v>35</v>
      </c>
      <c r="C1114" s="91" t="s">
        <v>313</v>
      </c>
      <c r="D1114" s="91" t="s">
        <v>338</v>
      </c>
      <c r="E1114" s="92" t="s">
        <v>459</v>
      </c>
      <c r="F1114" s="91" t="s">
        <v>329</v>
      </c>
      <c r="G1114" s="91" t="s">
        <v>275</v>
      </c>
      <c r="H1114" s="91" t="s">
        <v>13</v>
      </c>
      <c r="I1114" s="91" t="s">
        <v>235</v>
      </c>
      <c r="J1114" s="92" t="s">
        <v>276</v>
      </c>
      <c r="K1114" s="93">
        <v>4.9000000000000004</v>
      </c>
      <c r="L1114" s="93">
        <f>K1114*VLOOKUP(H1114,dagsoorttabel1,2,FALSE)</f>
        <v>0.98000000000000009</v>
      </c>
      <c r="M1114" s="94">
        <f>prodnorm94</f>
        <v>0</v>
      </c>
      <c r="N1114" s="91" t="s">
        <v>101</v>
      </c>
      <c r="O1114" s="26">
        <f>uurtarief94</f>
        <v>0</v>
      </c>
      <c r="P1114" s="93" t="e">
        <f>IF(ISBLANK(M1114),0,L1114/ROUND(M1114,4))</f>
        <v>#DIV/0!</v>
      </c>
      <c r="Q1114" s="26" t="e">
        <f>ROUND(O1114,2)*P1114</f>
        <v>#DIV/0!</v>
      </c>
      <c r="R1114" s="93" t="e">
        <f>P1114*dagenperjaar1</f>
        <v>#DIV/0!</v>
      </c>
      <c r="S1114" s="27" t="e">
        <f>R1114*ROUND(O1114,2)</f>
        <v>#DIV/0!</v>
      </c>
    </row>
    <row r="1115" spans="1:19" x14ac:dyDescent="0.2">
      <c r="A1115" s="90" t="s">
        <v>1127</v>
      </c>
      <c r="B1115" s="91" t="s">
        <v>35</v>
      </c>
      <c r="C1115" s="91" t="s">
        <v>313</v>
      </c>
      <c r="D1115" s="91" t="s">
        <v>339</v>
      </c>
      <c r="E1115" s="92" t="s">
        <v>460</v>
      </c>
      <c r="F1115" s="91" t="s">
        <v>329</v>
      </c>
      <c r="G1115" s="91" t="s">
        <v>277</v>
      </c>
      <c r="H1115" s="91" t="s">
        <v>13</v>
      </c>
      <c r="I1115" s="91" t="s">
        <v>235</v>
      </c>
      <c r="J1115" s="92" t="s">
        <v>278</v>
      </c>
      <c r="K1115" s="93">
        <v>6</v>
      </c>
      <c r="L1115" s="93">
        <f>K1115*VLOOKUP(H1115,dagsoorttabel1,2,FALSE)</f>
        <v>1.2000000000000002</v>
      </c>
      <c r="M1115" s="94">
        <f>prodnorm97</f>
        <v>0</v>
      </c>
      <c r="N1115" s="91" t="s">
        <v>101</v>
      </c>
      <c r="O1115" s="26">
        <f>uurtarief97</f>
        <v>0</v>
      </c>
      <c r="P1115" s="93" t="e">
        <f>IF(ISBLANK(M1115),0,L1115/ROUND(M1115,4))</f>
        <v>#DIV/0!</v>
      </c>
      <c r="Q1115" s="26" t="e">
        <f>ROUND(O1115,2)*P1115</f>
        <v>#DIV/0!</v>
      </c>
      <c r="R1115" s="93" t="e">
        <f>P1115*dagenperjaar1</f>
        <v>#DIV/0!</v>
      </c>
      <c r="S1115" s="27" t="e">
        <f>R1115*ROUND(O1115,2)</f>
        <v>#DIV/0!</v>
      </c>
    </row>
    <row r="1116" spans="1:19" x14ac:dyDescent="0.2">
      <c r="A1116" s="90" t="s">
        <v>1127</v>
      </c>
      <c r="B1116" s="91" t="s">
        <v>35</v>
      </c>
      <c r="C1116" s="91" t="s">
        <v>313</v>
      </c>
      <c r="D1116" s="91" t="s">
        <v>341</v>
      </c>
      <c r="E1116" s="92" t="s">
        <v>459</v>
      </c>
      <c r="F1116" s="91" t="s">
        <v>329</v>
      </c>
      <c r="G1116" s="91" t="s">
        <v>275</v>
      </c>
      <c r="H1116" s="91" t="s">
        <v>13</v>
      </c>
      <c r="I1116" s="91" t="s">
        <v>235</v>
      </c>
      <c r="J1116" s="92" t="s">
        <v>276</v>
      </c>
      <c r="K1116" s="93">
        <v>4.5</v>
      </c>
      <c r="L1116" s="93">
        <f>K1116*VLOOKUP(H1116,dagsoorttabel1,2,FALSE)</f>
        <v>0.9</v>
      </c>
      <c r="M1116" s="94">
        <f>prodnorm94</f>
        <v>0</v>
      </c>
      <c r="N1116" s="91" t="s">
        <v>101</v>
      </c>
      <c r="O1116" s="26">
        <f>uurtarief94</f>
        <v>0</v>
      </c>
      <c r="P1116" s="93" t="e">
        <f>IF(ISBLANK(M1116),0,L1116/ROUND(M1116,4))</f>
        <v>#DIV/0!</v>
      </c>
      <c r="Q1116" s="26" t="e">
        <f>ROUND(O1116,2)*P1116</f>
        <v>#DIV/0!</v>
      </c>
      <c r="R1116" s="93" t="e">
        <f>P1116*dagenperjaar1</f>
        <v>#DIV/0!</v>
      </c>
      <c r="S1116" s="27" t="e">
        <f>R1116*ROUND(O1116,2)</f>
        <v>#DIV/0!</v>
      </c>
    </row>
    <row r="1117" spans="1:19" x14ac:dyDescent="0.2">
      <c r="A1117" s="90" t="s">
        <v>1127</v>
      </c>
      <c r="B1117" s="91" t="s">
        <v>35</v>
      </c>
      <c r="C1117" s="91" t="s">
        <v>313</v>
      </c>
      <c r="D1117" s="91" t="s">
        <v>372</v>
      </c>
      <c r="E1117" s="92" t="s">
        <v>430</v>
      </c>
      <c r="F1117" s="91" t="s">
        <v>329</v>
      </c>
      <c r="G1117" s="91" t="s">
        <v>279</v>
      </c>
      <c r="H1117" s="91" t="s">
        <v>13</v>
      </c>
      <c r="I1117" s="91" t="s">
        <v>235</v>
      </c>
      <c r="J1117" s="92" t="s">
        <v>280</v>
      </c>
      <c r="K1117" s="93">
        <v>3.4</v>
      </c>
      <c r="L1117" s="93">
        <f>K1117*VLOOKUP(H1117,dagsoorttabel1,2,FALSE)</f>
        <v>0.68</v>
      </c>
      <c r="M1117" s="94">
        <f>prodnorm100</f>
        <v>0</v>
      </c>
      <c r="N1117" s="91" t="s">
        <v>101</v>
      </c>
      <c r="O1117" s="26">
        <f>uurtarief100</f>
        <v>0</v>
      </c>
      <c r="P1117" s="93" t="e">
        <f>IF(ISBLANK(M1117),0,L1117/ROUND(M1117,4))</f>
        <v>#DIV/0!</v>
      </c>
      <c r="Q1117" s="26" t="e">
        <f>ROUND(O1117,2)*P1117</f>
        <v>#DIV/0!</v>
      </c>
      <c r="R1117" s="93" t="e">
        <f>P1117*dagenperjaar1</f>
        <v>#DIV/0!</v>
      </c>
      <c r="S1117" s="27" t="e">
        <f>R1117*ROUND(O1117,2)</f>
        <v>#DIV/0!</v>
      </c>
    </row>
    <row r="1118" spans="1:19" x14ac:dyDescent="0.2">
      <c r="A1118" s="90" t="s">
        <v>1127</v>
      </c>
      <c r="B1118" s="91" t="s">
        <v>35</v>
      </c>
      <c r="C1118" s="91" t="s">
        <v>313</v>
      </c>
      <c r="D1118" s="91" t="s">
        <v>391</v>
      </c>
      <c r="E1118" s="92" t="s">
        <v>1128</v>
      </c>
      <c r="F1118" s="91" t="s">
        <v>329</v>
      </c>
      <c r="G1118" s="91" t="s">
        <v>277</v>
      </c>
      <c r="H1118" s="91" t="s">
        <v>13</v>
      </c>
      <c r="I1118" s="91" t="s">
        <v>235</v>
      </c>
      <c r="J1118" s="92" t="s">
        <v>278</v>
      </c>
      <c r="K1118" s="93">
        <v>30.85</v>
      </c>
      <c r="L1118" s="93">
        <f>K1118*VLOOKUP(H1118,dagsoorttabel1,2,FALSE)</f>
        <v>6.1700000000000008</v>
      </c>
      <c r="M1118" s="94">
        <f>prodnorm97</f>
        <v>0</v>
      </c>
      <c r="N1118" s="91" t="s">
        <v>101</v>
      </c>
      <c r="O1118" s="26">
        <f>uurtarief97</f>
        <v>0</v>
      </c>
      <c r="P1118" s="93" t="e">
        <f>IF(ISBLANK(M1118),0,L1118/ROUND(M1118,4))</f>
        <v>#DIV/0!</v>
      </c>
      <c r="Q1118" s="26" t="e">
        <f>ROUND(O1118,2)*P1118</f>
        <v>#DIV/0!</v>
      </c>
      <c r="R1118" s="93" t="e">
        <f>P1118*dagenperjaar1</f>
        <v>#DIV/0!</v>
      </c>
      <c r="S1118" s="27" t="e">
        <f>R1118*ROUND(O1118,2)</f>
        <v>#DIV/0!</v>
      </c>
    </row>
    <row r="1119" spans="1:19" x14ac:dyDescent="0.2">
      <c r="A1119" s="96" t="s">
        <v>1127</v>
      </c>
      <c r="B1119" s="97" t="s">
        <v>35</v>
      </c>
      <c r="C1119" s="97" t="s">
        <v>313</v>
      </c>
      <c r="D1119" s="97" t="s">
        <v>392</v>
      </c>
      <c r="E1119" s="98" t="s">
        <v>434</v>
      </c>
      <c r="F1119" s="97" t="s">
        <v>329</v>
      </c>
      <c r="G1119" s="97" t="s">
        <v>352</v>
      </c>
      <c r="H1119" s="97"/>
      <c r="I1119" s="97"/>
      <c r="J1119" s="97"/>
      <c r="K1119" s="99">
        <v>3.7</v>
      </c>
      <c r="L1119" s="99"/>
      <c r="M1119" s="100"/>
      <c r="N1119" s="97"/>
      <c r="O1119" s="36"/>
      <c r="P1119" s="99"/>
      <c r="Q1119" s="36"/>
      <c r="R1119" s="102"/>
      <c r="S1119" s="37"/>
    </row>
    <row r="1120" spans="1:19" x14ac:dyDescent="0.2">
      <c r="A1120" s="101" t="s">
        <v>356</v>
      </c>
      <c r="B1120" s="74"/>
      <c r="C1120" s="74"/>
      <c r="D1120" s="74"/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6" t="e">
        <f>IF(_xlfn.SINGLE(object31_urenjaar1)&gt;0,_xlfn.SINGLE(object31_prijsjaar1)/_xlfn.SINGLE(object31_urenjaar1),0)</f>
        <v>#DIV/0!</v>
      </c>
      <c r="P1120" s="75" t="e">
        <f>SUM(P1103:P1119)</f>
        <v>#DIV/0!</v>
      </c>
      <c r="Q1120" s="76" t="e">
        <f>SUM(Q1103:Q1119)</f>
        <v>#DIV/0!</v>
      </c>
      <c r="R1120" s="75" t="e">
        <f>SUM(R1103:R1119)</f>
        <v>#DIV/0!</v>
      </c>
      <c r="S1120" s="77" t="e">
        <f>SUM(S1103:S1119)</f>
        <v>#DIV/0!</v>
      </c>
    </row>
    <row r="1121" spans="1:19" x14ac:dyDescent="0.2">
      <c r="A1121" s="82" t="s">
        <v>1129</v>
      </c>
      <c r="B1121" s="49"/>
      <c r="C1121" s="49"/>
      <c r="D1121" s="49"/>
      <c r="E1121" s="49"/>
      <c r="F1121" s="49"/>
      <c r="G1121" s="49"/>
      <c r="H1121" s="49"/>
      <c r="I1121" s="49"/>
      <c r="J1121" s="49"/>
      <c r="K1121" s="49"/>
      <c r="L1121" s="49"/>
      <c r="M1121" s="49"/>
      <c r="N1121" s="49"/>
      <c r="O1121" s="49"/>
      <c r="P1121" s="49"/>
      <c r="Q1121" s="49"/>
      <c r="R1121" s="49"/>
      <c r="S1121" s="72"/>
    </row>
    <row r="1122" spans="1:19" x14ac:dyDescent="0.2">
      <c r="A1122" s="83" t="s">
        <v>1130</v>
      </c>
      <c r="B1122" s="84" t="s">
        <v>35</v>
      </c>
      <c r="C1122" s="84" t="s">
        <v>313</v>
      </c>
      <c r="D1122" s="84" t="s">
        <v>314</v>
      </c>
      <c r="E1122" s="85" t="s">
        <v>321</v>
      </c>
      <c r="F1122" s="84" t="s">
        <v>361</v>
      </c>
      <c r="G1122" s="84" t="s">
        <v>283</v>
      </c>
      <c r="H1122" s="84" t="s">
        <v>13</v>
      </c>
      <c r="I1122" s="84" t="s">
        <v>235</v>
      </c>
      <c r="J1122" s="85" t="s">
        <v>284</v>
      </c>
      <c r="K1122" s="86">
        <v>10.3</v>
      </c>
      <c r="L1122" s="86">
        <f>K1122*VLOOKUP(H1122,dagsoorttabel1,2,FALSE)</f>
        <v>2.06</v>
      </c>
      <c r="M1122" s="87">
        <f>prodnorm106</f>
        <v>0</v>
      </c>
      <c r="N1122" s="84" t="s">
        <v>101</v>
      </c>
      <c r="O1122" s="88">
        <f>uurtarief106</f>
        <v>0</v>
      </c>
      <c r="P1122" s="86" t="e">
        <f>IF(ISBLANK(M1122),0,L1122/ROUND(M1122,4))</f>
        <v>#DIV/0!</v>
      </c>
      <c r="Q1122" s="88" t="e">
        <f>ROUND(O1122,2)*P1122</f>
        <v>#DIV/0!</v>
      </c>
      <c r="R1122" s="86" t="e">
        <f>P1122*dagenperjaar1</f>
        <v>#DIV/0!</v>
      </c>
      <c r="S1122" s="89" t="e">
        <f>R1122*ROUND(O1122,2)</f>
        <v>#DIV/0!</v>
      </c>
    </row>
    <row r="1123" spans="1:19" x14ac:dyDescent="0.2">
      <c r="A1123" s="90" t="s">
        <v>1130</v>
      </c>
      <c r="B1123" s="91" t="s">
        <v>35</v>
      </c>
      <c r="C1123" s="91" t="s">
        <v>313</v>
      </c>
      <c r="D1123" s="91" t="s">
        <v>317</v>
      </c>
      <c r="E1123" s="92" t="s">
        <v>1131</v>
      </c>
      <c r="F1123" s="91" t="s">
        <v>361</v>
      </c>
      <c r="G1123" s="91" t="s">
        <v>239</v>
      </c>
      <c r="H1123" s="91" t="s">
        <v>13</v>
      </c>
      <c r="I1123" s="91" t="s">
        <v>235</v>
      </c>
      <c r="J1123" s="92" t="s">
        <v>240</v>
      </c>
      <c r="K1123" s="93">
        <v>13.3</v>
      </c>
      <c r="L1123" s="93">
        <f>K1123*VLOOKUP(H1123,dagsoorttabel1,2,FALSE)</f>
        <v>2.66</v>
      </c>
      <c r="M1123" s="94">
        <f>prodnorm53</f>
        <v>0</v>
      </c>
      <c r="N1123" s="91" t="s">
        <v>101</v>
      </c>
      <c r="O1123" s="26">
        <f>uurtarief53</f>
        <v>0</v>
      </c>
      <c r="P1123" s="93" t="e">
        <f>IF(ISBLANK(M1123),0,L1123/ROUND(M1123,4))</f>
        <v>#DIV/0!</v>
      </c>
      <c r="Q1123" s="26" t="e">
        <f>ROUND(O1123,2)*P1123</f>
        <v>#DIV/0!</v>
      </c>
      <c r="R1123" s="93" t="e">
        <f>P1123*dagenperjaar1</f>
        <v>#DIV/0!</v>
      </c>
      <c r="S1123" s="27" t="e">
        <f>R1123*ROUND(O1123,2)</f>
        <v>#DIV/0!</v>
      </c>
    </row>
    <row r="1124" spans="1:19" x14ac:dyDescent="0.2">
      <c r="A1124" s="90" t="s">
        <v>1130</v>
      </c>
      <c r="B1124" s="91" t="s">
        <v>35</v>
      </c>
      <c r="C1124" s="91" t="s">
        <v>313</v>
      </c>
      <c r="D1124" s="91" t="s">
        <v>320</v>
      </c>
      <c r="E1124" s="92" t="s">
        <v>318</v>
      </c>
      <c r="F1124" s="91" t="s">
        <v>390</v>
      </c>
      <c r="G1124" s="91" t="s">
        <v>298</v>
      </c>
      <c r="H1124" s="91" t="s">
        <v>13</v>
      </c>
      <c r="I1124" s="91" t="s">
        <v>235</v>
      </c>
      <c r="J1124" s="92" t="s">
        <v>299</v>
      </c>
      <c r="K1124" s="93">
        <v>5.5</v>
      </c>
      <c r="L1124" s="93">
        <f>K1124*VLOOKUP(H1124,dagsoorttabel1,2,FALSE)</f>
        <v>1.1000000000000001</v>
      </c>
      <c r="M1124" s="94">
        <f>prodnorm124</f>
        <v>0</v>
      </c>
      <c r="N1124" s="91" t="s">
        <v>101</v>
      </c>
      <c r="O1124" s="26">
        <f>uurtarief124</f>
        <v>0</v>
      </c>
      <c r="P1124" s="93" t="e">
        <f>IF(ISBLANK(M1124),0,L1124/ROUND(M1124,4))</f>
        <v>#DIV/0!</v>
      </c>
      <c r="Q1124" s="26" t="e">
        <f>ROUND(O1124,2)*P1124</f>
        <v>#DIV/0!</v>
      </c>
      <c r="R1124" s="93" t="e">
        <f>P1124*dagenperjaar1</f>
        <v>#DIV/0!</v>
      </c>
      <c r="S1124" s="27" t="e">
        <f>R1124*ROUND(O1124,2)</f>
        <v>#DIV/0!</v>
      </c>
    </row>
    <row r="1125" spans="1:19" x14ac:dyDescent="0.2">
      <c r="A1125" s="90" t="s">
        <v>1130</v>
      </c>
      <c r="B1125" s="91" t="s">
        <v>35</v>
      </c>
      <c r="C1125" s="91" t="s">
        <v>313</v>
      </c>
      <c r="D1125" s="91" t="s">
        <v>322</v>
      </c>
      <c r="E1125" s="92" t="s">
        <v>354</v>
      </c>
      <c r="F1125" s="91" t="s">
        <v>329</v>
      </c>
      <c r="G1125" s="91" t="s">
        <v>352</v>
      </c>
      <c r="H1125" s="91"/>
      <c r="I1125" s="91"/>
      <c r="J1125" s="91"/>
      <c r="K1125" s="93">
        <v>2.6</v>
      </c>
      <c r="L1125" s="93"/>
      <c r="M1125" s="94"/>
      <c r="N1125" s="91"/>
      <c r="O1125" s="26"/>
      <c r="P1125" s="93"/>
      <c r="Q1125" s="26"/>
      <c r="R1125" s="95"/>
      <c r="S1125" s="27"/>
    </row>
    <row r="1126" spans="1:19" x14ac:dyDescent="0.2">
      <c r="A1126" s="90" t="s">
        <v>1130</v>
      </c>
      <c r="B1126" s="91" t="s">
        <v>35</v>
      </c>
      <c r="C1126" s="91" t="s">
        <v>313</v>
      </c>
      <c r="D1126" s="91" t="s">
        <v>324</v>
      </c>
      <c r="E1126" s="92" t="s">
        <v>333</v>
      </c>
      <c r="F1126" s="91" t="s">
        <v>316</v>
      </c>
      <c r="G1126" s="91" t="s">
        <v>279</v>
      </c>
      <c r="H1126" s="91" t="s">
        <v>13</v>
      </c>
      <c r="I1126" s="91" t="s">
        <v>235</v>
      </c>
      <c r="J1126" s="92" t="s">
        <v>280</v>
      </c>
      <c r="K1126" s="93">
        <v>11.5</v>
      </c>
      <c r="L1126" s="93">
        <f>K1126*VLOOKUP(H1126,dagsoorttabel1,2,FALSE)</f>
        <v>2.3000000000000003</v>
      </c>
      <c r="M1126" s="94">
        <f>prodnorm100</f>
        <v>0</v>
      </c>
      <c r="N1126" s="91" t="s">
        <v>101</v>
      </c>
      <c r="O1126" s="26">
        <f>uurtarief100</f>
        <v>0</v>
      </c>
      <c r="P1126" s="93" t="e">
        <f>IF(ISBLANK(M1126),0,L1126/ROUND(M1126,4))</f>
        <v>#DIV/0!</v>
      </c>
      <c r="Q1126" s="26" t="e">
        <f>ROUND(O1126,2)*P1126</f>
        <v>#DIV/0!</v>
      </c>
      <c r="R1126" s="93" t="e">
        <f>P1126*dagenperjaar1</f>
        <v>#DIV/0!</v>
      </c>
      <c r="S1126" s="27" t="e">
        <f>R1126*ROUND(O1126,2)</f>
        <v>#DIV/0!</v>
      </c>
    </row>
    <row r="1127" spans="1:19" x14ac:dyDescent="0.2">
      <c r="A1127" s="90" t="s">
        <v>1130</v>
      </c>
      <c r="B1127" s="91" t="s">
        <v>35</v>
      </c>
      <c r="C1127" s="91" t="s">
        <v>313</v>
      </c>
      <c r="D1127" s="91" t="s">
        <v>325</v>
      </c>
      <c r="E1127" s="92" t="s">
        <v>337</v>
      </c>
      <c r="F1127" s="91" t="s">
        <v>316</v>
      </c>
      <c r="G1127" s="91" t="s">
        <v>277</v>
      </c>
      <c r="H1127" s="91" t="s">
        <v>13</v>
      </c>
      <c r="I1127" s="91" t="s">
        <v>235</v>
      </c>
      <c r="J1127" s="92" t="s">
        <v>278</v>
      </c>
      <c r="K1127" s="93">
        <v>26.6</v>
      </c>
      <c r="L1127" s="93">
        <f>K1127*VLOOKUP(H1127,dagsoorttabel1,2,FALSE)</f>
        <v>5.32</v>
      </c>
      <c r="M1127" s="94">
        <f>prodnorm97</f>
        <v>0</v>
      </c>
      <c r="N1127" s="91" t="s">
        <v>101</v>
      </c>
      <c r="O1127" s="26">
        <f>uurtarief97</f>
        <v>0</v>
      </c>
      <c r="P1127" s="93" t="e">
        <f>IF(ISBLANK(M1127),0,L1127/ROUND(M1127,4))</f>
        <v>#DIV/0!</v>
      </c>
      <c r="Q1127" s="26" t="e">
        <f>ROUND(O1127,2)*P1127</f>
        <v>#DIV/0!</v>
      </c>
      <c r="R1127" s="93" t="e">
        <f>P1127*dagenperjaar1</f>
        <v>#DIV/0!</v>
      </c>
      <c r="S1127" s="27" t="e">
        <f>R1127*ROUND(O1127,2)</f>
        <v>#DIV/0!</v>
      </c>
    </row>
    <row r="1128" spans="1:19" x14ac:dyDescent="0.2">
      <c r="A1128" s="90" t="s">
        <v>1130</v>
      </c>
      <c r="B1128" s="91" t="s">
        <v>35</v>
      </c>
      <c r="C1128" s="91" t="s">
        <v>313</v>
      </c>
      <c r="D1128" s="91" t="s">
        <v>327</v>
      </c>
      <c r="E1128" s="92" t="s">
        <v>333</v>
      </c>
      <c r="F1128" s="91" t="s">
        <v>316</v>
      </c>
      <c r="G1128" s="91" t="s">
        <v>279</v>
      </c>
      <c r="H1128" s="91" t="s">
        <v>13</v>
      </c>
      <c r="I1128" s="91" t="s">
        <v>235</v>
      </c>
      <c r="J1128" s="92" t="s">
        <v>280</v>
      </c>
      <c r="K1128" s="93">
        <v>3.77</v>
      </c>
      <c r="L1128" s="93">
        <f>K1128*VLOOKUP(H1128,dagsoorttabel1,2,FALSE)</f>
        <v>0.754</v>
      </c>
      <c r="M1128" s="94">
        <f>prodnorm100</f>
        <v>0</v>
      </c>
      <c r="N1128" s="91" t="s">
        <v>101</v>
      </c>
      <c r="O1128" s="26">
        <f>uurtarief100</f>
        <v>0</v>
      </c>
      <c r="P1128" s="93" t="e">
        <f>IF(ISBLANK(M1128),0,L1128/ROUND(M1128,4))</f>
        <v>#DIV/0!</v>
      </c>
      <c r="Q1128" s="26" t="e">
        <f>ROUND(O1128,2)*P1128</f>
        <v>#DIV/0!</v>
      </c>
      <c r="R1128" s="93" t="e">
        <f>P1128*dagenperjaar1</f>
        <v>#DIV/0!</v>
      </c>
      <c r="S1128" s="27" t="e">
        <f>R1128*ROUND(O1128,2)</f>
        <v>#DIV/0!</v>
      </c>
    </row>
    <row r="1129" spans="1:19" x14ac:dyDescent="0.2">
      <c r="A1129" s="90" t="s">
        <v>1130</v>
      </c>
      <c r="B1129" s="91" t="s">
        <v>35</v>
      </c>
      <c r="C1129" s="91" t="s">
        <v>313</v>
      </c>
      <c r="D1129" s="91" t="s">
        <v>330</v>
      </c>
      <c r="E1129" s="92" t="s">
        <v>828</v>
      </c>
      <c r="F1129" s="91" t="s">
        <v>316</v>
      </c>
      <c r="G1129" s="91" t="s">
        <v>275</v>
      </c>
      <c r="H1129" s="91" t="s">
        <v>13</v>
      </c>
      <c r="I1129" s="91" t="s">
        <v>235</v>
      </c>
      <c r="J1129" s="92" t="s">
        <v>276</v>
      </c>
      <c r="K1129" s="93">
        <v>6.7</v>
      </c>
      <c r="L1129" s="93">
        <f>K1129*VLOOKUP(H1129,dagsoorttabel1,2,FALSE)</f>
        <v>1.34</v>
      </c>
      <c r="M1129" s="94">
        <f>prodnorm94</f>
        <v>0</v>
      </c>
      <c r="N1129" s="91" t="s">
        <v>101</v>
      </c>
      <c r="O1129" s="26">
        <f>uurtarief94</f>
        <v>0</v>
      </c>
      <c r="P1129" s="93" t="e">
        <f>IF(ISBLANK(M1129),0,L1129/ROUND(M1129,4))</f>
        <v>#DIV/0!</v>
      </c>
      <c r="Q1129" s="26" t="e">
        <f>ROUND(O1129,2)*P1129</f>
        <v>#DIV/0!</v>
      </c>
      <c r="R1129" s="93" t="e">
        <f>P1129*dagenperjaar1</f>
        <v>#DIV/0!</v>
      </c>
      <c r="S1129" s="27" t="e">
        <f>R1129*ROUND(O1129,2)</f>
        <v>#DIV/0!</v>
      </c>
    </row>
    <row r="1130" spans="1:19" x14ac:dyDescent="0.2">
      <c r="A1130" s="90" t="s">
        <v>1130</v>
      </c>
      <c r="B1130" s="91" t="s">
        <v>35</v>
      </c>
      <c r="C1130" s="91" t="s">
        <v>313</v>
      </c>
      <c r="D1130" s="91" t="s">
        <v>332</v>
      </c>
      <c r="E1130" s="92" t="s">
        <v>586</v>
      </c>
      <c r="F1130" s="91" t="s">
        <v>316</v>
      </c>
      <c r="G1130" s="91" t="s">
        <v>275</v>
      </c>
      <c r="H1130" s="91" t="s">
        <v>13</v>
      </c>
      <c r="I1130" s="91" t="s">
        <v>235</v>
      </c>
      <c r="J1130" s="92" t="s">
        <v>276</v>
      </c>
      <c r="K1130" s="93">
        <v>13.5</v>
      </c>
      <c r="L1130" s="93">
        <f>K1130*VLOOKUP(H1130,dagsoorttabel1,2,FALSE)</f>
        <v>2.7</v>
      </c>
      <c r="M1130" s="94">
        <f>prodnorm94</f>
        <v>0</v>
      </c>
      <c r="N1130" s="91" t="s">
        <v>101</v>
      </c>
      <c r="O1130" s="26">
        <f>uurtarief94</f>
        <v>0</v>
      </c>
      <c r="P1130" s="93" t="e">
        <f>IF(ISBLANK(M1130),0,L1130/ROUND(M1130,4))</f>
        <v>#DIV/0!</v>
      </c>
      <c r="Q1130" s="26" t="e">
        <f>ROUND(O1130,2)*P1130</f>
        <v>#DIV/0!</v>
      </c>
      <c r="R1130" s="93" t="e">
        <f>P1130*dagenperjaar1</f>
        <v>#DIV/0!</v>
      </c>
      <c r="S1130" s="27" t="e">
        <f>R1130*ROUND(O1130,2)</f>
        <v>#DIV/0!</v>
      </c>
    </row>
    <row r="1131" spans="1:19" x14ac:dyDescent="0.2">
      <c r="A1131" s="90" t="s">
        <v>1130</v>
      </c>
      <c r="B1131" s="91" t="s">
        <v>35</v>
      </c>
      <c r="C1131" s="91" t="s">
        <v>313</v>
      </c>
      <c r="D1131" s="91" t="s">
        <v>334</v>
      </c>
      <c r="E1131" s="92" t="s">
        <v>373</v>
      </c>
      <c r="F1131" s="91" t="s">
        <v>329</v>
      </c>
      <c r="G1131" s="91" t="s">
        <v>277</v>
      </c>
      <c r="H1131" s="91" t="s">
        <v>13</v>
      </c>
      <c r="I1131" s="91" t="s">
        <v>235</v>
      </c>
      <c r="J1131" s="92" t="s">
        <v>278</v>
      </c>
      <c r="K1131" s="93">
        <v>21.6</v>
      </c>
      <c r="L1131" s="93">
        <f>K1131*VLOOKUP(H1131,dagsoorttabel1,2,FALSE)</f>
        <v>4.32</v>
      </c>
      <c r="M1131" s="94">
        <f>prodnorm97</f>
        <v>0</v>
      </c>
      <c r="N1131" s="91" t="s">
        <v>101</v>
      </c>
      <c r="O1131" s="26">
        <f>uurtarief97</f>
        <v>0</v>
      </c>
      <c r="P1131" s="93" t="e">
        <f>IF(ISBLANK(M1131),0,L1131/ROUND(M1131,4))</f>
        <v>#DIV/0!</v>
      </c>
      <c r="Q1131" s="26" t="e">
        <f>ROUND(O1131,2)*P1131</f>
        <v>#DIV/0!</v>
      </c>
      <c r="R1131" s="93" t="e">
        <f>P1131*dagenperjaar1</f>
        <v>#DIV/0!</v>
      </c>
      <c r="S1131" s="27" t="e">
        <f>R1131*ROUND(O1131,2)</f>
        <v>#DIV/0!</v>
      </c>
    </row>
    <row r="1132" spans="1:19" x14ac:dyDescent="0.2">
      <c r="A1132" s="90" t="s">
        <v>1130</v>
      </c>
      <c r="B1132" s="91" t="s">
        <v>35</v>
      </c>
      <c r="C1132" s="91" t="s">
        <v>313</v>
      </c>
      <c r="D1132" s="91" t="s">
        <v>336</v>
      </c>
      <c r="E1132" s="92" t="s">
        <v>351</v>
      </c>
      <c r="F1132" s="91" t="s">
        <v>329</v>
      </c>
      <c r="G1132" s="91" t="s">
        <v>352</v>
      </c>
      <c r="H1132" s="91"/>
      <c r="I1132" s="91"/>
      <c r="J1132" s="91"/>
      <c r="K1132" s="93">
        <v>12.6</v>
      </c>
      <c r="L1132" s="93"/>
      <c r="M1132" s="94"/>
      <c r="N1132" s="91"/>
      <c r="O1132" s="26"/>
      <c r="P1132" s="93"/>
      <c r="Q1132" s="26"/>
      <c r="R1132" s="95"/>
      <c r="S1132" s="27"/>
    </row>
    <row r="1133" spans="1:19" x14ac:dyDescent="0.2">
      <c r="A1133" s="90" t="s">
        <v>1130</v>
      </c>
      <c r="B1133" s="91" t="s">
        <v>35</v>
      </c>
      <c r="C1133" s="91" t="s">
        <v>313</v>
      </c>
      <c r="D1133" s="91" t="s">
        <v>338</v>
      </c>
      <c r="E1133" s="92" t="s">
        <v>553</v>
      </c>
      <c r="F1133" s="91" t="s">
        <v>329</v>
      </c>
      <c r="G1133" s="91" t="s">
        <v>252</v>
      </c>
      <c r="H1133" s="91" t="s">
        <v>21</v>
      </c>
      <c r="I1133" s="91" t="s">
        <v>235</v>
      </c>
      <c r="J1133" s="92" t="s">
        <v>253</v>
      </c>
      <c r="K1133" s="93">
        <v>99.6</v>
      </c>
      <c r="L1133" s="93">
        <f>K1133*VLOOKUP(H1133,dagsoorttabel1,2,FALSE)</f>
        <v>0.38307692307692309</v>
      </c>
      <c r="M1133" s="94">
        <f>prodnorm67</f>
        <v>0</v>
      </c>
      <c r="N1133" s="91" t="s">
        <v>101</v>
      </c>
      <c r="O1133" s="26">
        <f>uurtarief67</f>
        <v>0</v>
      </c>
      <c r="P1133" s="93" t="e">
        <f>IF(ISBLANK(M1133),0,L1133/ROUND(M1133,4))</f>
        <v>#DIV/0!</v>
      </c>
      <c r="Q1133" s="26" t="e">
        <f>ROUND(O1133,2)*P1133</f>
        <v>#DIV/0!</v>
      </c>
      <c r="R1133" s="93" t="e">
        <f>P1133*dagenperjaar1</f>
        <v>#DIV/0!</v>
      </c>
      <c r="S1133" s="27" t="e">
        <f>R1133*ROUND(O1133,2)</f>
        <v>#DIV/0!</v>
      </c>
    </row>
    <row r="1134" spans="1:19" x14ac:dyDescent="0.2">
      <c r="A1134" s="90" t="s">
        <v>1130</v>
      </c>
      <c r="B1134" s="91" t="s">
        <v>35</v>
      </c>
      <c r="C1134" s="91" t="s">
        <v>343</v>
      </c>
      <c r="D1134" s="91" t="s">
        <v>344</v>
      </c>
      <c r="E1134" s="92" t="s">
        <v>367</v>
      </c>
      <c r="F1134" s="91" t="s">
        <v>390</v>
      </c>
      <c r="G1134" s="91" t="s">
        <v>283</v>
      </c>
      <c r="H1134" s="91" t="s">
        <v>13</v>
      </c>
      <c r="I1134" s="91" t="s">
        <v>235</v>
      </c>
      <c r="J1134" s="92" t="s">
        <v>284</v>
      </c>
      <c r="K1134" s="93">
        <v>8.51</v>
      </c>
      <c r="L1134" s="93">
        <f>K1134*VLOOKUP(H1134,dagsoorttabel1,2,FALSE)</f>
        <v>1.702</v>
      </c>
      <c r="M1134" s="94">
        <f>prodnorm106</f>
        <v>0</v>
      </c>
      <c r="N1134" s="91" t="s">
        <v>101</v>
      </c>
      <c r="O1134" s="26">
        <f>uurtarief106</f>
        <v>0</v>
      </c>
      <c r="P1134" s="93" t="e">
        <f>IF(ISBLANK(M1134),0,L1134/ROUND(M1134,4))</f>
        <v>#DIV/0!</v>
      </c>
      <c r="Q1134" s="26" t="e">
        <f>ROUND(O1134,2)*P1134</f>
        <v>#DIV/0!</v>
      </c>
      <c r="R1134" s="93" t="e">
        <f>P1134*dagenperjaar1</f>
        <v>#DIV/0!</v>
      </c>
      <c r="S1134" s="27" t="e">
        <f>R1134*ROUND(O1134,2)</f>
        <v>#DIV/0!</v>
      </c>
    </row>
    <row r="1135" spans="1:19" x14ac:dyDescent="0.2">
      <c r="A1135" s="90" t="s">
        <v>1130</v>
      </c>
      <c r="B1135" s="91" t="s">
        <v>35</v>
      </c>
      <c r="C1135" s="91" t="s">
        <v>343</v>
      </c>
      <c r="D1135" s="91" t="s">
        <v>345</v>
      </c>
      <c r="E1135" s="92" t="s">
        <v>1132</v>
      </c>
      <c r="F1135" s="91" t="s">
        <v>390</v>
      </c>
      <c r="G1135" s="91" t="s">
        <v>270</v>
      </c>
      <c r="H1135" s="91" t="s">
        <v>13</v>
      </c>
      <c r="I1135" s="91" t="s">
        <v>235</v>
      </c>
      <c r="J1135" s="92" t="s">
        <v>271</v>
      </c>
      <c r="K1135" s="93">
        <v>54.43</v>
      </c>
      <c r="L1135" s="93">
        <f>K1135*VLOOKUP(H1135,dagsoorttabel1,2,FALSE)</f>
        <v>10.886000000000001</v>
      </c>
      <c r="M1135" s="94">
        <f>prodnorm89</f>
        <v>0</v>
      </c>
      <c r="N1135" s="91" t="s">
        <v>101</v>
      </c>
      <c r="O1135" s="26">
        <f>uurtarief89</f>
        <v>0</v>
      </c>
      <c r="P1135" s="93" t="e">
        <f>IF(ISBLANK(M1135),0,L1135/ROUND(M1135,4))</f>
        <v>#DIV/0!</v>
      </c>
      <c r="Q1135" s="26" t="e">
        <f>ROUND(O1135,2)*P1135</f>
        <v>#DIV/0!</v>
      </c>
      <c r="R1135" s="93" t="e">
        <f>P1135*dagenperjaar1</f>
        <v>#DIV/0!</v>
      </c>
      <c r="S1135" s="27" t="e">
        <f>R1135*ROUND(O1135,2)</f>
        <v>#DIV/0!</v>
      </c>
    </row>
    <row r="1136" spans="1:19" x14ac:dyDescent="0.2">
      <c r="A1136" s="90" t="s">
        <v>1130</v>
      </c>
      <c r="B1136" s="91" t="s">
        <v>35</v>
      </c>
      <c r="C1136" s="91" t="s">
        <v>343</v>
      </c>
      <c r="D1136" s="91" t="s">
        <v>348</v>
      </c>
      <c r="E1136" s="92" t="s">
        <v>1133</v>
      </c>
      <c r="F1136" s="91" t="s">
        <v>390</v>
      </c>
      <c r="G1136" s="91" t="s">
        <v>352</v>
      </c>
      <c r="H1136" s="91"/>
      <c r="I1136" s="91"/>
      <c r="J1136" s="91"/>
      <c r="K1136" s="93">
        <v>7.35</v>
      </c>
      <c r="L1136" s="93"/>
      <c r="M1136" s="94"/>
      <c r="N1136" s="91"/>
      <c r="O1136" s="26"/>
      <c r="P1136" s="93"/>
      <c r="Q1136" s="26"/>
      <c r="R1136" s="95"/>
      <c r="S1136" s="27"/>
    </row>
    <row r="1137" spans="1:19" x14ac:dyDescent="0.2">
      <c r="A1137" s="90" t="s">
        <v>1130</v>
      </c>
      <c r="B1137" s="91" t="s">
        <v>35</v>
      </c>
      <c r="C1137" s="91" t="s">
        <v>343</v>
      </c>
      <c r="D1137" s="91" t="s">
        <v>350</v>
      </c>
      <c r="E1137" s="92" t="s">
        <v>318</v>
      </c>
      <c r="F1137" s="91" t="s">
        <v>390</v>
      </c>
      <c r="G1137" s="91" t="s">
        <v>298</v>
      </c>
      <c r="H1137" s="91" t="s">
        <v>13</v>
      </c>
      <c r="I1137" s="91" t="s">
        <v>235</v>
      </c>
      <c r="J1137" s="92" t="s">
        <v>299</v>
      </c>
      <c r="K1137" s="93">
        <v>6</v>
      </c>
      <c r="L1137" s="93">
        <f>K1137*VLOOKUP(H1137,dagsoorttabel1,2,FALSE)</f>
        <v>1.2000000000000002</v>
      </c>
      <c r="M1137" s="94">
        <f>prodnorm124</f>
        <v>0</v>
      </c>
      <c r="N1137" s="91" t="s">
        <v>101</v>
      </c>
      <c r="O1137" s="26">
        <f>uurtarief124</f>
        <v>0</v>
      </c>
      <c r="P1137" s="93" t="e">
        <f>IF(ISBLANK(M1137),0,L1137/ROUND(M1137,4))</f>
        <v>#DIV/0!</v>
      </c>
      <c r="Q1137" s="26" t="e">
        <f>ROUND(O1137,2)*P1137</f>
        <v>#DIV/0!</v>
      </c>
      <c r="R1137" s="93" t="e">
        <f>P1137*dagenperjaar1</f>
        <v>#DIV/0!</v>
      </c>
      <c r="S1137" s="27" t="e">
        <f>R1137*ROUND(O1137,2)</f>
        <v>#DIV/0!</v>
      </c>
    </row>
    <row r="1138" spans="1:19" x14ac:dyDescent="0.2">
      <c r="A1138" s="96" t="s">
        <v>1130</v>
      </c>
      <c r="B1138" s="97" t="s">
        <v>35</v>
      </c>
      <c r="C1138" s="97" t="s">
        <v>744</v>
      </c>
      <c r="D1138" s="97" t="s">
        <v>745</v>
      </c>
      <c r="E1138" s="98" t="s">
        <v>1134</v>
      </c>
      <c r="F1138" s="97" t="s">
        <v>390</v>
      </c>
      <c r="G1138" s="97" t="s">
        <v>352</v>
      </c>
      <c r="H1138" s="97"/>
      <c r="I1138" s="97"/>
      <c r="J1138" s="97"/>
      <c r="K1138" s="99">
        <v>67.5</v>
      </c>
      <c r="L1138" s="99"/>
      <c r="M1138" s="100"/>
      <c r="N1138" s="97"/>
      <c r="O1138" s="36"/>
      <c r="P1138" s="99"/>
      <c r="Q1138" s="36"/>
      <c r="R1138" s="102"/>
      <c r="S1138" s="37"/>
    </row>
    <row r="1139" spans="1:19" x14ac:dyDescent="0.2">
      <c r="A1139" s="101" t="s">
        <v>356</v>
      </c>
      <c r="B1139" s="74"/>
      <c r="C1139" s="74"/>
      <c r="D1139" s="74"/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6" t="e">
        <f>IF(_xlfn.SINGLE(object32_urenjaar1)&gt;0,_xlfn.SINGLE(object32_prijsjaar1)/_xlfn.SINGLE(object32_urenjaar1),0)</f>
        <v>#DIV/0!</v>
      </c>
      <c r="P1139" s="75" t="e">
        <f>SUM(P1122:P1138)</f>
        <v>#DIV/0!</v>
      </c>
      <c r="Q1139" s="76" t="e">
        <f>SUM(Q1122:Q1138)</f>
        <v>#DIV/0!</v>
      </c>
      <c r="R1139" s="75" t="e">
        <f>SUM(R1122:R1138)</f>
        <v>#DIV/0!</v>
      </c>
      <c r="S1139" s="77" t="e">
        <f>SUM(S1122:S1138)</f>
        <v>#DIV/0!</v>
      </c>
    </row>
    <row r="1140" spans="1:19" x14ac:dyDescent="0.2">
      <c r="A1140" s="82" t="s">
        <v>1135</v>
      </c>
      <c r="B1140" s="49"/>
      <c r="C1140" s="49"/>
      <c r="D1140" s="49"/>
      <c r="E1140" s="49"/>
      <c r="F1140" s="49"/>
      <c r="G1140" s="49"/>
      <c r="H1140" s="49"/>
      <c r="I1140" s="49"/>
      <c r="J1140" s="49"/>
      <c r="K1140" s="49"/>
      <c r="L1140" s="49"/>
      <c r="M1140" s="49"/>
      <c r="N1140" s="49"/>
      <c r="O1140" s="49"/>
      <c r="P1140" s="49"/>
      <c r="Q1140" s="49"/>
      <c r="R1140" s="49"/>
      <c r="S1140" s="72"/>
    </row>
    <row r="1141" spans="1:19" x14ac:dyDescent="0.2">
      <c r="A1141" s="83" t="s">
        <v>1136</v>
      </c>
      <c r="B1141" s="84" t="s">
        <v>35</v>
      </c>
      <c r="C1141" s="84" t="s">
        <v>313</v>
      </c>
      <c r="D1141" s="84" t="s">
        <v>314</v>
      </c>
      <c r="E1141" s="85" t="s">
        <v>553</v>
      </c>
      <c r="F1141" s="84" t="s">
        <v>385</v>
      </c>
      <c r="G1141" s="84" t="s">
        <v>252</v>
      </c>
      <c r="H1141" s="84" t="s">
        <v>13</v>
      </c>
      <c r="I1141" s="84" t="s">
        <v>235</v>
      </c>
      <c r="J1141" s="85" t="s">
        <v>253</v>
      </c>
      <c r="K1141" s="86">
        <v>324.05</v>
      </c>
      <c r="L1141" s="86">
        <f>K1141*VLOOKUP(H1141,dagsoorttabel1,2,FALSE)</f>
        <v>64.81</v>
      </c>
      <c r="M1141" s="87">
        <f>prodnorm68</f>
        <v>0</v>
      </c>
      <c r="N1141" s="84" t="s">
        <v>101</v>
      </c>
      <c r="O1141" s="88">
        <f>uurtarief68</f>
        <v>0</v>
      </c>
      <c r="P1141" s="86" t="e">
        <f>IF(ISBLANK(M1141),0,L1141/ROUND(M1141,4))</f>
        <v>#DIV/0!</v>
      </c>
      <c r="Q1141" s="88" t="e">
        <f>ROUND(O1141,2)*P1141</f>
        <v>#DIV/0!</v>
      </c>
      <c r="R1141" s="86" t="e">
        <f>P1141*dagenperjaar1</f>
        <v>#DIV/0!</v>
      </c>
      <c r="S1141" s="89" t="e">
        <f>R1141*ROUND(O1141,2)</f>
        <v>#DIV/0!</v>
      </c>
    </row>
    <row r="1142" spans="1:19" x14ac:dyDescent="0.2">
      <c r="A1142" s="90" t="s">
        <v>1136</v>
      </c>
      <c r="B1142" s="91" t="s">
        <v>35</v>
      </c>
      <c r="C1142" s="91" t="s">
        <v>313</v>
      </c>
      <c r="D1142" s="91" t="s">
        <v>317</v>
      </c>
      <c r="E1142" s="92" t="s">
        <v>342</v>
      </c>
      <c r="F1142" s="91" t="s">
        <v>385</v>
      </c>
      <c r="G1142" s="91" t="s">
        <v>252</v>
      </c>
      <c r="H1142" s="91" t="s">
        <v>13</v>
      </c>
      <c r="I1142" s="91" t="s">
        <v>235</v>
      </c>
      <c r="J1142" s="92" t="s">
        <v>253</v>
      </c>
      <c r="K1142" s="93">
        <v>41.730000000000004</v>
      </c>
      <c r="L1142" s="93">
        <f>K1142*VLOOKUP(H1142,dagsoorttabel1,2,FALSE)</f>
        <v>8.3460000000000019</v>
      </c>
      <c r="M1142" s="94">
        <f>prodnorm68</f>
        <v>0</v>
      </c>
      <c r="N1142" s="91" t="s">
        <v>101</v>
      </c>
      <c r="O1142" s="26">
        <f>uurtarief68</f>
        <v>0</v>
      </c>
      <c r="P1142" s="93" t="e">
        <f>IF(ISBLANK(M1142),0,L1142/ROUND(M1142,4))</f>
        <v>#DIV/0!</v>
      </c>
      <c r="Q1142" s="26" t="e">
        <f>ROUND(O1142,2)*P1142</f>
        <v>#DIV/0!</v>
      </c>
      <c r="R1142" s="93" t="e">
        <f>P1142*dagenperjaar1</f>
        <v>#DIV/0!</v>
      </c>
      <c r="S1142" s="27" t="e">
        <f>R1142*ROUND(O1142,2)</f>
        <v>#DIV/0!</v>
      </c>
    </row>
    <row r="1143" spans="1:19" x14ac:dyDescent="0.2">
      <c r="A1143" s="90" t="s">
        <v>1136</v>
      </c>
      <c r="B1143" s="91" t="s">
        <v>35</v>
      </c>
      <c r="C1143" s="91" t="s">
        <v>313</v>
      </c>
      <c r="D1143" s="91" t="s">
        <v>320</v>
      </c>
      <c r="E1143" s="92" t="s">
        <v>1137</v>
      </c>
      <c r="F1143" s="91" t="s">
        <v>427</v>
      </c>
      <c r="G1143" s="91" t="s">
        <v>281</v>
      </c>
      <c r="H1143" s="91" t="s">
        <v>13</v>
      </c>
      <c r="I1143" s="91" t="s">
        <v>235</v>
      </c>
      <c r="J1143" s="92" t="s">
        <v>282</v>
      </c>
      <c r="K1143" s="93">
        <v>37.200000000000003</v>
      </c>
      <c r="L1143" s="93">
        <f>K1143*VLOOKUP(H1143,dagsoorttabel1,2,FALSE)</f>
        <v>7.4400000000000013</v>
      </c>
      <c r="M1143" s="94">
        <f>prodnorm104</f>
        <v>0</v>
      </c>
      <c r="N1143" s="91" t="s">
        <v>101</v>
      </c>
      <c r="O1143" s="26">
        <f>uurtarief104</f>
        <v>0</v>
      </c>
      <c r="P1143" s="93" t="e">
        <f>IF(ISBLANK(M1143),0,L1143/ROUND(M1143,4))</f>
        <v>#DIV/0!</v>
      </c>
      <c r="Q1143" s="26" t="e">
        <f>ROUND(O1143,2)*P1143</f>
        <v>#DIV/0!</v>
      </c>
      <c r="R1143" s="93" t="e">
        <f>P1143*dagenperjaar1</f>
        <v>#DIV/0!</v>
      </c>
      <c r="S1143" s="27" t="e">
        <f>R1143*ROUND(O1143,2)</f>
        <v>#DIV/0!</v>
      </c>
    </row>
    <row r="1144" spans="1:19" ht="25.2" x14ac:dyDescent="0.2">
      <c r="A1144" s="90" t="s">
        <v>1136</v>
      </c>
      <c r="B1144" s="91" t="s">
        <v>35</v>
      </c>
      <c r="C1144" s="91" t="s">
        <v>313</v>
      </c>
      <c r="D1144" s="91" t="s">
        <v>322</v>
      </c>
      <c r="E1144" s="92" t="s">
        <v>369</v>
      </c>
      <c r="F1144" s="91" t="s">
        <v>427</v>
      </c>
      <c r="G1144" s="91" t="s">
        <v>293</v>
      </c>
      <c r="H1144" s="91" t="s">
        <v>13</v>
      </c>
      <c r="I1144" s="91" t="s">
        <v>235</v>
      </c>
      <c r="J1144" s="92" t="s">
        <v>294</v>
      </c>
      <c r="K1144" s="93">
        <v>19.079999999999998</v>
      </c>
      <c r="L1144" s="93">
        <f>K1144*VLOOKUP(H1144,dagsoorttabel1,2,FALSE)</f>
        <v>3.8159999999999998</v>
      </c>
      <c r="M1144" s="94">
        <f>prodnorm119</f>
        <v>0</v>
      </c>
      <c r="N1144" s="91" t="s">
        <v>101</v>
      </c>
      <c r="O1144" s="26">
        <f>uurtarief119</f>
        <v>0</v>
      </c>
      <c r="P1144" s="93" t="e">
        <f>IF(ISBLANK(M1144),0,L1144/ROUND(M1144,4))</f>
        <v>#DIV/0!</v>
      </c>
      <c r="Q1144" s="26" t="e">
        <f>ROUND(O1144,2)*P1144</f>
        <v>#DIV/0!</v>
      </c>
      <c r="R1144" s="93" t="e">
        <f>P1144*dagenperjaar1</f>
        <v>#DIV/0!</v>
      </c>
      <c r="S1144" s="27" t="e">
        <f>R1144*ROUND(O1144,2)</f>
        <v>#DIV/0!</v>
      </c>
    </row>
    <row r="1145" spans="1:19" ht="25.2" x14ac:dyDescent="0.2">
      <c r="A1145" s="90" t="s">
        <v>1136</v>
      </c>
      <c r="B1145" s="91" t="s">
        <v>35</v>
      </c>
      <c r="C1145" s="91" t="s">
        <v>313</v>
      </c>
      <c r="D1145" s="91" t="s">
        <v>324</v>
      </c>
      <c r="E1145" s="92" t="s">
        <v>369</v>
      </c>
      <c r="F1145" s="91" t="s">
        <v>427</v>
      </c>
      <c r="G1145" s="91" t="s">
        <v>293</v>
      </c>
      <c r="H1145" s="91" t="s">
        <v>13</v>
      </c>
      <c r="I1145" s="91" t="s">
        <v>235</v>
      </c>
      <c r="J1145" s="92" t="s">
        <v>294</v>
      </c>
      <c r="K1145" s="93">
        <v>22.419999999999998</v>
      </c>
      <c r="L1145" s="93">
        <f>K1145*VLOOKUP(H1145,dagsoorttabel1,2,FALSE)</f>
        <v>4.484</v>
      </c>
      <c r="M1145" s="94">
        <f>prodnorm119</f>
        <v>0</v>
      </c>
      <c r="N1145" s="91" t="s">
        <v>101</v>
      </c>
      <c r="O1145" s="26">
        <f>uurtarief119</f>
        <v>0</v>
      </c>
      <c r="P1145" s="93" t="e">
        <f>IF(ISBLANK(M1145),0,L1145/ROUND(M1145,4))</f>
        <v>#DIV/0!</v>
      </c>
      <c r="Q1145" s="26" t="e">
        <f>ROUND(O1145,2)*P1145</f>
        <v>#DIV/0!</v>
      </c>
      <c r="R1145" s="93" t="e">
        <f>P1145*dagenperjaar1</f>
        <v>#DIV/0!</v>
      </c>
      <c r="S1145" s="27" t="e">
        <f>R1145*ROUND(O1145,2)</f>
        <v>#DIV/0!</v>
      </c>
    </row>
    <row r="1146" spans="1:19" x14ac:dyDescent="0.2">
      <c r="A1146" s="90" t="s">
        <v>1136</v>
      </c>
      <c r="B1146" s="91" t="s">
        <v>35</v>
      </c>
      <c r="C1146" s="91" t="s">
        <v>313</v>
      </c>
      <c r="D1146" s="91" t="s">
        <v>325</v>
      </c>
      <c r="E1146" s="92" t="s">
        <v>367</v>
      </c>
      <c r="F1146" s="91" t="s">
        <v>427</v>
      </c>
      <c r="G1146" s="91" t="s">
        <v>283</v>
      </c>
      <c r="H1146" s="91" t="s">
        <v>13</v>
      </c>
      <c r="I1146" s="91" t="s">
        <v>235</v>
      </c>
      <c r="J1146" s="92" t="s">
        <v>284</v>
      </c>
      <c r="K1146" s="93">
        <v>6</v>
      </c>
      <c r="L1146" s="93">
        <f>K1146*VLOOKUP(H1146,dagsoorttabel1,2,FALSE)</f>
        <v>1.2000000000000002</v>
      </c>
      <c r="M1146" s="94">
        <f>prodnorm106</f>
        <v>0</v>
      </c>
      <c r="N1146" s="91" t="s">
        <v>101</v>
      </c>
      <c r="O1146" s="26">
        <f>uurtarief106</f>
        <v>0</v>
      </c>
      <c r="P1146" s="93" t="e">
        <f>IF(ISBLANK(M1146),0,L1146/ROUND(M1146,4))</f>
        <v>#DIV/0!</v>
      </c>
      <c r="Q1146" s="26" t="e">
        <f>ROUND(O1146,2)*P1146</f>
        <v>#DIV/0!</v>
      </c>
      <c r="R1146" s="93" t="e">
        <f>P1146*dagenperjaar1</f>
        <v>#DIV/0!</v>
      </c>
      <c r="S1146" s="27" t="e">
        <f>R1146*ROUND(O1146,2)</f>
        <v>#DIV/0!</v>
      </c>
    </row>
    <row r="1147" spans="1:19" x14ac:dyDescent="0.2">
      <c r="A1147" s="90" t="s">
        <v>1136</v>
      </c>
      <c r="B1147" s="91" t="s">
        <v>35</v>
      </c>
      <c r="C1147" s="91" t="s">
        <v>313</v>
      </c>
      <c r="D1147" s="91" t="s">
        <v>1138</v>
      </c>
      <c r="E1147" s="92" t="s">
        <v>328</v>
      </c>
      <c r="F1147" s="91" t="s">
        <v>427</v>
      </c>
      <c r="G1147" s="91" t="s">
        <v>275</v>
      </c>
      <c r="H1147" s="91" t="s">
        <v>13</v>
      </c>
      <c r="I1147" s="91" t="s">
        <v>235</v>
      </c>
      <c r="J1147" s="92" t="s">
        <v>276</v>
      </c>
      <c r="K1147" s="93">
        <v>3</v>
      </c>
      <c r="L1147" s="93">
        <f>K1147*VLOOKUP(H1147,dagsoorttabel1,2,FALSE)</f>
        <v>0.60000000000000009</v>
      </c>
      <c r="M1147" s="94">
        <f>prodnorm94</f>
        <v>0</v>
      </c>
      <c r="N1147" s="91" t="s">
        <v>101</v>
      </c>
      <c r="O1147" s="26">
        <f>uurtarief94</f>
        <v>0</v>
      </c>
      <c r="P1147" s="93" t="e">
        <f>IF(ISBLANK(M1147),0,L1147/ROUND(M1147,4))</f>
        <v>#DIV/0!</v>
      </c>
      <c r="Q1147" s="26" t="e">
        <f>ROUND(O1147,2)*P1147</f>
        <v>#DIV/0!</v>
      </c>
      <c r="R1147" s="93" t="e">
        <f>P1147*dagenperjaar1</f>
        <v>#DIV/0!</v>
      </c>
      <c r="S1147" s="27" t="e">
        <f>R1147*ROUND(O1147,2)</f>
        <v>#DIV/0!</v>
      </c>
    </row>
    <row r="1148" spans="1:19" x14ac:dyDescent="0.2">
      <c r="A1148" s="90" t="s">
        <v>1136</v>
      </c>
      <c r="B1148" s="91" t="s">
        <v>35</v>
      </c>
      <c r="C1148" s="91" t="s">
        <v>313</v>
      </c>
      <c r="D1148" s="91" t="s">
        <v>327</v>
      </c>
      <c r="E1148" s="92" t="s">
        <v>1139</v>
      </c>
      <c r="F1148" s="91" t="s">
        <v>385</v>
      </c>
      <c r="G1148" s="91" t="s">
        <v>264</v>
      </c>
      <c r="H1148" s="91" t="s">
        <v>13</v>
      </c>
      <c r="I1148" s="91" t="s">
        <v>235</v>
      </c>
      <c r="J1148" s="92" t="s">
        <v>265</v>
      </c>
      <c r="K1148" s="93">
        <v>20</v>
      </c>
      <c r="L1148" s="93">
        <f>K1148*VLOOKUP(H1148,dagsoorttabel1,2,FALSE)</f>
        <v>4</v>
      </c>
      <c r="M1148" s="94">
        <f>prodnorm82</f>
        <v>0</v>
      </c>
      <c r="N1148" s="91" t="s">
        <v>101</v>
      </c>
      <c r="O1148" s="26">
        <f>uurtarief82</f>
        <v>0</v>
      </c>
      <c r="P1148" s="93" t="e">
        <f>IF(ISBLANK(M1148),0,L1148/ROUND(M1148,4))</f>
        <v>#DIV/0!</v>
      </c>
      <c r="Q1148" s="26" t="e">
        <f>ROUND(O1148,2)*P1148</f>
        <v>#DIV/0!</v>
      </c>
      <c r="R1148" s="93" t="e">
        <f>P1148*dagenperjaar1</f>
        <v>#DIV/0!</v>
      </c>
      <c r="S1148" s="27" t="e">
        <f>R1148*ROUND(O1148,2)</f>
        <v>#DIV/0!</v>
      </c>
    </row>
    <row r="1149" spans="1:19" x14ac:dyDescent="0.2">
      <c r="A1149" s="90" t="s">
        <v>1136</v>
      </c>
      <c r="B1149" s="91" t="s">
        <v>35</v>
      </c>
      <c r="C1149" s="91" t="s">
        <v>313</v>
      </c>
      <c r="D1149" s="91" t="s">
        <v>330</v>
      </c>
      <c r="E1149" s="92" t="s">
        <v>366</v>
      </c>
      <c r="F1149" s="91" t="s">
        <v>385</v>
      </c>
      <c r="G1149" s="91" t="s">
        <v>264</v>
      </c>
      <c r="H1149" s="91" t="s">
        <v>13</v>
      </c>
      <c r="I1149" s="91" t="s">
        <v>235</v>
      </c>
      <c r="J1149" s="92" t="s">
        <v>265</v>
      </c>
      <c r="K1149" s="93">
        <v>6.88</v>
      </c>
      <c r="L1149" s="93">
        <f>K1149*VLOOKUP(H1149,dagsoorttabel1,2,FALSE)</f>
        <v>1.3760000000000001</v>
      </c>
      <c r="M1149" s="94">
        <f>prodnorm82</f>
        <v>0</v>
      </c>
      <c r="N1149" s="91" t="s">
        <v>101</v>
      </c>
      <c r="O1149" s="26">
        <f>uurtarief82</f>
        <v>0</v>
      </c>
      <c r="P1149" s="93" t="e">
        <f>IF(ISBLANK(M1149),0,L1149/ROUND(M1149,4))</f>
        <v>#DIV/0!</v>
      </c>
      <c r="Q1149" s="26" t="e">
        <f>ROUND(O1149,2)*P1149</f>
        <v>#DIV/0!</v>
      </c>
      <c r="R1149" s="93" t="e">
        <f>P1149*dagenperjaar1</f>
        <v>#DIV/0!</v>
      </c>
      <c r="S1149" s="27" t="e">
        <f>R1149*ROUND(O1149,2)</f>
        <v>#DIV/0!</v>
      </c>
    </row>
    <row r="1150" spans="1:19" x14ac:dyDescent="0.2">
      <c r="A1150" s="90" t="s">
        <v>1136</v>
      </c>
      <c r="B1150" s="91" t="s">
        <v>35</v>
      </c>
      <c r="C1150" s="91" t="s">
        <v>313</v>
      </c>
      <c r="D1150" s="91" t="s">
        <v>332</v>
      </c>
      <c r="E1150" s="92" t="s">
        <v>1140</v>
      </c>
      <c r="F1150" s="91" t="s">
        <v>427</v>
      </c>
      <c r="G1150" s="91" t="s">
        <v>277</v>
      </c>
      <c r="H1150" s="91" t="s">
        <v>13</v>
      </c>
      <c r="I1150" s="91" t="s">
        <v>235</v>
      </c>
      <c r="J1150" s="92" t="s">
        <v>278</v>
      </c>
      <c r="K1150" s="93">
        <v>21.12</v>
      </c>
      <c r="L1150" s="93">
        <f>K1150*VLOOKUP(H1150,dagsoorttabel1,2,FALSE)</f>
        <v>4.2240000000000002</v>
      </c>
      <c r="M1150" s="94">
        <f>prodnorm97</f>
        <v>0</v>
      </c>
      <c r="N1150" s="91" t="s">
        <v>101</v>
      </c>
      <c r="O1150" s="26">
        <f>uurtarief97</f>
        <v>0</v>
      </c>
      <c r="P1150" s="93" t="e">
        <f>IF(ISBLANK(M1150),0,L1150/ROUND(M1150,4))</f>
        <v>#DIV/0!</v>
      </c>
      <c r="Q1150" s="26" t="e">
        <f>ROUND(O1150,2)*P1150</f>
        <v>#DIV/0!</v>
      </c>
      <c r="R1150" s="93" t="e">
        <f>P1150*dagenperjaar1</f>
        <v>#DIV/0!</v>
      </c>
      <c r="S1150" s="27" t="e">
        <f>R1150*ROUND(O1150,2)</f>
        <v>#DIV/0!</v>
      </c>
    </row>
    <row r="1151" spans="1:19" x14ac:dyDescent="0.2">
      <c r="A1151" s="90" t="s">
        <v>1136</v>
      </c>
      <c r="B1151" s="91" t="s">
        <v>35</v>
      </c>
      <c r="C1151" s="91" t="s">
        <v>313</v>
      </c>
      <c r="D1151" s="91" t="s">
        <v>334</v>
      </c>
      <c r="E1151" s="92" t="s">
        <v>367</v>
      </c>
      <c r="F1151" s="91" t="s">
        <v>427</v>
      </c>
      <c r="G1151" s="91" t="s">
        <v>283</v>
      </c>
      <c r="H1151" s="91" t="s">
        <v>13</v>
      </c>
      <c r="I1151" s="91" t="s">
        <v>235</v>
      </c>
      <c r="J1151" s="92" t="s">
        <v>284</v>
      </c>
      <c r="K1151" s="93">
        <v>54.83</v>
      </c>
      <c r="L1151" s="93">
        <f>K1151*VLOOKUP(H1151,dagsoorttabel1,2,FALSE)</f>
        <v>10.966000000000001</v>
      </c>
      <c r="M1151" s="94">
        <f>prodnorm106</f>
        <v>0</v>
      </c>
      <c r="N1151" s="91" t="s">
        <v>101</v>
      </c>
      <c r="O1151" s="26">
        <f>uurtarief106</f>
        <v>0</v>
      </c>
      <c r="P1151" s="93" t="e">
        <f>IF(ISBLANK(M1151),0,L1151/ROUND(M1151,4))</f>
        <v>#DIV/0!</v>
      </c>
      <c r="Q1151" s="26" t="e">
        <f>ROUND(O1151,2)*P1151</f>
        <v>#DIV/0!</v>
      </c>
      <c r="R1151" s="93" t="e">
        <f>P1151*dagenperjaar1</f>
        <v>#DIV/0!</v>
      </c>
      <c r="S1151" s="27" t="e">
        <f>R1151*ROUND(O1151,2)</f>
        <v>#DIV/0!</v>
      </c>
    </row>
    <row r="1152" spans="1:19" ht="25.2" x14ac:dyDescent="0.2">
      <c r="A1152" s="90" t="s">
        <v>1136</v>
      </c>
      <c r="B1152" s="91" t="s">
        <v>35</v>
      </c>
      <c r="C1152" s="91" t="s">
        <v>313</v>
      </c>
      <c r="D1152" s="91" t="s">
        <v>1141</v>
      </c>
      <c r="E1152" s="92" t="s">
        <v>1142</v>
      </c>
      <c r="F1152" s="91" t="s">
        <v>427</v>
      </c>
      <c r="G1152" s="91" t="s">
        <v>293</v>
      </c>
      <c r="H1152" s="91" t="s">
        <v>13</v>
      </c>
      <c r="I1152" s="91" t="s">
        <v>235</v>
      </c>
      <c r="J1152" s="92" t="s">
        <v>294</v>
      </c>
      <c r="K1152" s="93">
        <v>30</v>
      </c>
      <c r="L1152" s="93">
        <f>K1152*VLOOKUP(H1152,dagsoorttabel1,2,FALSE)</f>
        <v>6</v>
      </c>
      <c r="M1152" s="94">
        <f>prodnorm119</f>
        <v>0</v>
      </c>
      <c r="N1152" s="91" t="s">
        <v>101</v>
      </c>
      <c r="O1152" s="26">
        <f>uurtarief119</f>
        <v>0</v>
      </c>
      <c r="P1152" s="93" t="e">
        <f>IF(ISBLANK(M1152),0,L1152/ROUND(M1152,4))</f>
        <v>#DIV/0!</v>
      </c>
      <c r="Q1152" s="26" t="e">
        <f>ROUND(O1152,2)*P1152</f>
        <v>#DIV/0!</v>
      </c>
      <c r="R1152" s="93" t="e">
        <f>P1152*dagenperjaar1</f>
        <v>#DIV/0!</v>
      </c>
      <c r="S1152" s="27" t="e">
        <f>R1152*ROUND(O1152,2)</f>
        <v>#DIV/0!</v>
      </c>
    </row>
    <row r="1153" spans="1:19" ht="25.2" x14ac:dyDescent="0.2">
      <c r="A1153" s="90" t="s">
        <v>1136</v>
      </c>
      <c r="B1153" s="91" t="s">
        <v>35</v>
      </c>
      <c r="C1153" s="91" t="s">
        <v>313</v>
      </c>
      <c r="D1153" s="91" t="s">
        <v>1143</v>
      </c>
      <c r="E1153" s="92" t="s">
        <v>1144</v>
      </c>
      <c r="F1153" s="91" t="s">
        <v>427</v>
      </c>
      <c r="G1153" s="91" t="s">
        <v>293</v>
      </c>
      <c r="H1153" s="91" t="s">
        <v>13</v>
      </c>
      <c r="I1153" s="91" t="s">
        <v>235</v>
      </c>
      <c r="J1153" s="92" t="s">
        <v>294</v>
      </c>
      <c r="K1153" s="93">
        <v>15</v>
      </c>
      <c r="L1153" s="93">
        <f>K1153*VLOOKUP(H1153,dagsoorttabel1,2,FALSE)</f>
        <v>3</v>
      </c>
      <c r="M1153" s="94">
        <f>prodnorm119</f>
        <v>0</v>
      </c>
      <c r="N1153" s="91" t="s">
        <v>101</v>
      </c>
      <c r="O1153" s="26">
        <f>uurtarief119</f>
        <v>0</v>
      </c>
      <c r="P1153" s="93" t="e">
        <f>IF(ISBLANK(M1153),0,L1153/ROUND(M1153,4))</f>
        <v>#DIV/0!</v>
      </c>
      <c r="Q1153" s="26" t="e">
        <f>ROUND(O1153,2)*P1153</f>
        <v>#DIV/0!</v>
      </c>
      <c r="R1153" s="93" t="e">
        <f>P1153*dagenperjaar1</f>
        <v>#DIV/0!</v>
      </c>
      <c r="S1153" s="27" t="e">
        <f>R1153*ROUND(O1153,2)</f>
        <v>#DIV/0!</v>
      </c>
    </row>
    <row r="1154" spans="1:19" x14ac:dyDescent="0.2">
      <c r="A1154" s="90" t="s">
        <v>1136</v>
      </c>
      <c r="B1154" s="91" t="s">
        <v>35</v>
      </c>
      <c r="C1154" s="91" t="s">
        <v>313</v>
      </c>
      <c r="D1154" s="91" t="s">
        <v>336</v>
      </c>
      <c r="E1154" s="92" t="s">
        <v>342</v>
      </c>
      <c r="F1154" s="91" t="s">
        <v>35</v>
      </c>
      <c r="G1154" s="91" t="s">
        <v>352</v>
      </c>
      <c r="H1154" s="91"/>
      <c r="I1154" s="91"/>
      <c r="J1154" s="91"/>
      <c r="K1154" s="93">
        <v>0</v>
      </c>
      <c r="L1154" s="93"/>
      <c r="M1154" s="94"/>
      <c r="N1154" s="91"/>
      <c r="O1154" s="26"/>
      <c r="P1154" s="93"/>
      <c r="Q1154" s="26"/>
      <c r="R1154" s="95"/>
      <c r="S1154" s="27"/>
    </row>
    <row r="1155" spans="1:19" ht="25.2" x14ac:dyDescent="0.2">
      <c r="A1155" s="90" t="s">
        <v>1136</v>
      </c>
      <c r="B1155" s="91" t="s">
        <v>35</v>
      </c>
      <c r="C1155" s="91" t="s">
        <v>313</v>
      </c>
      <c r="D1155" s="91" t="s">
        <v>338</v>
      </c>
      <c r="E1155" s="92" t="s">
        <v>1145</v>
      </c>
      <c r="F1155" s="91" t="s">
        <v>427</v>
      </c>
      <c r="G1155" s="91" t="s">
        <v>293</v>
      </c>
      <c r="H1155" s="91" t="s">
        <v>13</v>
      </c>
      <c r="I1155" s="91" t="s">
        <v>235</v>
      </c>
      <c r="J1155" s="92" t="s">
        <v>294</v>
      </c>
      <c r="K1155" s="93">
        <v>18.86</v>
      </c>
      <c r="L1155" s="93">
        <f>K1155*VLOOKUP(H1155,dagsoorttabel1,2,FALSE)</f>
        <v>3.7720000000000002</v>
      </c>
      <c r="M1155" s="94">
        <f>prodnorm119</f>
        <v>0</v>
      </c>
      <c r="N1155" s="91" t="s">
        <v>101</v>
      </c>
      <c r="O1155" s="26">
        <f>uurtarief119</f>
        <v>0</v>
      </c>
      <c r="P1155" s="93" t="e">
        <f>IF(ISBLANK(M1155),0,L1155/ROUND(M1155,4))</f>
        <v>#DIV/0!</v>
      </c>
      <c r="Q1155" s="26" t="e">
        <f>ROUND(O1155,2)*P1155</f>
        <v>#DIV/0!</v>
      </c>
      <c r="R1155" s="93" t="e">
        <f>P1155*dagenperjaar1</f>
        <v>#DIV/0!</v>
      </c>
      <c r="S1155" s="27" t="e">
        <f>R1155*ROUND(O1155,2)</f>
        <v>#DIV/0!</v>
      </c>
    </row>
    <row r="1156" spans="1:19" ht="25.2" x14ac:dyDescent="0.2">
      <c r="A1156" s="90" t="s">
        <v>1136</v>
      </c>
      <c r="B1156" s="91" t="s">
        <v>35</v>
      </c>
      <c r="C1156" s="91" t="s">
        <v>313</v>
      </c>
      <c r="D1156" s="91" t="s">
        <v>339</v>
      </c>
      <c r="E1156" s="92" t="s">
        <v>991</v>
      </c>
      <c r="F1156" s="91" t="s">
        <v>427</v>
      </c>
      <c r="G1156" s="91" t="s">
        <v>293</v>
      </c>
      <c r="H1156" s="91" t="s">
        <v>13</v>
      </c>
      <c r="I1156" s="91" t="s">
        <v>235</v>
      </c>
      <c r="J1156" s="92" t="s">
        <v>294</v>
      </c>
      <c r="K1156" s="93">
        <v>11.15</v>
      </c>
      <c r="L1156" s="93">
        <f>K1156*VLOOKUP(H1156,dagsoorttabel1,2,FALSE)</f>
        <v>2.23</v>
      </c>
      <c r="M1156" s="94">
        <f>prodnorm119</f>
        <v>0</v>
      </c>
      <c r="N1156" s="91" t="s">
        <v>101</v>
      </c>
      <c r="O1156" s="26">
        <f>uurtarief119</f>
        <v>0</v>
      </c>
      <c r="P1156" s="93" t="e">
        <f>IF(ISBLANK(M1156),0,L1156/ROUND(M1156,4))</f>
        <v>#DIV/0!</v>
      </c>
      <c r="Q1156" s="26" t="e">
        <f>ROUND(O1156,2)*P1156</f>
        <v>#DIV/0!</v>
      </c>
      <c r="R1156" s="93" t="e">
        <f>P1156*dagenperjaar1</f>
        <v>#DIV/0!</v>
      </c>
      <c r="S1156" s="27" t="e">
        <f>R1156*ROUND(O1156,2)</f>
        <v>#DIV/0!</v>
      </c>
    </row>
    <row r="1157" spans="1:19" x14ac:dyDescent="0.2">
      <c r="A1157" s="90" t="s">
        <v>1136</v>
      </c>
      <c r="B1157" s="91" t="s">
        <v>35</v>
      </c>
      <c r="C1157" s="91" t="s">
        <v>313</v>
      </c>
      <c r="D1157" s="91" t="s">
        <v>341</v>
      </c>
      <c r="E1157" s="92" t="s">
        <v>1146</v>
      </c>
      <c r="F1157" s="91" t="s">
        <v>35</v>
      </c>
      <c r="G1157" s="91" t="s">
        <v>352</v>
      </c>
      <c r="H1157" s="91"/>
      <c r="I1157" s="91"/>
      <c r="J1157" s="91"/>
      <c r="K1157" s="93">
        <v>0</v>
      </c>
      <c r="L1157" s="93"/>
      <c r="M1157" s="94"/>
      <c r="N1157" s="91"/>
      <c r="O1157" s="26"/>
      <c r="P1157" s="93"/>
      <c r="Q1157" s="26"/>
      <c r="R1157" s="95"/>
      <c r="S1157" s="27"/>
    </row>
    <row r="1158" spans="1:19" x14ac:dyDescent="0.2">
      <c r="A1158" s="90" t="s">
        <v>1136</v>
      </c>
      <c r="B1158" s="91" t="s">
        <v>35</v>
      </c>
      <c r="C1158" s="91" t="s">
        <v>313</v>
      </c>
      <c r="D1158" s="91" t="s">
        <v>372</v>
      </c>
      <c r="E1158" s="92" t="s">
        <v>1147</v>
      </c>
      <c r="F1158" s="91" t="s">
        <v>508</v>
      </c>
      <c r="G1158" s="91" t="s">
        <v>264</v>
      </c>
      <c r="H1158" s="91" t="s">
        <v>13</v>
      </c>
      <c r="I1158" s="91" t="s">
        <v>235</v>
      </c>
      <c r="J1158" s="92" t="s">
        <v>265</v>
      </c>
      <c r="K1158" s="93">
        <v>7.3</v>
      </c>
      <c r="L1158" s="93">
        <f>K1158*VLOOKUP(H1158,dagsoorttabel1,2,FALSE)</f>
        <v>1.46</v>
      </c>
      <c r="M1158" s="94">
        <f>prodnorm82</f>
        <v>0</v>
      </c>
      <c r="N1158" s="91" t="s">
        <v>101</v>
      </c>
      <c r="O1158" s="26">
        <f>uurtarief82</f>
        <v>0</v>
      </c>
      <c r="P1158" s="93" t="e">
        <f>IF(ISBLANK(M1158),0,L1158/ROUND(M1158,4))</f>
        <v>#DIV/0!</v>
      </c>
      <c r="Q1158" s="26" t="e">
        <f>ROUND(O1158,2)*P1158</f>
        <v>#DIV/0!</v>
      </c>
      <c r="R1158" s="93" t="e">
        <f>P1158*dagenperjaar1</f>
        <v>#DIV/0!</v>
      </c>
      <c r="S1158" s="27" t="e">
        <f>R1158*ROUND(O1158,2)</f>
        <v>#DIV/0!</v>
      </c>
    </row>
    <row r="1159" spans="1:19" x14ac:dyDescent="0.2">
      <c r="A1159" s="90" t="s">
        <v>1136</v>
      </c>
      <c r="B1159" s="91" t="s">
        <v>35</v>
      </c>
      <c r="C1159" s="91" t="s">
        <v>313</v>
      </c>
      <c r="D1159" s="91" t="s">
        <v>391</v>
      </c>
      <c r="E1159" s="92" t="s">
        <v>1148</v>
      </c>
      <c r="F1159" s="91" t="s">
        <v>427</v>
      </c>
      <c r="G1159" s="91" t="s">
        <v>277</v>
      </c>
      <c r="H1159" s="91" t="s">
        <v>13</v>
      </c>
      <c r="I1159" s="91" t="s">
        <v>235</v>
      </c>
      <c r="J1159" s="92" t="s">
        <v>278</v>
      </c>
      <c r="K1159" s="93">
        <v>72.900000000000006</v>
      </c>
      <c r="L1159" s="93">
        <f>K1159*VLOOKUP(H1159,dagsoorttabel1,2,FALSE)</f>
        <v>14.580000000000002</v>
      </c>
      <c r="M1159" s="94">
        <f>prodnorm97</f>
        <v>0</v>
      </c>
      <c r="N1159" s="91" t="s">
        <v>101</v>
      </c>
      <c r="O1159" s="26">
        <f>uurtarief97</f>
        <v>0</v>
      </c>
      <c r="P1159" s="93" t="e">
        <f>IF(ISBLANK(M1159),0,L1159/ROUND(M1159,4))</f>
        <v>#DIV/0!</v>
      </c>
      <c r="Q1159" s="26" t="e">
        <f>ROUND(O1159,2)*P1159</f>
        <v>#DIV/0!</v>
      </c>
      <c r="R1159" s="93" t="e">
        <f>P1159*dagenperjaar1</f>
        <v>#DIV/0!</v>
      </c>
      <c r="S1159" s="27" t="e">
        <f>R1159*ROUND(O1159,2)</f>
        <v>#DIV/0!</v>
      </c>
    </row>
    <row r="1160" spans="1:19" x14ac:dyDescent="0.2">
      <c r="A1160" s="90" t="s">
        <v>1136</v>
      </c>
      <c r="B1160" s="91" t="s">
        <v>35</v>
      </c>
      <c r="C1160" s="91" t="s">
        <v>313</v>
      </c>
      <c r="D1160" s="91" t="s">
        <v>392</v>
      </c>
      <c r="E1160" s="92" t="s">
        <v>1121</v>
      </c>
      <c r="F1160" s="91" t="s">
        <v>427</v>
      </c>
      <c r="G1160" s="91" t="s">
        <v>277</v>
      </c>
      <c r="H1160" s="91" t="s">
        <v>13</v>
      </c>
      <c r="I1160" s="91" t="s">
        <v>235</v>
      </c>
      <c r="J1160" s="92" t="s">
        <v>278</v>
      </c>
      <c r="K1160" s="93">
        <v>21.08</v>
      </c>
      <c r="L1160" s="93">
        <f>K1160*VLOOKUP(H1160,dagsoorttabel1,2,FALSE)</f>
        <v>4.2160000000000002</v>
      </c>
      <c r="M1160" s="94">
        <f>prodnorm97</f>
        <v>0</v>
      </c>
      <c r="N1160" s="91" t="s">
        <v>101</v>
      </c>
      <c r="O1160" s="26">
        <f>uurtarief97</f>
        <v>0</v>
      </c>
      <c r="P1160" s="93" t="e">
        <f>IF(ISBLANK(M1160),0,L1160/ROUND(M1160,4))</f>
        <v>#DIV/0!</v>
      </c>
      <c r="Q1160" s="26" t="e">
        <f>ROUND(O1160,2)*P1160</f>
        <v>#DIV/0!</v>
      </c>
      <c r="R1160" s="93" t="e">
        <f>P1160*dagenperjaar1</f>
        <v>#DIV/0!</v>
      </c>
      <c r="S1160" s="27" t="e">
        <f>R1160*ROUND(O1160,2)</f>
        <v>#DIV/0!</v>
      </c>
    </row>
    <row r="1161" spans="1:19" x14ac:dyDescent="0.2">
      <c r="A1161" s="90" t="s">
        <v>1136</v>
      </c>
      <c r="B1161" s="91" t="s">
        <v>35</v>
      </c>
      <c r="C1161" s="91" t="s">
        <v>313</v>
      </c>
      <c r="D1161" s="91" t="s">
        <v>1149</v>
      </c>
      <c r="E1161" s="92" t="s">
        <v>1150</v>
      </c>
      <c r="F1161" s="91" t="s">
        <v>427</v>
      </c>
      <c r="G1161" s="91" t="s">
        <v>279</v>
      </c>
      <c r="H1161" s="91" t="s">
        <v>13</v>
      </c>
      <c r="I1161" s="91" t="s">
        <v>235</v>
      </c>
      <c r="J1161" s="92" t="s">
        <v>280</v>
      </c>
      <c r="K1161" s="93">
        <v>4</v>
      </c>
      <c r="L1161" s="93">
        <f>K1161*VLOOKUP(H1161,dagsoorttabel1,2,FALSE)</f>
        <v>0.8</v>
      </c>
      <c r="M1161" s="94">
        <f>prodnorm100</f>
        <v>0</v>
      </c>
      <c r="N1161" s="91" t="s">
        <v>101</v>
      </c>
      <c r="O1161" s="26">
        <f>uurtarief100</f>
        <v>0</v>
      </c>
      <c r="P1161" s="93" t="e">
        <f>IF(ISBLANK(M1161),0,L1161/ROUND(M1161,4))</f>
        <v>#DIV/0!</v>
      </c>
      <c r="Q1161" s="26" t="e">
        <f>ROUND(O1161,2)*P1161</f>
        <v>#DIV/0!</v>
      </c>
      <c r="R1161" s="93" t="e">
        <f>P1161*dagenperjaar1</f>
        <v>#DIV/0!</v>
      </c>
      <c r="S1161" s="27" t="e">
        <f>R1161*ROUND(O1161,2)</f>
        <v>#DIV/0!</v>
      </c>
    </row>
    <row r="1162" spans="1:19" x14ac:dyDescent="0.2">
      <c r="A1162" s="90" t="s">
        <v>1136</v>
      </c>
      <c r="B1162" s="91" t="s">
        <v>35</v>
      </c>
      <c r="C1162" s="91" t="s">
        <v>313</v>
      </c>
      <c r="D1162" s="91" t="s">
        <v>981</v>
      </c>
      <c r="E1162" s="92" t="s">
        <v>328</v>
      </c>
      <c r="F1162" s="91" t="s">
        <v>427</v>
      </c>
      <c r="G1162" s="91" t="s">
        <v>275</v>
      </c>
      <c r="H1162" s="91" t="s">
        <v>13</v>
      </c>
      <c r="I1162" s="91" t="s">
        <v>235</v>
      </c>
      <c r="J1162" s="92" t="s">
        <v>276</v>
      </c>
      <c r="K1162" s="93">
        <v>8</v>
      </c>
      <c r="L1162" s="93">
        <f>K1162*VLOOKUP(H1162,dagsoorttabel1,2,FALSE)</f>
        <v>1.6</v>
      </c>
      <c r="M1162" s="94">
        <f>prodnorm94</f>
        <v>0</v>
      </c>
      <c r="N1162" s="91" t="s">
        <v>101</v>
      </c>
      <c r="O1162" s="26">
        <f>uurtarief94</f>
        <v>0</v>
      </c>
      <c r="P1162" s="93" t="e">
        <f>IF(ISBLANK(M1162),0,L1162/ROUND(M1162,4))</f>
        <v>#DIV/0!</v>
      </c>
      <c r="Q1162" s="26" t="e">
        <f>ROUND(O1162,2)*P1162</f>
        <v>#DIV/0!</v>
      </c>
      <c r="R1162" s="93" t="e">
        <f>P1162*dagenperjaar1</f>
        <v>#DIV/0!</v>
      </c>
      <c r="S1162" s="27" t="e">
        <f>R1162*ROUND(O1162,2)</f>
        <v>#DIV/0!</v>
      </c>
    </row>
    <row r="1163" spans="1:19" x14ac:dyDescent="0.2">
      <c r="A1163" s="90" t="s">
        <v>1136</v>
      </c>
      <c r="B1163" s="91" t="s">
        <v>35</v>
      </c>
      <c r="C1163" s="91" t="s">
        <v>313</v>
      </c>
      <c r="D1163" s="91" t="s">
        <v>393</v>
      </c>
      <c r="E1163" s="92" t="s">
        <v>1120</v>
      </c>
      <c r="F1163" s="91" t="s">
        <v>427</v>
      </c>
      <c r="G1163" s="91" t="s">
        <v>277</v>
      </c>
      <c r="H1163" s="91" t="s">
        <v>13</v>
      </c>
      <c r="I1163" s="91" t="s">
        <v>235</v>
      </c>
      <c r="J1163" s="92" t="s">
        <v>278</v>
      </c>
      <c r="K1163" s="93">
        <v>38.15</v>
      </c>
      <c r="L1163" s="93">
        <f>K1163*VLOOKUP(H1163,dagsoorttabel1,2,FALSE)</f>
        <v>7.63</v>
      </c>
      <c r="M1163" s="94">
        <f>prodnorm97</f>
        <v>0</v>
      </c>
      <c r="N1163" s="91" t="s">
        <v>101</v>
      </c>
      <c r="O1163" s="26">
        <f>uurtarief97</f>
        <v>0</v>
      </c>
      <c r="P1163" s="93" t="e">
        <f>IF(ISBLANK(M1163),0,L1163/ROUND(M1163,4))</f>
        <v>#DIV/0!</v>
      </c>
      <c r="Q1163" s="26" t="e">
        <f>ROUND(O1163,2)*P1163</f>
        <v>#DIV/0!</v>
      </c>
      <c r="R1163" s="93" t="e">
        <f>P1163*dagenperjaar1</f>
        <v>#DIV/0!</v>
      </c>
      <c r="S1163" s="27" t="e">
        <f>R1163*ROUND(O1163,2)</f>
        <v>#DIV/0!</v>
      </c>
    </row>
    <row r="1164" spans="1:19" x14ac:dyDescent="0.2">
      <c r="A1164" s="90" t="s">
        <v>1136</v>
      </c>
      <c r="B1164" s="91" t="s">
        <v>35</v>
      </c>
      <c r="C1164" s="91" t="s">
        <v>313</v>
      </c>
      <c r="D1164" s="91" t="s">
        <v>1151</v>
      </c>
      <c r="E1164" s="92" t="s">
        <v>878</v>
      </c>
      <c r="F1164" s="91" t="s">
        <v>427</v>
      </c>
      <c r="G1164" s="91" t="s">
        <v>279</v>
      </c>
      <c r="H1164" s="91" t="s">
        <v>13</v>
      </c>
      <c r="I1164" s="91" t="s">
        <v>235</v>
      </c>
      <c r="J1164" s="92" t="s">
        <v>280</v>
      </c>
      <c r="K1164" s="93">
        <v>8</v>
      </c>
      <c r="L1164" s="93">
        <f>K1164*VLOOKUP(H1164,dagsoorttabel1,2,FALSE)</f>
        <v>1.6</v>
      </c>
      <c r="M1164" s="94">
        <f>prodnorm100</f>
        <v>0</v>
      </c>
      <c r="N1164" s="91" t="s">
        <v>101</v>
      </c>
      <c r="O1164" s="26">
        <f>uurtarief100</f>
        <v>0</v>
      </c>
      <c r="P1164" s="93" t="e">
        <f>IF(ISBLANK(M1164),0,L1164/ROUND(M1164,4))</f>
        <v>#DIV/0!</v>
      </c>
      <c r="Q1164" s="26" t="e">
        <f>ROUND(O1164,2)*P1164</f>
        <v>#DIV/0!</v>
      </c>
      <c r="R1164" s="93" t="e">
        <f>P1164*dagenperjaar1</f>
        <v>#DIV/0!</v>
      </c>
      <c r="S1164" s="27" t="e">
        <f>R1164*ROUND(O1164,2)</f>
        <v>#DIV/0!</v>
      </c>
    </row>
    <row r="1165" spans="1:19" x14ac:dyDescent="0.2">
      <c r="A1165" s="90" t="s">
        <v>1136</v>
      </c>
      <c r="B1165" s="91" t="s">
        <v>35</v>
      </c>
      <c r="C1165" s="91" t="s">
        <v>313</v>
      </c>
      <c r="D1165" s="91" t="s">
        <v>1152</v>
      </c>
      <c r="E1165" s="92" t="s">
        <v>328</v>
      </c>
      <c r="F1165" s="91" t="s">
        <v>427</v>
      </c>
      <c r="G1165" s="91" t="s">
        <v>275</v>
      </c>
      <c r="H1165" s="91" t="s">
        <v>13</v>
      </c>
      <c r="I1165" s="91" t="s">
        <v>235</v>
      </c>
      <c r="J1165" s="92" t="s">
        <v>276</v>
      </c>
      <c r="K1165" s="93">
        <v>10</v>
      </c>
      <c r="L1165" s="93">
        <f>K1165*VLOOKUP(H1165,dagsoorttabel1,2,FALSE)</f>
        <v>2</v>
      </c>
      <c r="M1165" s="94">
        <f>prodnorm94</f>
        <v>0</v>
      </c>
      <c r="N1165" s="91" t="s">
        <v>101</v>
      </c>
      <c r="O1165" s="26">
        <f>uurtarief94</f>
        <v>0</v>
      </c>
      <c r="P1165" s="93" t="e">
        <f>IF(ISBLANK(M1165),0,L1165/ROUND(M1165,4))</f>
        <v>#DIV/0!</v>
      </c>
      <c r="Q1165" s="26" t="e">
        <f>ROUND(O1165,2)*P1165</f>
        <v>#DIV/0!</v>
      </c>
      <c r="R1165" s="93" t="e">
        <f>P1165*dagenperjaar1</f>
        <v>#DIV/0!</v>
      </c>
      <c r="S1165" s="27" t="e">
        <f>R1165*ROUND(O1165,2)</f>
        <v>#DIV/0!</v>
      </c>
    </row>
    <row r="1166" spans="1:19" x14ac:dyDescent="0.2">
      <c r="A1166" s="90" t="s">
        <v>1136</v>
      </c>
      <c r="B1166" s="91" t="s">
        <v>35</v>
      </c>
      <c r="C1166" s="91" t="s">
        <v>343</v>
      </c>
      <c r="D1166" s="91" t="s">
        <v>344</v>
      </c>
      <c r="E1166" s="92" t="s">
        <v>323</v>
      </c>
      <c r="F1166" s="91" t="s">
        <v>427</v>
      </c>
      <c r="G1166" s="91" t="s">
        <v>239</v>
      </c>
      <c r="H1166" s="91" t="s">
        <v>13</v>
      </c>
      <c r="I1166" s="91" t="s">
        <v>235</v>
      </c>
      <c r="J1166" s="92" t="s">
        <v>240</v>
      </c>
      <c r="K1166" s="93">
        <v>20</v>
      </c>
      <c r="L1166" s="93">
        <f>K1166*VLOOKUP(H1166,dagsoorttabel1,2,FALSE)</f>
        <v>4</v>
      </c>
      <c r="M1166" s="94">
        <f>prodnorm53</f>
        <v>0</v>
      </c>
      <c r="N1166" s="91" t="s">
        <v>101</v>
      </c>
      <c r="O1166" s="26">
        <f>uurtarief53</f>
        <v>0</v>
      </c>
      <c r="P1166" s="93" t="e">
        <f>IF(ISBLANK(M1166),0,L1166/ROUND(M1166,4))</f>
        <v>#DIV/0!</v>
      </c>
      <c r="Q1166" s="26" t="e">
        <f>ROUND(O1166,2)*P1166</f>
        <v>#DIV/0!</v>
      </c>
      <c r="R1166" s="93" t="e">
        <f>P1166*dagenperjaar1</f>
        <v>#DIV/0!</v>
      </c>
      <c r="S1166" s="27" t="e">
        <f>R1166*ROUND(O1166,2)</f>
        <v>#DIV/0!</v>
      </c>
    </row>
    <row r="1167" spans="1:19" x14ac:dyDescent="0.2">
      <c r="A1167" s="90" t="s">
        <v>1136</v>
      </c>
      <c r="B1167" s="91" t="s">
        <v>35</v>
      </c>
      <c r="C1167" s="91" t="s">
        <v>343</v>
      </c>
      <c r="D1167" s="91" t="s">
        <v>345</v>
      </c>
      <c r="E1167" s="92" t="s">
        <v>323</v>
      </c>
      <c r="F1167" s="91" t="s">
        <v>427</v>
      </c>
      <c r="G1167" s="91" t="s">
        <v>239</v>
      </c>
      <c r="H1167" s="91" t="s">
        <v>13</v>
      </c>
      <c r="I1167" s="91" t="s">
        <v>235</v>
      </c>
      <c r="J1167" s="92" t="s">
        <v>240</v>
      </c>
      <c r="K1167" s="93">
        <v>20</v>
      </c>
      <c r="L1167" s="93">
        <f>K1167*VLOOKUP(H1167,dagsoorttabel1,2,FALSE)</f>
        <v>4</v>
      </c>
      <c r="M1167" s="94">
        <f>prodnorm53</f>
        <v>0</v>
      </c>
      <c r="N1167" s="91" t="s">
        <v>101</v>
      </c>
      <c r="O1167" s="26">
        <f>uurtarief53</f>
        <v>0</v>
      </c>
      <c r="P1167" s="93" t="e">
        <f>IF(ISBLANK(M1167),0,L1167/ROUND(M1167,4))</f>
        <v>#DIV/0!</v>
      </c>
      <c r="Q1167" s="26" t="e">
        <f>ROUND(O1167,2)*P1167</f>
        <v>#DIV/0!</v>
      </c>
      <c r="R1167" s="93" t="e">
        <f>P1167*dagenperjaar1</f>
        <v>#DIV/0!</v>
      </c>
      <c r="S1167" s="27" t="e">
        <f>R1167*ROUND(O1167,2)</f>
        <v>#DIV/0!</v>
      </c>
    </row>
    <row r="1168" spans="1:19" x14ac:dyDescent="0.2">
      <c r="A1168" s="90" t="s">
        <v>1136</v>
      </c>
      <c r="B1168" s="91" t="s">
        <v>35</v>
      </c>
      <c r="C1168" s="91" t="s">
        <v>343</v>
      </c>
      <c r="D1168" s="91" t="s">
        <v>348</v>
      </c>
      <c r="E1168" s="92" t="s">
        <v>323</v>
      </c>
      <c r="F1168" s="91" t="s">
        <v>427</v>
      </c>
      <c r="G1168" s="91" t="s">
        <v>239</v>
      </c>
      <c r="H1168" s="91" t="s">
        <v>13</v>
      </c>
      <c r="I1168" s="91" t="s">
        <v>235</v>
      </c>
      <c r="J1168" s="92" t="s">
        <v>240</v>
      </c>
      <c r="K1168" s="93">
        <v>20</v>
      </c>
      <c r="L1168" s="93">
        <f>K1168*VLOOKUP(H1168,dagsoorttabel1,2,FALSE)</f>
        <v>4</v>
      </c>
      <c r="M1168" s="94">
        <f>prodnorm53</f>
        <v>0</v>
      </c>
      <c r="N1168" s="91" t="s">
        <v>101</v>
      </c>
      <c r="O1168" s="26">
        <f>uurtarief53</f>
        <v>0</v>
      </c>
      <c r="P1168" s="93" t="e">
        <f>IF(ISBLANK(M1168),0,L1168/ROUND(M1168,4))</f>
        <v>#DIV/0!</v>
      </c>
      <c r="Q1168" s="26" t="e">
        <f>ROUND(O1168,2)*P1168</f>
        <v>#DIV/0!</v>
      </c>
      <c r="R1168" s="93" t="e">
        <f>P1168*dagenperjaar1</f>
        <v>#DIV/0!</v>
      </c>
      <c r="S1168" s="27" t="e">
        <f>R1168*ROUND(O1168,2)</f>
        <v>#DIV/0!</v>
      </c>
    </row>
    <row r="1169" spans="1:19" x14ac:dyDescent="0.2">
      <c r="A1169" s="96" t="s">
        <v>1136</v>
      </c>
      <c r="B1169" s="97" t="s">
        <v>35</v>
      </c>
      <c r="C1169" s="97" t="s">
        <v>343</v>
      </c>
      <c r="D1169" s="97" t="s">
        <v>350</v>
      </c>
      <c r="E1169" s="98" t="s">
        <v>1153</v>
      </c>
      <c r="F1169" s="97" t="s">
        <v>347</v>
      </c>
      <c r="G1169" s="97" t="s">
        <v>270</v>
      </c>
      <c r="H1169" s="97" t="s">
        <v>13</v>
      </c>
      <c r="I1169" s="97" t="s">
        <v>235</v>
      </c>
      <c r="J1169" s="98" t="s">
        <v>271</v>
      </c>
      <c r="K1169" s="99">
        <v>67.45</v>
      </c>
      <c r="L1169" s="99">
        <f>K1169*VLOOKUP(H1169,dagsoorttabel1,2,FALSE)</f>
        <v>13.490000000000002</v>
      </c>
      <c r="M1169" s="100">
        <f>prodnorm89</f>
        <v>0</v>
      </c>
      <c r="N1169" s="97" t="s">
        <v>101</v>
      </c>
      <c r="O1169" s="36">
        <f>uurtarief89</f>
        <v>0</v>
      </c>
      <c r="P1169" s="99" t="e">
        <f>IF(ISBLANK(M1169),0,L1169/ROUND(M1169,4))</f>
        <v>#DIV/0!</v>
      </c>
      <c r="Q1169" s="36" t="e">
        <f>ROUND(O1169,2)*P1169</f>
        <v>#DIV/0!</v>
      </c>
      <c r="R1169" s="99" t="e">
        <f>P1169*dagenperjaar1</f>
        <v>#DIV/0!</v>
      </c>
      <c r="S1169" s="37" t="e">
        <f>R1169*ROUND(O1169,2)</f>
        <v>#DIV/0!</v>
      </c>
    </row>
    <row r="1170" spans="1:19" x14ac:dyDescent="0.2">
      <c r="A1170" s="101" t="s">
        <v>356</v>
      </c>
      <c r="B1170" s="74"/>
      <c r="C1170" s="74"/>
      <c r="D1170" s="74"/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6" t="e">
        <f>IF(_xlfn.SINGLE(object33_urenjaar1)&gt;0,_xlfn.SINGLE(object33_prijsjaar1)/_xlfn.SINGLE(object33_urenjaar1),0)</f>
        <v>#DIV/0!</v>
      </c>
      <c r="P1170" s="75" t="e">
        <f>SUM(P1141:P1169)</f>
        <v>#DIV/0!</v>
      </c>
      <c r="Q1170" s="76" t="e">
        <f>SUM(Q1141:Q1169)</f>
        <v>#DIV/0!</v>
      </c>
      <c r="R1170" s="75" t="e">
        <f>SUM(R1141:R1169)</f>
        <v>#DIV/0!</v>
      </c>
      <c r="S1170" s="77" t="e">
        <f>SUM(S1141:S1169)</f>
        <v>#DIV/0!</v>
      </c>
    </row>
    <row r="1171" spans="1:19" x14ac:dyDescent="0.2">
      <c r="A1171" s="82" t="s">
        <v>1154</v>
      </c>
      <c r="B1171" s="49"/>
      <c r="C1171" s="49"/>
      <c r="D1171" s="49"/>
      <c r="E1171" s="49"/>
      <c r="F1171" s="49"/>
      <c r="G1171" s="49"/>
      <c r="H1171" s="49"/>
      <c r="I1171" s="49"/>
      <c r="J1171" s="49"/>
      <c r="K1171" s="49"/>
      <c r="L1171" s="49"/>
      <c r="M1171" s="49"/>
      <c r="N1171" s="49"/>
      <c r="O1171" s="49"/>
      <c r="P1171" s="49"/>
      <c r="Q1171" s="49"/>
      <c r="R1171" s="49"/>
      <c r="S1171" s="72"/>
    </row>
    <row r="1172" spans="1:19" x14ac:dyDescent="0.2">
      <c r="A1172" s="83" t="s">
        <v>1155</v>
      </c>
      <c r="B1172" s="84" t="s">
        <v>35</v>
      </c>
      <c r="C1172" s="84" t="s">
        <v>313</v>
      </c>
      <c r="D1172" s="84" t="s">
        <v>314</v>
      </c>
      <c r="E1172" s="85" t="s">
        <v>1156</v>
      </c>
      <c r="F1172" s="84" t="s">
        <v>965</v>
      </c>
      <c r="G1172" s="84" t="s">
        <v>289</v>
      </c>
      <c r="H1172" s="84" t="s">
        <v>13</v>
      </c>
      <c r="I1172" s="84" t="s">
        <v>235</v>
      </c>
      <c r="J1172" s="85" t="s">
        <v>290</v>
      </c>
      <c r="K1172" s="86">
        <v>2</v>
      </c>
      <c r="L1172" s="86">
        <f>K1172*VLOOKUP(H1172,dagsoorttabel1,2,FALSE)</f>
        <v>0.4</v>
      </c>
      <c r="M1172" s="87">
        <f>prodnorm113</f>
        <v>0</v>
      </c>
      <c r="N1172" s="84" t="s">
        <v>101</v>
      </c>
      <c r="O1172" s="88">
        <f>uurtarief113</f>
        <v>0</v>
      </c>
      <c r="P1172" s="86" t="e">
        <f>IF(ISBLANK(M1172),0,L1172/ROUND(M1172,4))</f>
        <v>#DIV/0!</v>
      </c>
      <c r="Q1172" s="88" t="e">
        <f>ROUND(O1172,2)*P1172</f>
        <v>#DIV/0!</v>
      </c>
      <c r="R1172" s="86" t="e">
        <f>P1172*dagenperjaar1</f>
        <v>#DIV/0!</v>
      </c>
      <c r="S1172" s="89" t="e">
        <f>R1172*ROUND(O1172,2)</f>
        <v>#DIV/0!</v>
      </c>
    </row>
    <row r="1173" spans="1:19" x14ac:dyDescent="0.2">
      <c r="A1173" s="90" t="s">
        <v>1155</v>
      </c>
      <c r="B1173" s="91" t="s">
        <v>35</v>
      </c>
      <c r="C1173" s="91" t="s">
        <v>313</v>
      </c>
      <c r="D1173" s="91" t="s">
        <v>359</v>
      </c>
      <c r="E1173" s="92" t="s">
        <v>1156</v>
      </c>
      <c r="F1173" s="91" t="s">
        <v>316</v>
      </c>
      <c r="G1173" s="91" t="s">
        <v>287</v>
      </c>
      <c r="H1173" s="91" t="s">
        <v>13</v>
      </c>
      <c r="I1173" s="91" t="s">
        <v>235</v>
      </c>
      <c r="J1173" s="92" t="s">
        <v>288</v>
      </c>
      <c r="K1173" s="93">
        <v>4.8</v>
      </c>
      <c r="L1173" s="93">
        <f>K1173*VLOOKUP(H1173,dagsoorttabel1,2,FALSE)</f>
        <v>0.96</v>
      </c>
      <c r="M1173" s="94">
        <f>prodnorm112</f>
        <v>0</v>
      </c>
      <c r="N1173" s="91" t="s">
        <v>101</v>
      </c>
      <c r="O1173" s="26">
        <f>uurtarief112</f>
        <v>0</v>
      </c>
      <c r="P1173" s="93" t="e">
        <f>IF(ISBLANK(M1173),0,L1173/ROUND(M1173,4))</f>
        <v>#DIV/0!</v>
      </c>
      <c r="Q1173" s="26" t="e">
        <f>ROUND(O1173,2)*P1173</f>
        <v>#DIV/0!</v>
      </c>
      <c r="R1173" s="93" t="e">
        <f>P1173*dagenperjaar1</f>
        <v>#DIV/0!</v>
      </c>
      <c r="S1173" s="27" t="e">
        <f>R1173*ROUND(O1173,2)</f>
        <v>#DIV/0!</v>
      </c>
    </row>
    <row r="1174" spans="1:19" x14ac:dyDescent="0.2">
      <c r="A1174" s="90" t="s">
        <v>1155</v>
      </c>
      <c r="B1174" s="91" t="s">
        <v>35</v>
      </c>
      <c r="C1174" s="91" t="s">
        <v>313</v>
      </c>
      <c r="D1174" s="91" t="s">
        <v>317</v>
      </c>
      <c r="E1174" s="92" t="s">
        <v>367</v>
      </c>
      <c r="F1174" s="91" t="s">
        <v>316</v>
      </c>
      <c r="G1174" s="91" t="s">
        <v>283</v>
      </c>
      <c r="H1174" s="91" t="s">
        <v>13</v>
      </c>
      <c r="I1174" s="91" t="s">
        <v>235</v>
      </c>
      <c r="J1174" s="92" t="s">
        <v>284</v>
      </c>
      <c r="K1174" s="93">
        <v>50</v>
      </c>
      <c r="L1174" s="93">
        <f>K1174*VLOOKUP(H1174,dagsoorttabel1,2,FALSE)</f>
        <v>10</v>
      </c>
      <c r="M1174" s="94">
        <f>prodnorm106</f>
        <v>0</v>
      </c>
      <c r="N1174" s="91" t="s">
        <v>101</v>
      </c>
      <c r="O1174" s="26">
        <f>uurtarief106</f>
        <v>0</v>
      </c>
      <c r="P1174" s="93" t="e">
        <f>IF(ISBLANK(M1174),0,L1174/ROUND(M1174,4))</f>
        <v>#DIV/0!</v>
      </c>
      <c r="Q1174" s="26" t="e">
        <f>ROUND(O1174,2)*P1174</f>
        <v>#DIV/0!</v>
      </c>
      <c r="R1174" s="93" t="e">
        <f>P1174*dagenperjaar1</f>
        <v>#DIV/0!</v>
      </c>
      <c r="S1174" s="27" t="e">
        <f>R1174*ROUND(O1174,2)</f>
        <v>#DIV/0!</v>
      </c>
    </row>
    <row r="1175" spans="1:19" x14ac:dyDescent="0.2">
      <c r="A1175" s="90" t="s">
        <v>1155</v>
      </c>
      <c r="B1175" s="91" t="s">
        <v>35</v>
      </c>
      <c r="C1175" s="91" t="s">
        <v>313</v>
      </c>
      <c r="D1175" s="91" t="s">
        <v>320</v>
      </c>
      <c r="E1175" s="92" t="s">
        <v>318</v>
      </c>
      <c r="F1175" s="91" t="s">
        <v>387</v>
      </c>
      <c r="G1175" s="91" t="s">
        <v>298</v>
      </c>
      <c r="H1175" s="91" t="s">
        <v>13</v>
      </c>
      <c r="I1175" s="91" t="s">
        <v>235</v>
      </c>
      <c r="J1175" s="92" t="s">
        <v>299</v>
      </c>
      <c r="K1175" s="93">
        <v>8.5</v>
      </c>
      <c r="L1175" s="93">
        <f>K1175*VLOOKUP(H1175,dagsoorttabel1,2,FALSE)</f>
        <v>1.7000000000000002</v>
      </c>
      <c r="M1175" s="94">
        <f>prodnorm124</f>
        <v>0</v>
      </c>
      <c r="N1175" s="91" t="s">
        <v>101</v>
      </c>
      <c r="O1175" s="26">
        <f>uurtarief124</f>
        <v>0</v>
      </c>
      <c r="P1175" s="93" t="e">
        <f>IF(ISBLANK(M1175),0,L1175/ROUND(M1175,4))</f>
        <v>#DIV/0!</v>
      </c>
      <c r="Q1175" s="26" t="e">
        <f>ROUND(O1175,2)*P1175</f>
        <v>#DIV/0!</v>
      </c>
      <c r="R1175" s="93" t="e">
        <f>P1175*dagenperjaar1</f>
        <v>#DIV/0!</v>
      </c>
      <c r="S1175" s="27" t="e">
        <f>R1175*ROUND(O1175,2)</f>
        <v>#DIV/0!</v>
      </c>
    </row>
    <row r="1176" spans="1:19" x14ac:dyDescent="0.2">
      <c r="A1176" s="90" t="s">
        <v>1155</v>
      </c>
      <c r="B1176" s="91" t="s">
        <v>35</v>
      </c>
      <c r="C1176" s="91" t="s">
        <v>313</v>
      </c>
      <c r="D1176" s="91" t="s">
        <v>322</v>
      </c>
      <c r="E1176" s="92" t="s">
        <v>376</v>
      </c>
      <c r="F1176" s="91" t="s">
        <v>329</v>
      </c>
      <c r="G1176" s="91" t="s">
        <v>283</v>
      </c>
      <c r="H1176" s="91" t="s">
        <v>13</v>
      </c>
      <c r="I1176" s="91" t="s">
        <v>235</v>
      </c>
      <c r="J1176" s="92" t="s">
        <v>284</v>
      </c>
      <c r="K1176" s="93">
        <v>2.8</v>
      </c>
      <c r="L1176" s="93">
        <f>K1176*VLOOKUP(H1176,dagsoorttabel1,2,FALSE)</f>
        <v>0.55999999999999994</v>
      </c>
      <c r="M1176" s="94">
        <f>prodnorm106</f>
        <v>0</v>
      </c>
      <c r="N1176" s="91" t="s">
        <v>101</v>
      </c>
      <c r="O1176" s="26">
        <f>uurtarief106</f>
        <v>0</v>
      </c>
      <c r="P1176" s="93" t="e">
        <f>IF(ISBLANK(M1176),0,L1176/ROUND(M1176,4))</f>
        <v>#DIV/0!</v>
      </c>
      <c r="Q1176" s="26" t="e">
        <f>ROUND(O1176,2)*P1176</f>
        <v>#DIV/0!</v>
      </c>
      <c r="R1176" s="93" t="e">
        <f>P1176*dagenperjaar1</f>
        <v>#DIV/0!</v>
      </c>
      <c r="S1176" s="27" t="e">
        <f>R1176*ROUND(O1176,2)</f>
        <v>#DIV/0!</v>
      </c>
    </row>
    <row r="1177" spans="1:19" x14ac:dyDescent="0.2">
      <c r="A1177" s="90" t="s">
        <v>1155</v>
      </c>
      <c r="B1177" s="91" t="s">
        <v>35</v>
      </c>
      <c r="C1177" s="91" t="s">
        <v>313</v>
      </c>
      <c r="D1177" s="91" t="s">
        <v>324</v>
      </c>
      <c r="E1177" s="92" t="s">
        <v>447</v>
      </c>
      <c r="F1177" s="91" t="s">
        <v>329</v>
      </c>
      <c r="G1177" s="91" t="s">
        <v>239</v>
      </c>
      <c r="H1177" s="91" t="s">
        <v>13</v>
      </c>
      <c r="I1177" s="91" t="s">
        <v>235</v>
      </c>
      <c r="J1177" s="92" t="s">
        <v>240</v>
      </c>
      <c r="K1177" s="93">
        <v>15.6</v>
      </c>
      <c r="L1177" s="93">
        <f>K1177*VLOOKUP(H1177,dagsoorttabel1,2,FALSE)</f>
        <v>3.12</v>
      </c>
      <c r="M1177" s="94">
        <f>prodnorm53</f>
        <v>0</v>
      </c>
      <c r="N1177" s="91" t="s">
        <v>101</v>
      </c>
      <c r="O1177" s="26">
        <f>uurtarief53</f>
        <v>0</v>
      </c>
      <c r="P1177" s="93" t="e">
        <f>IF(ISBLANK(M1177),0,L1177/ROUND(M1177,4))</f>
        <v>#DIV/0!</v>
      </c>
      <c r="Q1177" s="26" t="e">
        <f>ROUND(O1177,2)*P1177</f>
        <v>#DIV/0!</v>
      </c>
      <c r="R1177" s="93" t="e">
        <f>P1177*dagenperjaar1</f>
        <v>#DIV/0!</v>
      </c>
      <c r="S1177" s="27" t="e">
        <f>R1177*ROUND(O1177,2)</f>
        <v>#DIV/0!</v>
      </c>
    </row>
    <row r="1178" spans="1:19" x14ac:dyDescent="0.2">
      <c r="A1178" s="90" t="s">
        <v>1155</v>
      </c>
      <c r="B1178" s="91" t="s">
        <v>35</v>
      </c>
      <c r="C1178" s="91" t="s">
        <v>313</v>
      </c>
      <c r="D1178" s="91" t="s">
        <v>325</v>
      </c>
      <c r="E1178" s="92" t="s">
        <v>1157</v>
      </c>
      <c r="F1178" s="91" t="s">
        <v>347</v>
      </c>
      <c r="G1178" s="91" t="s">
        <v>352</v>
      </c>
      <c r="H1178" s="91"/>
      <c r="I1178" s="91"/>
      <c r="J1178" s="91"/>
      <c r="K1178" s="93">
        <v>5.9</v>
      </c>
      <c r="L1178" s="93"/>
      <c r="M1178" s="94"/>
      <c r="N1178" s="91"/>
      <c r="O1178" s="26"/>
      <c r="P1178" s="93"/>
      <c r="Q1178" s="26"/>
      <c r="R1178" s="95"/>
      <c r="S1178" s="27"/>
    </row>
    <row r="1179" spans="1:19" x14ac:dyDescent="0.2">
      <c r="A1179" s="90" t="s">
        <v>1155</v>
      </c>
      <c r="B1179" s="91" t="s">
        <v>35</v>
      </c>
      <c r="C1179" s="91" t="s">
        <v>313</v>
      </c>
      <c r="D1179" s="91" t="s">
        <v>327</v>
      </c>
      <c r="E1179" s="92" t="s">
        <v>366</v>
      </c>
      <c r="F1179" s="91" t="s">
        <v>347</v>
      </c>
      <c r="G1179" s="91" t="s">
        <v>352</v>
      </c>
      <c r="H1179" s="91"/>
      <c r="I1179" s="91"/>
      <c r="J1179" s="91"/>
      <c r="K1179" s="93">
        <v>12.1</v>
      </c>
      <c r="L1179" s="93"/>
      <c r="M1179" s="94"/>
      <c r="N1179" s="91"/>
      <c r="O1179" s="26"/>
      <c r="P1179" s="93"/>
      <c r="Q1179" s="26"/>
      <c r="R1179" s="95"/>
      <c r="S1179" s="27"/>
    </row>
    <row r="1180" spans="1:19" x14ac:dyDescent="0.2">
      <c r="A1180" s="90" t="s">
        <v>1155</v>
      </c>
      <c r="B1180" s="91" t="s">
        <v>35</v>
      </c>
      <c r="C1180" s="91" t="s">
        <v>313</v>
      </c>
      <c r="D1180" s="91" t="s">
        <v>330</v>
      </c>
      <c r="E1180" s="92" t="s">
        <v>321</v>
      </c>
      <c r="F1180" s="91" t="s">
        <v>329</v>
      </c>
      <c r="G1180" s="91" t="s">
        <v>283</v>
      </c>
      <c r="H1180" s="91" t="s">
        <v>13</v>
      </c>
      <c r="I1180" s="91" t="s">
        <v>235</v>
      </c>
      <c r="J1180" s="92" t="s">
        <v>284</v>
      </c>
      <c r="K1180" s="93">
        <v>2.23</v>
      </c>
      <c r="L1180" s="93">
        <f>K1180*VLOOKUP(H1180,dagsoorttabel1,2,FALSE)</f>
        <v>0.44600000000000001</v>
      </c>
      <c r="M1180" s="94">
        <f>prodnorm106</f>
        <v>0</v>
      </c>
      <c r="N1180" s="91" t="s">
        <v>101</v>
      </c>
      <c r="O1180" s="26">
        <f>uurtarief106</f>
        <v>0</v>
      </c>
      <c r="P1180" s="93" t="e">
        <f>IF(ISBLANK(M1180),0,L1180/ROUND(M1180,4))</f>
        <v>#DIV/0!</v>
      </c>
      <c r="Q1180" s="26" t="e">
        <f>ROUND(O1180,2)*P1180</f>
        <v>#DIV/0!</v>
      </c>
      <c r="R1180" s="93" t="e">
        <f>P1180*dagenperjaar1</f>
        <v>#DIV/0!</v>
      </c>
      <c r="S1180" s="27" t="e">
        <f>R1180*ROUND(O1180,2)</f>
        <v>#DIV/0!</v>
      </c>
    </row>
    <row r="1181" spans="1:19" x14ac:dyDescent="0.2">
      <c r="A1181" s="90" t="s">
        <v>1155</v>
      </c>
      <c r="B1181" s="91" t="s">
        <v>35</v>
      </c>
      <c r="C1181" s="91" t="s">
        <v>313</v>
      </c>
      <c r="D1181" s="91" t="s">
        <v>332</v>
      </c>
      <c r="E1181" s="92" t="s">
        <v>331</v>
      </c>
      <c r="F1181" s="91" t="s">
        <v>316</v>
      </c>
      <c r="G1181" s="91" t="s">
        <v>279</v>
      </c>
      <c r="H1181" s="91" t="s">
        <v>13</v>
      </c>
      <c r="I1181" s="91" t="s">
        <v>235</v>
      </c>
      <c r="J1181" s="92" t="s">
        <v>280</v>
      </c>
      <c r="K1181" s="93">
        <v>13.3</v>
      </c>
      <c r="L1181" s="93">
        <f>K1181*VLOOKUP(H1181,dagsoorttabel1,2,FALSE)</f>
        <v>2.66</v>
      </c>
      <c r="M1181" s="94">
        <f>prodnorm100</f>
        <v>0</v>
      </c>
      <c r="N1181" s="91" t="s">
        <v>101</v>
      </c>
      <c r="O1181" s="26">
        <f>uurtarief100</f>
        <v>0</v>
      </c>
      <c r="P1181" s="93" t="e">
        <f>IF(ISBLANK(M1181),0,L1181/ROUND(M1181,4))</f>
        <v>#DIV/0!</v>
      </c>
      <c r="Q1181" s="26" t="e">
        <f>ROUND(O1181,2)*P1181</f>
        <v>#DIV/0!</v>
      </c>
      <c r="R1181" s="93" t="e">
        <f>P1181*dagenperjaar1</f>
        <v>#DIV/0!</v>
      </c>
      <c r="S1181" s="27" t="e">
        <f>R1181*ROUND(O1181,2)</f>
        <v>#DIV/0!</v>
      </c>
    </row>
    <row r="1182" spans="1:19" x14ac:dyDescent="0.2">
      <c r="A1182" s="90" t="s">
        <v>1155</v>
      </c>
      <c r="B1182" s="91" t="s">
        <v>35</v>
      </c>
      <c r="C1182" s="91" t="s">
        <v>313</v>
      </c>
      <c r="D1182" s="91" t="s">
        <v>334</v>
      </c>
      <c r="E1182" s="92" t="s">
        <v>377</v>
      </c>
      <c r="F1182" s="91" t="s">
        <v>316</v>
      </c>
      <c r="G1182" s="91" t="s">
        <v>279</v>
      </c>
      <c r="H1182" s="91" t="s">
        <v>13</v>
      </c>
      <c r="I1182" s="91" t="s">
        <v>235</v>
      </c>
      <c r="J1182" s="92" t="s">
        <v>280</v>
      </c>
      <c r="K1182" s="93">
        <v>9.6</v>
      </c>
      <c r="L1182" s="93">
        <f>K1182*VLOOKUP(H1182,dagsoorttabel1,2,FALSE)</f>
        <v>1.92</v>
      </c>
      <c r="M1182" s="94">
        <f>prodnorm100</f>
        <v>0</v>
      </c>
      <c r="N1182" s="91" t="s">
        <v>101</v>
      </c>
      <c r="O1182" s="26">
        <f>uurtarief100</f>
        <v>0</v>
      </c>
      <c r="P1182" s="93" t="e">
        <f>IF(ISBLANK(M1182),0,L1182/ROUND(M1182,4))</f>
        <v>#DIV/0!</v>
      </c>
      <c r="Q1182" s="26" t="e">
        <f>ROUND(O1182,2)*P1182</f>
        <v>#DIV/0!</v>
      </c>
      <c r="R1182" s="93" t="e">
        <f>P1182*dagenperjaar1</f>
        <v>#DIV/0!</v>
      </c>
      <c r="S1182" s="27" t="e">
        <f>R1182*ROUND(O1182,2)</f>
        <v>#DIV/0!</v>
      </c>
    </row>
    <row r="1183" spans="1:19" x14ac:dyDescent="0.2">
      <c r="A1183" s="90" t="s">
        <v>1155</v>
      </c>
      <c r="B1183" s="91" t="s">
        <v>35</v>
      </c>
      <c r="C1183" s="91" t="s">
        <v>313</v>
      </c>
      <c r="D1183" s="91" t="s">
        <v>336</v>
      </c>
      <c r="E1183" s="92" t="s">
        <v>882</v>
      </c>
      <c r="F1183" s="91" t="s">
        <v>329</v>
      </c>
      <c r="G1183" s="91" t="s">
        <v>270</v>
      </c>
      <c r="H1183" s="91" t="s">
        <v>13</v>
      </c>
      <c r="I1183" s="91" t="s">
        <v>235</v>
      </c>
      <c r="J1183" s="92" t="s">
        <v>271</v>
      </c>
      <c r="K1183" s="93">
        <v>75</v>
      </c>
      <c r="L1183" s="93">
        <f>K1183*VLOOKUP(H1183,dagsoorttabel1,2,FALSE)</f>
        <v>15</v>
      </c>
      <c r="M1183" s="94">
        <f>prodnorm89</f>
        <v>0</v>
      </c>
      <c r="N1183" s="91" t="s">
        <v>101</v>
      </c>
      <c r="O1183" s="26">
        <f>uurtarief89</f>
        <v>0</v>
      </c>
      <c r="P1183" s="93" t="e">
        <f>IF(ISBLANK(M1183),0,L1183/ROUND(M1183,4))</f>
        <v>#DIV/0!</v>
      </c>
      <c r="Q1183" s="26" t="e">
        <f>ROUND(O1183,2)*P1183</f>
        <v>#DIV/0!</v>
      </c>
      <c r="R1183" s="93" t="e">
        <f>P1183*dagenperjaar1</f>
        <v>#DIV/0!</v>
      </c>
      <c r="S1183" s="27" t="e">
        <f>R1183*ROUND(O1183,2)</f>
        <v>#DIV/0!</v>
      </c>
    </row>
    <row r="1184" spans="1:19" x14ac:dyDescent="0.2">
      <c r="A1184" s="90" t="s">
        <v>1155</v>
      </c>
      <c r="B1184" s="91" t="s">
        <v>35</v>
      </c>
      <c r="C1184" s="91" t="s">
        <v>313</v>
      </c>
      <c r="D1184" s="91" t="s">
        <v>338</v>
      </c>
      <c r="E1184" s="92" t="s">
        <v>403</v>
      </c>
      <c r="F1184" s="91" t="s">
        <v>316</v>
      </c>
      <c r="G1184" s="91" t="s">
        <v>270</v>
      </c>
      <c r="H1184" s="91" t="s">
        <v>13</v>
      </c>
      <c r="I1184" s="91" t="s">
        <v>235</v>
      </c>
      <c r="J1184" s="92" t="s">
        <v>271</v>
      </c>
      <c r="K1184" s="93">
        <v>11.7</v>
      </c>
      <c r="L1184" s="93">
        <f>K1184*VLOOKUP(H1184,dagsoorttabel1,2,FALSE)</f>
        <v>2.34</v>
      </c>
      <c r="M1184" s="94">
        <f>prodnorm89</f>
        <v>0</v>
      </c>
      <c r="N1184" s="91" t="s">
        <v>101</v>
      </c>
      <c r="O1184" s="26">
        <f>uurtarief89</f>
        <v>0</v>
      </c>
      <c r="P1184" s="93" t="e">
        <f>IF(ISBLANK(M1184),0,L1184/ROUND(M1184,4))</f>
        <v>#DIV/0!</v>
      </c>
      <c r="Q1184" s="26" t="e">
        <f>ROUND(O1184,2)*P1184</f>
        <v>#DIV/0!</v>
      </c>
      <c r="R1184" s="93" t="e">
        <f>P1184*dagenperjaar1</f>
        <v>#DIV/0!</v>
      </c>
      <c r="S1184" s="27" t="e">
        <f>R1184*ROUND(O1184,2)</f>
        <v>#DIV/0!</v>
      </c>
    </row>
    <row r="1185" spans="1:19" x14ac:dyDescent="0.2">
      <c r="A1185" s="90" t="s">
        <v>1155</v>
      </c>
      <c r="B1185" s="91" t="s">
        <v>35</v>
      </c>
      <c r="C1185" s="91" t="s">
        <v>313</v>
      </c>
      <c r="D1185" s="91" t="s">
        <v>339</v>
      </c>
      <c r="E1185" s="92" t="s">
        <v>349</v>
      </c>
      <c r="F1185" s="91" t="s">
        <v>316</v>
      </c>
      <c r="G1185" s="91" t="s">
        <v>266</v>
      </c>
      <c r="H1185" s="91" t="s">
        <v>13</v>
      </c>
      <c r="I1185" s="91" t="s">
        <v>235</v>
      </c>
      <c r="J1185" s="92" t="s">
        <v>267</v>
      </c>
      <c r="K1185" s="93">
        <v>8.4</v>
      </c>
      <c r="L1185" s="93">
        <f>K1185*VLOOKUP(H1185,dagsoorttabel1,2,FALSE)</f>
        <v>1.6800000000000002</v>
      </c>
      <c r="M1185" s="94">
        <f>prodnorm83</f>
        <v>0</v>
      </c>
      <c r="N1185" s="91" t="s">
        <v>101</v>
      </c>
      <c r="O1185" s="26">
        <f>uurtarief83</f>
        <v>0</v>
      </c>
      <c r="P1185" s="93" t="e">
        <f>IF(ISBLANK(M1185),0,L1185/ROUND(M1185,4))</f>
        <v>#DIV/0!</v>
      </c>
      <c r="Q1185" s="26" t="e">
        <f>ROUND(O1185,2)*P1185</f>
        <v>#DIV/0!</v>
      </c>
      <c r="R1185" s="93" t="e">
        <f>P1185*dagenperjaar1</f>
        <v>#DIV/0!</v>
      </c>
      <c r="S1185" s="27" t="e">
        <f>R1185*ROUND(O1185,2)</f>
        <v>#DIV/0!</v>
      </c>
    </row>
    <row r="1186" spans="1:19" x14ac:dyDescent="0.2">
      <c r="A1186" s="90" t="s">
        <v>1155</v>
      </c>
      <c r="B1186" s="91" t="s">
        <v>35</v>
      </c>
      <c r="C1186" s="91" t="s">
        <v>313</v>
      </c>
      <c r="D1186" s="91" t="s">
        <v>341</v>
      </c>
      <c r="E1186" s="92" t="s">
        <v>404</v>
      </c>
      <c r="F1186" s="91" t="s">
        <v>361</v>
      </c>
      <c r="G1186" s="91" t="s">
        <v>260</v>
      </c>
      <c r="H1186" s="91" t="s">
        <v>13</v>
      </c>
      <c r="I1186" s="91" t="s">
        <v>235</v>
      </c>
      <c r="J1186" s="92" t="s">
        <v>261</v>
      </c>
      <c r="K1186" s="93">
        <v>62.6</v>
      </c>
      <c r="L1186" s="93">
        <f>K1186*VLOOKUP(H1186,dagsoorttabel1,2,FALSE)</f>
        <v>12.520000000000001</v>
      </c>
      <c r="M1186" s="94">
        <f>prodnorm75</f>
        <v>0</v>
      </c>
      <c r="N1186" s="91" t="s">
        <v>101</v>
      </c>
      <c r="O1186" s="26">
        <f>uurtarief75</f>
        <v>0</v>
      </c>
      <c r="P1186" s="93" t="e">
        <f>IF(ISBLANK(M1186),0,L1186/ROUND(M1186,4))</f>
        <v>#DIV/0!</v>
      </c>
      <c r="Q1186" s="26" t="e">
        <f>ROUND(O1186,2)*P1186</f>
        <v>#DIV/0!</v>
      </c>
      <c r="R1186" s="93" t="e">
        <f>P1186*dagenperjaar1</f>
        <v>#DIV/0!</v>
      </c>
      <c r="S1186" s="27" t="e">
        <f>R1186*ROUND(O1186,2)</f>
        <v>#DIV/0!</v>
      </c>
    </row>
    <row r="1187" spans="1:19" x14ac:dyDescent="0.2">
      <c r="A1187" s="90" t="s">
        <v>1155</v>
      </c>
      <c r="B1187" s="91" t="s">
        <v>35</v>
      </c>
      <c r="C1187" s="91" t="s">
        <v>313</v>
      </c>
      <c r="D1187" s="91" t="s">
        <v>372</v>
      </c>
      <c r="E1187" s="92" t="s">
        <v>1158</v>
      </c>
      <c r="F1187" s="91" t="s">
        <v>385</v>
      </c>
      <c r="G1187" s="91" t="s">
        <v>252</v>
      </c>
      <c r="H1187" s="91" t="s">
        <v>21</v>
      </c>
      <c r="I1187" s="91" t="s">
        <v>235</v>
      </c>
      <c r="J1187" s="92" t="s">
        <v>253</v>
      </c>
      <c r="K1187" s="93">
        <v>263.7</v>
      </c>
      <c r="L1187" s="93">
        <f>K1187*VLOOKUP(H1187,dagsoorttabel1,2,FALSE)</f>
        <v>1.0142307692307693</v>
      </c>
      <c r="M1187" s="94">
        <f>prodnorm67</f>
        <v>0</v>
      </c>
      <c r="N1187" s="91" t="s">
        <v>101</v>
      </c>
      <c r="O1187" s="26">
        <f>uurtarief67</f>
        <v>0</v>
      </c>
      <c r="P1187" s="93" t="e">
        <f>IF(ISBLANK(M1187),0,L1187/ROUND(M1187,4))</f>
        <v>#DIV/0!</v>
      </c>
      <c r="Q1187" s="26" t="e">
        <f>ROUND(O1187,2)*P1187</f>
        <v>#DIV/0!</v>
      </c>
      <c r="R1187" s="93" t="e">
        <f>P1187*dagenperjaar1</f>
        <v>#DIV/0!</v>
      </c>
      <c r="S1187" s="27" t="e">
        <f>R1187*ROUND(O1187,2)</f>
        <v>#DIV/0!</v>
      </c>
    </row>
    <row r="1188" spans="1:19" x14ac:dyDescent="0.2">
      <c r="A1188" s="90" t="s">
        <v>1155</v>
      </c>
      <c r="B1188" s="91" t="s">
        <v>35</v>
      </c>
      <c r="C1188" s="91" t="s">
        <v>313</v>
      </c>
      <c r="D1188" s="91" t="s">
        <v>391</v>
      </c>
      <c r="E1188" s="92" t="s">
        <v>1159</v>
      </c>
      <c r="F1188" s="91" t="s">
        <v>329</v>
      </c>
      <c r="G1188" s="91" t="s">
        <v>352</v>
      </c>
      <c r="H1188" s="91"/>
      <c r="I1188" s="91"/>
      <c r="J1188" s="91"/>
      <c r="K1188" s="93">
        <v>13.1</v>
      </c>
      <c r="L1188" s="93"/>
      <c r="M1188" s="94"/>
      <c r="N1188" s="91"/>
      <c r="O1188" s="26"/>
      <c r="P1188" s="93"/>
      <c r="Q1188" s="26"/>
      <c r="R1188" s="95"/>
      <c r="S1188" s="27"/>
    </row>
    <row r="1189" spans="1:19" x14ac:dyDescent="0.2">
      <c r="A1189" s="90" t="s">
        <v>1155</v>
      </c>
      <c r="B1189" s="91" t="s">
        <v>35</v>
      </c>
      <c r="C1189" s="91" t="s">
        <v>313</v>
      </c>
      <c r="D1189" s="91" t="s">
        <v>392</v>
      </c>
      <c r="E1189" s="92" t="s">
        <v>1160</v>
      </c>
      <c r="F1189" s="91" t="s">
        <v>385</v>
      </c>
      <c r="G1189" s="91" t="s">
        <v>352</v>
      </c>
      <c r="H1189" s="91"/>
      <c r="I1189" s="91"/>
      <c r="J1189" s="91"/>
      <c r="K1189" s="93">
        <v>3.4499999999999997</v>
      </c>
      <c r="L1189" s="93"/>
      <c r="M1189" s="94"/>
      <c r="N1189" s="91"/>
      <c r="O1189" s="26"/>
      <c r="P1189" s="93"/>
      <c r="Q1189" s="26"/>
      <c r="R1189" s="95"/>
      <c r="S1189" s="27"/>
    </row>
    <row r="1190" spans="1:19" x14ac:dyDescent="0.2">
      <c r="A1190" s="90" t="s">
        <v>1155</v>
      </c>
      <c r="B1190" s="91" t="s">
        <v>35</v>
      </c>
      <c r="C1190" s="91" t="s">
        <v>313</v>
      </c>
      <c r="D1190" s="91" t="s">
        <v>393</v>
      </c>
      <c r="E1190" s="92" t="s">
        <v>342</v>
      </c>
      <c r="F1190" s="91" t="s">
        <v>385</v>
      </c>
      <c r="G1190" s="91" t="s">
        <v>352</v>
      </c>
      <c r="H1190" s="91"/>
      <c r="I1190" s="91"/>
      <c r="J1190" s="91"/>
      <c r="K1190" s="93">
        <v>43.9</v>
      </c>
      <c r="L1190" s="93"/>
      <c r="M1190" s="94"/>
      <c r="N1190" s="91"/>
      <c r="O1190" s="26"/>
      <c r="P1190" s="93"/>
      <c r="Q1190" s="26"/>
      <c r="R1190" s="95"/>
      <c r="S1190" s="27"/>
    </row>
    <row r="1191" spans="1:19" x14ac:dyDescent="0.2">
      <c r="A1191" s="90" t="s">
        <v>1155</v>
      </c>
      <c r="B1191" s="91" t="s">
        <v>35</v>
      </c>
      <c r="C1191" s="91" t="s">
        <v>313</v>
      </c>
      <c r="D1191" s="91" t="s">
        <v>394</v>
      </c>
      <c r="E1191" s="92" t="s">
        <v>480</v>
      </c>
      <c r="F1191" s="91" t="s">
        <v>316</v>
      </c>
      <c r="G1191" s="91" t="s">
        <v>277</v>
      </c>
      <c r="H1191" s="91" t="s">
        <v>13</v>
      </c>
      <c r="I1191" s="91" t="s">
        <v>235</v>
      </c>
      <c r="J1191" s="92" t="s">
        <v>278</v>
      </c>
      <c r="K1191" s="93">
        <v>9.1</v>
      </c>
      <c r="L1191" s="93">
        <f>K1191*VLOOKUP(H1191,dagsoorttabel1,2,FALSE)</f>
        <v>1.82</v>
      </c>
      <c r="M1191" s="94">
        <f>prodnorm97</f>
        <v>0</v>
      </c>
      <c r="N1191" s="91" t="s">
        <v>101</v>
      </c>
      <c r="O1191" s="26">
        <f>uurtarief97</f>
        <v>0</v>
      </c>
      <c r="P1191" s="93" t="e">
        <f>IF(ISBLANK(M1191),0,L1191/ROUND(M1191,4))</f>
        <v>#DIV/0!</v>
      </c>
      <c r="Q1191" s="26" t="e">
        <f>ROUND(O1191,2)*P1191</f>
        <v>#DIV/0!</v>
      </c>
      <c r="R1191" s="93" t="e">
        <f>P1191*dagenperjaar1</f>
        <v>#DIV/0!</v>
      </c>
      <c r="S1191" s="27" t="e">
        <f>R1191*ROUND(O1191,2)</f>
        <v>#DIV/0!</v>
      </c>
    </row>
    <row r="1192" spans="1:19" x14ac:dyDescent="0.2">
      <c r="A1192" s="90" t="s">
        <v>1155</v>
      </c>
      <c r="B1192" s="91" t="s">
        <v>35</v>
      </c>
      <c r="C1192" s="91" t="s">
        <v>313</v>
      </c>
      <c r="D1192" s="91" t="s">
        <v>395</v>
      </c>
      <c r="E1192" s="92" t="s">
        <v>477</v>
      </c>
      <c r="F1192" s="91" t="s">
        <v>316</v>
      </c>
      <c r="G1192" s="91" t="s">
        <v>277</v>
      </c>
      <c r="H1192" s="91" t="s">
        <v>13</v>
      </c>
      <c r="I1192" s="91" t="s">
        <v>235</v>
      </c>
      <c r="J1192" s="92" t="s">
        <v>278</v>
      </c>
      <c r="K1192" s="93">
        <v>22.25</v>
      </c>
      <c r="L1192" s="93">
        <f>K1192*VLOOKUP(H1192,dagsoorttabel1,2,FALSE)</f>
        <v>4.45</v>
      </c>
      <c r="M1192" s="94">
        <f>prodnorm97</f>
        <v>0</v>
      </c>
      <c r="N1192" s="91" t="s">
        <v>101</v>
      </c>
      <c r="O1192" s="26">
        <f>uurtarief97</f>
        <v>0</v>
      </c>
      <c r="P1192" s="93" t="e">
        <f>IF(ISBLANK(M1192),0,L1192/ROUND(M1192,4))</f>
        <v>#DIV/0!</v>
      </c>
      <c r="Q1192" s="26" t="e">
        <f>ROUND(O1192,2)*P1192</f>
        <v>#DIV/0!</v>
      </c>
      <c r="R1192" s="93" t="e">
        <f>P1192*dagenperjaar1</f>
        <v>#DIV/0!</v>
      </c>
      <c r="S1192" s="27" t="e">
        <f>R1192*ROUND(O1192,2)</f>
        <v>#DIV/0!</v>
      </c>
    </row>
    <row r="1193" spans="1:19" x14ac:dyDescent="0.2">
      <c r="A1193" s="90" t="s">
        <v>1155</v>
      </c>
      <c r="B1193" s="91" t="s">
        <v>35</v>
      </c>
      <c r="C1193" s="91" t="s">
        <v>313</v>
      </c>
      <c r="D1193" s="91" t="s">
        <v>397</v>
      </c>
      <c r="E1193" s="92" t="s">
        <v>373</v>
      </c>
      <c r="F1193" s="91" t="s">
        <v>385</v>
      </c>
      <c r="G1193" s="91" t="s">
        <v>277</v>
      </c>
      <c r="H1193" s="91" t="s">
        <v>13</v>
      </c>
      <c r="I1193" s="91" t="s">
        <v>235</v>
      </c>
      <c r="J1193" s="92" t="s">
        <v>278</v>
      </c>
      <c r="K1193" s="93">
        <v>43.9</v>
      </c>
      <c r="L1193" s="93">
        <f>K1193*VLOOKUP(H1193,dagsoorttabel1,2,FALSE)</f>
        <v>8.7799999999999994</v>
      </c>
      <c r="M1193" s="94">
        <f>prodnorm97</f>
        <v>0</v>
      </c>
      <c r="N1193" s="91" t="s">
        <v>101</v>
      </c>
      <c r="O1193" s="26">
        <f>uurtarief97</f>
        <v>0</v>
      </c>
      <c r="P1193" s="93" t="e">
        <f>IF(ISBLANK(M1193),0,L1193/ROUND(M1193,4))</f>
        <v>#DIV/0!</v>
      </c>
      <c r="Q1193" s="26" t="e">
        <f>ROUND(O1193,2)*P1193</f>
        <v>#DIV/0!</v>
      </c>
      <c r="R1193" s="93" t="e">
        <f>P1193*dagenperjaar1</f>
        <v>#DIV/0!</v>
      </c>
      <c r="S1193" s="27" t="e">
        <f>R1193*ROUND(O1193,2)</f>
        <v>#DIV/0!</v>
      </c>
    </row>
    <row r="1194" spans="1:19" x14ac:dyDescent="0.2">
      <c r="A1194" s="90" t="s">
        <v>1155</v>
      </c>
      <c r="B1194" s="91" t="s">
        <v>35</v>
      </c>
      <c r="C1194" s="91" t="s">
        <v>343</v>
      </c>
      <c r="D1194" s="91" t="s">
        <v>344</v>
      </c>
      <c r="E1194" s="92" t="s">
        <v>367</v>
      </c>
      <c r="F1194" s="91" t="s">
        <v>387</v>
      </c>
      <c r="G1194" s="91" t="s">
        <v>285</v>
      </c>
      <c r="H1194" s="91" t="s">
        <v>13</v>
      </c>
      <c r="I1194" s="91" t="s">
        <v>235</v>
      </c>
      <c r="J1194" s="92" t="s">
        <v>286</v>
      </c>
      <c r="K1194" s="93">
        <v>20.7</v>
      </c>
      <c r="L1194" s="93">
        <f>K1194*VLOOKUP(H1194,dagsoorttabel1,2,FALSE)</f>
        <v>4.1399999999999997</v>
      </c>
      <c r="M1194" s="94">
        <f>prodnorm109</f>
        <v>0</v>
      </c>
      <c r="N1194" s="91" t="s">
        <v>101</v>
      </c>
      <c r="O1194" s="26">
        <f>uurtarief109</f>
        <v>0</v>
      </c>
      <c r="P1194" s="93" t="e">
        <f>IF(ISBLANK(M1194),0,L1194/ROUND(M1194,4))</f>
        <v>#DIV/0!</v>
      </c>
      <c r="Q1194" s="26" t="e">
        <f>ROUND(O1194,2)*P1194</f>
        <v>#DIV/0!</v>
      </c>
      <c r="R1194" s="93" t="e">
        <f>P1194*dagenperjaar1</f>
        <v>#DIV/0!</v>
      </c>
      <c r="S1194" s="27" t="e">
        <f>R1194*ROUND(O1194,2)</f>
        <v>#DIV/0!</v>
      </c>
    </row>
    <row r="1195" spans="1:19" x14ac:dyDescent="0.2">
      <c r="A1195" s="90" t="s">
        <v>1155</v>
      </c>
      <c r="B1195" s="91" t="s">
        <v>35</v>
      </c>
      <c r="C1195" s="91" t="s">
        <v>343</v>
      </c>
      <c r="D1195" s="91" t="s">
        <v>345</v>
      </c>
      <c r="E1195" s="92" t="s">
        <v>447</v>
      </c>
      <c r="F1195" s="91" t="s">
        <v>387</v>
      </c>
      <c r="G1195" s="91" t="s">
        <v>241</v>
      </c>
      <c r="H1195" s="91" t="s">
        <v>13</v>
      </c>
      <c r="I1195" s="91" t="s">
        <v>235</v>
      </c>
      <c r="J1195" s="92" t="s">
        <v>242</v>
      </c>
      <c r="K1195" s="93">
        <v>35.1</v>
      </c>
      <c r="L1195" s="93">
        <f>K1195*VLOOKUP(H1195,dagsoorttabel1,2,FALSE)</f>
        <v>7.0200000000000005</v>
      </c>
      <c r="M1195" s="94">
        <f>prodnorm56</f>
        <v>0</v>
      </c>
      <c r="N1195" s="91" t="s">
        <v>101</v>
      </c>
      <c r="O1195" s="26">
        <f>uurtarief56</f>
        <v>0</v>
      </c>
      <c r="P1195" s="93" t="e">
        <f>IF(ISBLANK(M1195),0,L1195/ROUND(M1195,4))</f>
        <v>#DIV/0!</v>
      </c>
      <c r="Q1195" s="26" t="e">
        <f>ROUND(O1195,2)*P1195</f>
        <v>#DIV/0!</v>
      </c>
      <c r="R1195" s="93" t="e">
        <f>P1195*dagenperjaar1</f>
        <v>#DIV/0!</v>
      </c>
      <c r="S1195" s="27" t="e">
        <f>R1195*ROUND(O1195,2)</f>
        <v>#DIV/0!</v>
      </c>
    </row>
    <row r="1196" spans="1:19" x14ac:dyDescent="0.2">
      <c r="A1196" s="90" t="s">
        <v>1155</v>
      </c>
      <c r="B1196" s="91" t="s">
        <v>35</v>
      </c>
      <c r="C1196" s="91" t="s">
        <v>343</v>
      </c>
      <c r="D1196" s="91" t="s">
        <v>348</v>
      </c>
      <c r="E1196" s="92" t="s">
        <v>1161</v>
      </c>
      <c r="F1196" s="91" t="s">
        <v>316</v>
      </c>
      <c r="G1196" s="91" t="s">
        <v>279</v>
      </c>
      <c r="H1196" s="91" t="s">
        <v>13</v>
      </c>
      <c r="I1196" s="91" t="s">
        <v>235</v>
      </c>
      <c r="J1196" s="92" t="s">
        <v>280</v>
      </c>
      <c r="K1196" s="93">
        <v>5.9</v>
      </c>
      <c r="L1196" s="93">
        <f>K1196*VLOOKUP(H1196,dagsoorttabel1,2,FALSE)</f>
        <v>1.1800000000000002</v>
      </c>
      <c r="M1196" s="94">
        <f>prodnorm100</f>
        <v>0</v>
      </c>
      <c r="N1196" s="91" t="s">
        <v>101</v>
      </c>
      <c r="O1196" s="26">
        <f>uurtarief100</f>
        <v>0</v>
      </c>
      <c r="P1196" s="93" t="e">
        <f>IF(ISBLANK(M1196),0,L1196/ROUND(M1196,4))</f>
        <v>#DIV/0!</v>
      </c>
      <c r="Q1196" s="26" t="e">
        <f>ROUND(O1196,2)*P1196</f>
        <v>#DIV/0!</v>
      </c>
      <c r="R1196" s="93" t="e">
        <f>P1196*dagenperjaar1</f>
        <v>#DIV/0!</v>
      </c>
      <c r="S1196" s="27" t="e">
        <f>R1196*ROUND(O1196,2)</f>
        <v>#DIV/0!</v>
      </c>
    </row>
    <row r="1197" spans="1:19" x14ac:dyDescent="0.2">
      <c r="A1197" s="90" t="s">
        <v>1155</v>
      </c>
      <c r="B1197" s="91" t="s">
        <v>35</v>
      </c>
      <c r="C1197" s="91" t="s">
        <v>343</v>
      </c>
      <c r="D1197" s="91" t="s">
        <v>350</v>
      </c>
      <c r="E1197" s="92" t="s">
        <v>1133</v>
      </c>
      <c r="F1197" s="91" t="s">
        <v>385</v>
      </c>
      <c r="G1197" s="91" t="s">
        <v>352</v>
      </c>
      <c r="H1197" s="91"/>
      <c r="I1197" s="91"/>
      <c r="J1197" s="91"/>
      <c r="K1197" s="93">
        <v>11.4</v>
      </c>
      <c r="L1197" s="93"/>
      <c r="M1197" s="94"/>
      <c r="N1197" s="91"/>
      <c r="O1197" s="26"/>
      <c r="P1197" s="93"/>
      <c r="Q1197" s="26"/>
      <c r="R1197" s="95"/>
      <c r="S1197" s="27"/>
    </row>
    <row r="1198" spans="1:19" x14ac:dyDescent="0.2">
      <c r="A1198" s="96" t="s">
        <v>1155</v>
      </c>
      <c r="B1198" s="97" t="s">
        <v>35</v>
      </c>
      <c r="C1198" s="97" t="s">
        <v>343</v>
      </c>
      <c r="D1198" s="97" t="s">
        <v>353</v>
      </c>
      <c r="E1198" s="98" t="s">
        <v>1162</v>
      </c>
      <c r="F1198" s="97" t="s">
        <v>387</v>
      </c>
      <c r="G1198" s="97" t="s">
        <v>262</v>
      </c>
      <c r="H1198" s="97" t="s">
        <v>13</v>
      </c>
      <c r="I1198" s="97" t="s">
        <v>235</v>
      </c>
      <c r="J1198" s="98" t="s">
        <v>263</v>
      </c>
      <c r="K1198" s="99">
        <v>23.6</v>
      </c>
      <c r="L1198" s="99">
        <f>K1198*VLOOKUP(H1198,dagsoorttabel1,2,FALSE)</f>
        <v>4.7200000000000006</v>
      </c>
      <c r="M1198" s="100">
        <f>prodnorm78</f>
        <v>0</v>
      </c>
      <c r="N1198" s="97" t="s">
        <v>101</v>
      </c>
      <c r="O1198" s="36">
        <f>uurtarief78</f>
        <v>0</v>
      </c>
      <c r="P1198" s="99" t="e">
        <f>IF(ISBLANK(M1198),0,L1198/ROUND(M1198,4))</f>
        <v>#DIV/0!</v>
      </c>
      <c r="Q1198" s="36" t="e">
        <f>ROUND(O1198,2)*P1198</f>
        <v>#DIV/0!</v>
      </c>
      <c r="R1198" s="99" t="e">
        <f>P1198*dagenperjaar1</f>
        <v>#DIV/0!</v>
      </c>
      <c r="S1198" s="37" t="e">
        <f>R1198*ROUND(O1198,2)</f>
        <v>#DIV/0!</v>
      </c>
    </row>
    <row r="1199" spans="1:19" x14ac:dyDescent="0.2">
      <c r="A1199" s="101" t="s">
        <v>356</v>
      </c>
      <c r="B1199" s="74"/>
      <c r="C1199" s="74"/>
      <c r="D1199" s="74"/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6" t="e">
        <f>IF(_xlfn.SINGLE(object34_urenjaar1)&gt;0,_xlfn.SINGLE(object34_prijsjaar1)/_xlfn.SINGLE(object34_urenjaar1),0)</f>
        <v>#DIV/0!</v>
      </c>
      <c r="P1199" s="75" t="e">
        <f>SUM(P1172:P1198)</f>
        <v>#DIV/0!</v>
      </c>
      <c r="Q1199" s="76" t="e">
        <f>SUM(Q1172:Q1198)</f>
        <v>#DIV/0!</v>
      </c>
      <c r="R1199" s="75" t="e">
        <f>SUM(R1172:R1198)</f>
        <v>#DIV/0!</v>
      </c>
      <c r="S1199" s="77" t="e">
        <f>SUM(S1172:S1198)</f>
        <v>#DIV/0!</v>
      </c>
    </row>
    <row r="1200" spans="1:19" x14ac:dyDescent="0.2">
      <c r="A1200" s="82" t="s">
        <v>1163</v>
      </c>
      <c r="B1200" s="49"/>
      <c r="C1200" s="49"/>
      <c r="D1200" s="49"/>
      <c r="E1200" s="49"/>
      <c r="F1200" s="49"/>
      <c r="G1200" s="49"/>
      <c r="H1200" s="49"/>
      <c r="I1200" s="49"/>
      <c r="J1200" s="49"/>
      <c r="K1200" s="49"/>
      <c r="L1200" s="49"/>
      <c r="M1200" s="49"/>
      <c r="N1200" s="49"/>
      <c r="O1200" s="49"/>
      <c r="P1200" s="49"/>
      <c r="Q1200" s="49"/>
      <c r="R1200" s="49"/>
      <c r="S1200" s="72"/>
    </row>
    <row r="1201" spans="1:19" x14ac:dyDescent="0.2">
      <c r="A1201" s="83" t="s">
        <v>1164</v>
      </c>
      <c r="B1201" s="84" t="s">
        <v>35</v>
      </c>
      <c r="C1201" s="84" t="s">
        <v>313</v>
      </c>
      <c r="D1201" s="84" t="s">
        <v>314</v>
      </c>
      <c r="E1201" s="85" t="s">
        <v>315</v>
      </c>
      <c r="F1201" s="84" t="s">
        <v>387</v>
      </c>
      <c r="G1201" s="84" t="s">
        <v>289</v>
      </c>
      <c r="H1201" s="84" t="s">
        <v>13</v>
      </c>
      <c r="I1201" s="84" t="s">
        <v>235</v>
      </c>
      <c r="J1201" s="85" t="s">
        <v>290</v>
      </c>
      <c r="K1201" s="86">
        <v>2</v>
      </c>
      <c r="L1201" s="86">
        <f>K1201*VLOOKUP(H1201,dagsoorttabel1,2,FALSE)</f>
        <v>0.4</v>
      </c>
      <c r="M1201" s="87">
        <f>prodnorm113</f>
        <v>0</v>
      </c>
      <c r="N1201" s="84" t="s">
        <v>101</v>
      </c>
      <c r="O1201" s="88">
        <f>uurtarief113</f>
        <v>0</v>
      </c>
      <c r="P1201" s="86" t="e">
        <f>IF(ISBLANK(M1201),0,L1201/ROUND(M1201,4))</f>
        <v>#DIV/0!</v>
      </c>
      <c r="Q1201" s="88" t="e">
        <f>ROUND(O1201,2)*P1201</f>
        <v>#DIV/0!</v>
      </c>
      <c r="R1201" s="86" t="e">
        <f>P1201*dagenperjaar1</f>
        <v>#DIV/0!</v>
      </c>
      <c r="S1201" s="89" t="e">
        <f>R1201*ROUND(O1201,2)</f>
        <v>#DIV/0!</v>
      </c>
    </row>
    <row r="1202" spans="1:19" x14ac:dyDescent="0.2">
      <c r="A1202" s="90" t="s">
        <v>1164</v>
      </c>
      <c r="B1202" s="91" t="s">
        <v>35</v>
      </c>
      <c r="C1202" s="91" t="s">
        <v>313</v>
      </c>
      <c r="D1202" s="91" t="s">
        <v>359</v>
      </c>
      <c r="E1202" s="92" t="s">
        <v>321</v>
      </c>
      <c r="F1202" s="91" t="s">
        <v>387</v>
      </c>
      <c r="G1202" s="91" t="s">
        <v>285</v>
      </c>
      <c r="H1202" s="91" t="s">
        <v>13</v>
      </c>
      <c r="I1202" s="91" t="s">
        <v>235</v>
      </c>
      <c r="J1202" s="92" t="s">
        <v>286</v>
      </c>
      <c r="K1202" s="93">
        <v>4.8499999999999996</v>
      </c>
      <c r="L1202" s="93">
        <f>K1202*VLOOKUP(H1202,dagsoorttabel1,2,FALSE)</f>
        <v>0.97</v>
      </c>
      <c r="M1202" s="94">
        <f>prodnorm109</f>
        <v>0</v>
      </c>
      <c r="N1202" s="91" t="s">
        <v>101</v>
      </c>
      <c r="O1202" s="26">
        <f>uurtarief109</f>
        <v>0</v>
      </c>
      <c r="P1202" s="93" t="e">
        <f>IF(ISBLANK(M1202),0,L1202/ROUND(M1202,4))</f>
        <v>#DIV/0!</v>
      </c>
      <c r="Q1202" s="26" t="e">
        <f>ROUND(O1202,2)*P1202</f>
        <v>#DIV/0!</v>
      </c>
      <c r="R1202" s="93" t="e">
        <f>P1202*dagenperjaar1</f>
        <v>#DIV/0!</v>
      </c>
      <c r="S1202" s="27" t="e">
        <f>R1202*ROUND(O1202,2)</f>
        <v>#DIV/0!</v>
      </c>
    </row>
    <row r="1203" spans="1:19" x14ac:dyDescent="0.2">
      <c r="A1203" s="90" t="s">
        <v>1164</v>
      </c>
      <c r="B1203" s="91" t="s">
        <v>35</v>
      </c>
      <c r="C1203" s="91" t="s">
        <v>313</v>
      </c>
      <c r="D1203" s="91" t="s">
        <v>317</v>
      </c>
      <c r="E1203" s="92" t="s">
        <v>367</v>
      </c>
      <c r="F1203" s="91" t="s">
        <v>316</v>
      </c>
      <c r="G1203" s="91" t="s">
        <v>283</v>
      </c>
      <c r="H1203" s="91" t="s">
        <v>13</v>
      </c>
      <c r="I1203" s="91" t="s">
        <v>235</v>
      </c>
      <c r="J1203" s="92" t="s">
        <v>284</v>
      </c>
      <c r="K1203" s="93">
        <v>3.94</v>
      </c>
      <c r="L1203" s="93">
        <f>K1203*VLOOKUP(H1203,dagsoorttabel1,2,FALSE)</f>
        <v>0.78800000000000003</v>
      </c>
      <c r="M1203" s="94">
        <f>prodnorm106</f>
        <v>0</v>
      </c>
      <c r="N1203" s="91" t="s">
        <v>101</v>
      </c>
      <c r="O1203" s="26">
        <f>uurtarief106</f>
        <v>0</v>
      </c>
      <c r="P1203" s="93" t="e">
        <f>IF(ISBLANK(M1203),0,L1203/ROUND(M1203,4))</f>
        <v>#DIV/0!</v>
      </c>
      <c r="Q1203" s="26" t="e">
        <f>ROUND(O1203,2)*P1203</f>
        <v>#DIV/0!</v>
      </c>
      <c r="R1203" s="93" t="e">
        <f>P1203*dagenperjaar1</f>
        <v>#DIV/0!</v>
      </c>
      <c r="S1203" s="27" t="e">
        <f>R1203*ROUND(O1203,2)</f>
        <v>#DIV/0!</v>
      </c>
    </row>
    <row r="1204" spans="1:19" x14ac:dyDescent="0.2">
      <c r="A1204" s="90" t="s">
        <v>1164</v>
      </c>
      <c r="B1204" s="91" t="s">
        <v>35</v>
      </c>
      <c r="C1204" s="91" t="s">
        <v>313</v>
      </c>
      <c r="D1204" s="91" t="s">
        <v>320</v>
      </c>
      <c r="E1204" s="92" t="s">
        <v>377</v>
      </c>
      <c r="F1204" s="91" t="s">
        <v>316</v>
      </c>
      <c r="G1204" s="91" t="s">
        <v>279</v>
      </c>
      <c r="H1204" s="91" t="s">
        <v>13</v>
      </c>
      <c r="I1204" s="91" t="s">
        <v>235</v>
      </c>
      <c r="J1204" s="92" t="s">
        <v>280</v>
      </c>
      <c r="K1204" s="93">
        <v>2</v>
      </c>
      <c r="L1204" s="93">
        <f>K1204*VLOOKUP(H1204,dagsoorttabel1,2,FALSE)</f>
        <v>0.4</v>
      </c>
      <c r="M1204" s="94">
        <f>prodnorm100</f>
        <v>0</v>
      </c>
      <c r="N1204" s="91" t="s">
        <v>101</v>
      </c>
      <c r="O1204" s="26">
        <f>uurtarief100</f>
        <v>0</v>
      </c>
      <c r="P1204" s="93" t="e">
        <f>IF(ISBLANK(M1204),0,L1204/ROUND(M1204,4))</f>
        <v>#DIV/0!</v>
      </c>
      <c r="Q1204" s="26" t="e">
        <f>ROUND(O1204,2)*P1204</f>
        <v>#DIV/0!</v>
      </c>
      <c r="R1204" s="93" t="e">
        <f>P1204*dagenperjaar1</f>
        <v>#DIV/0!</v>
      </c>
      <c r="S1204" s="27" t="e">
        <f>R1204*ROUND(O1204,2)</f>
        <v>#DIV/0!</v>
      </c>
    </row>
    <row r="1205" spans="1:19" x14ac:dyDescent="0.2">
      <c r="A1205" s="90" t="s">
        <v>1164</v>
      </c>
      <c r="B1205" s="91" t="s">
        <v>35</v>
      </c>
      <c r="C1205" s="91" t="s">
        <v>313</v>
      </c>
      <c r="D1205" s="91" t="s">
        <v>322</v>
      </c>
      <c r="E1205" s="92" t="s">
        <v>1165</v>
      </c>
      <c r="F1205" s="91" t="s">
        <v>316</v>
      </c>
      <c r="G1205" s="91" t="s">
        <v>279</v>
      </c>
      <c r="H1205" s="91" t="s">
        <v>13</v>
      </c>
      <c r="I1205" s="91" t="s">
        <v>235</v>
      </c>
      <c r="J1205" s="92" t="s">
        <v>280</v>
      </c>
      <c r="K1205" s="93">
        <v>4.74</v>
      </c>
      <c r="L1205" s="93">
        <f>K1205*VLOOKUP(H1205,dagsoorttabel1,2,FALSE)</f>
        <v>0.94800000000000006</v>
      </c>
      <c r="M1205" s="94">
        <f>prodnorm100</f>
        <v>0</v>
      </c>
      <c r="N1205" s="91" t="s">
        <v>101</v>
      </c>
      <c r="O1205" s="26">
        <f>uurtarief100</f>
        <v>0</v>
      </c>
      <c r="P1205" s="93" t="e">
        <f>IF(ISBLANK(M1205),0,L1205/ROUND(M1205,4))</f>
        <v>#DIV/0!</v>
      </c>
      <c r="Q1205" s="26" t="e">
        <f>ROUND(O1205,2)*P1205</f>
        <v>#DIV/0!</v>
      </c>
      <c r="R1205" s="93" t="e">
        <f>P1205*dagenperjaar1</f>
        <v>#DIV/0!</v>
      </c>
      <c r="S1205" s="27" t="e">
        <f>R1205*ROUND(O1205,2)</f>
        <v>#DIV/0!</v>
      </c>
    </row>
    <row r="1206" spans="1:19" x14ac:dyDescent="0.2">
      <c r="A1206" s="90" t="s">
        <v>1164</v>
      </c>
      <c r="B1206" s="91" t="s">
        <v>35</v>
      </c>
      <c r="C1206" s="91" t="s">
        <v>313</v>
      </c>
      <c r="D1206" s="91" t="s">
        <v>324</v>
      </c>
      <c r="E1206" s="92" t="s">
        <v>828</v>
      </c>
      <c r="F1206" s="91" t="s">
        <v>316</v>
      </c>
      <c r="G1206" s="91" t="s">
        <v>275</v>
      </c>
      <c r="H1206" s="91" t="s">
        <v>13</v>
      </c>
      <c r="I1206" s="91" t="s">
        <v>235</v>
      </c>
      <c r="J1206" s="92" t="s">
        <v>276</v>
      </c>
      <c r="K1206" s="93">
        <v>3.29</v>
      </c>
      <c r="L1206" s="93">
        <f>K1206*VLOOKUP(H1206,dagsoorttabel1,2,FALSE)</f>
        <v>0.65800000000000003</v>
      </c>
      <c r="M1206" s="94">
        <f>prodnorm94</f>
        <v>0</v>
      </c>
      <c r="N1206" s="91" t="s">
        <v>101</v>
      </c>
      <c r="O1206" s="26">
        <f>uurtarief94</f>
        <v>0</v>
      </c>
      <c r="P1206" s="93" t="e">
        <f>IF(ISBLANK(M1206),0,L1206/ROUND(M1206,4))</f>
        <v>#DIV/0!</v>
      </c>
      <c r="Q1206" s="26" t="e">
        <f>ROUND(O1206,2)*P1206</f>
        <v>#DIV/0!</v>
      </c>
      <c r="R1206" s="93" t="e">
        <f>P1206*dagenperjaar1</f>
        <v>#DIV/0!</v>
      </c>
      <c r="S1206" s="27" t="e">
        <f>R1206*ROUND(O1206,2)</f>
        <v>#DIV/0!</v>
      </c>
    </row>
    <row r="1207" spans="1:19" x14ac:dyDescent="0.2">
      <c r="A1207" s="90" t="s">
        <v>1164</v>
      </c>
      <c r="B1207" s="91" t="s">
        <v>35</v>
      </c>
      <c r="C1207" s="91" t="s">
        <v>313</v>
      </c>
      <c r="D1207" s="91" t="s">
        <v>325</v>
      </c>
      <c r="E1207" s="92" t="s">
        <v>380</v>
      </c>
      <c r="F1207" s="91" t="s">
        <v>316</v>
      </c>
      <c r="G1207" s="91" t="s">
        <v>352</v>
      </c>
      <c r="H1207" s="91"/>
      <c r="I1207" s="91"/>
      <c r="J1207" s="91"/>
      <c r="K1207" s="93">
        <v>1.77</v>
      </c>
      <c r="L1207" s="93"/>
      <c r="M1207" s="94"/>
      <c r="N1207" s="91"/>
      <c r="O1207" s="26"/>
      <c r="P1207" s="93"/>
      <c r="Q1207" s="26"/>
      <c r="R1207" s="95"/>
      <c r="S1207" s="27"/>
    </row>
    <row r="1208" spans="1:19" x14ac:dyDescent="0.2">
      <c r="A1208" s="90" t="s">
        <v>1164</v>
      </c>
      <c r="B1208" s="91" t="s">
        <v>35</v>
      </c>
      <c r="C1208" s="91" t="s">
        <v>313</v>
      </c>
      <c r="D1208" s="91" t="s">
        <v>327</v>
      </c>
      <c r="E1208" s="92" t="s">
        <v>586</v>
      </c>
      <c r="F1208" s="91" t="s">
        <v>316</v>
      </c>
      <c r="G1208" s="91" t="s">
        <v>275</v>
      </c>
      <c r="H1208" s="91" t="s">
        <v>13</v>
      </c>
      <c r="I1208" s="91" t="s">
        <v>235</v>
      </c>
      <c r="J1208" s="92" t="s">
        <v>276</v>
      </c>
      <c r="K1208" s="93">
        <v>10.89</v>
      </c>
      <c r="L1208" s="93">
        <f>K1208*VLOOKUP(H1208,dagsoorttabel1,2,FALSE)</f>
        <v>2.1780000000000004</v>
      </c>
      <c r="M1208" s="94">
        <f>prodnorm94</f>
        <v>0</v>
      </c>
      <c r="N1208" s="91" t="s">
        <v>101</v>
      </c>
      <c r="O1208" s="26">
        <f>uurtarief94</f>
        <v>0</v>
      </c>
      <c r="P1208" s="93" t="e">
        <f>IF(ISBLANK(M1208),0,L1208/ROUND(M1208,4))</f>
        <v>#DIV/0!</v>
      </c>
      <c r="Q1208" s="26" t="e">
        <f>ROUND(O1208,2)*P1208</f>
        <v>#DIV/0!</v>
      </c>
      <c r="R1208" s="93" t="e">
        <f>P1208*dagenperjaar1</f>
        <v>#DIV/0!</v>
      </c>
      <c r="S1208" s="27" t="e">
        <f>R1208*ROUND(O1208,2)</f>
        <v>#DIV/0!</v>
      </c>
    </row>
    <row r="1209" spans="1:19" ht="25.2" x14ac:dyDescent="0.2">
      <c r="A1209" s="90" t="s">
        <v>1164</v>
      </c>
      <c r="B1209" s="91" t="s">
        <v>35</v>
      </c>
      <c r="C1209" s="91" t="s">
        <v>313</v>
      </c>
      <c r="D1209" s="91" t="s">
        <v>330</v>
      </c>
      <c r="E1209" s="92" t="s">
        <v>410</v>
      </c>
      <c r="F1209" s="91" t="s">
        <v>347</v>
      </c>
      <c r="G1209" s="91" t="s">
        <v>248</v>
      </c>
      <c r="H1209" s="91" t="s">
        <v>13</v>
      </c>
      <c r="I1209" s="91" t="s">
        <v>235</v>
      </c>
      <c r="J1209" s="92" t="s">
        <v>249</v>
      </c>
      <c r="K1209" s="93">
        <v>24.29</v>
      </c>
      <c r="L1209" s="93">
        <f>K1209*VLOOKUP(H1209,dagsoorttabel1,2,FALSE)</f>
        <v>4.8580000000000005</v>
      </c>
      <c r="M1209" s="94">
        <f>prodnorm61</f>
        <v>0</v>
      </c>
      <c r="N1209" s="91" t="s">
        <v>101</v>
      </c>
      <c r="O1209" s="26">
        <f>uurtarief61</f>
        <v>0</v>
      </c>
      <c r="P1209" s="93" t="e">
        <f>IF(ISBLANK(M1209),0,L1209/ROUND(M1209,4))</f>
        <v>#DIV/0!</v>
      </c>
      <c r="Q1209" s="26" t="e">
        <f>ROUND(O1209,2)*P1209</f>
        <v>#DIV/0!</v>
      </c>
      <c r="R1209" s="93" t="e">
        <f>P1209*dagenperjaar1</f>
        <v>#DIV/0!</v>
      </c>
      <c r="S1209" s="27" t="e">
        <f>R1209*ROUND(O1209,2)</f>
        <v>#DIV/0!</v>
      </c>
    </row>
    <row r="1210" spans="1:19" x14ac:dyDescent="0.2">
      <c r="A1210" s="90" t="s">
        <v>1164</v>
      </c>
      <c r="B1210" s="91" t="s">
        <v>35</v>
      </c>
      <c r="C1210" s="91" t="s">
        <v>313</v>
      </c>
      <c r="D1210" s="91" t="s">
        <v>332</v>
      </c>
      <c r="E1210" s="92" t="s">
        <v>1166</v>
      </c>
      <c r="F1210" s="91" t="s">
        <v>347</v>
      </c>
      <c r="G1210" s="91" t="s">
        <v>268</v>
      </c>
      <c r="H1210" s="91" t="s">
        <v>13</v>
      </c>
      <c r="I1210" s="91" t="s">
        <v>235</v>
      </c>
      <c r="J1210" s="92" t="s">
        <v>269</v>
      </c>
      <c r="K1210" s="93">
        <v>18.8</v>
      </c>
      <c r="L1210" s="93">
        <f>K1210*VLOOKUP(H1210,dagsoorttabel1,2,FALSE)</f>
        <v>3.7600000000000002</v>
      </c>
      <c r="M1210" s="94">
        <f>prodnorm86</f>
        <v>0</v>
      </c>
      <c r="N1210" s="91" t="s">
        <v>101</v>
      </c>
      <c r="O1210" s="26">
        <f>uurtarief86</f>
        <v>0</v>
      </c>
      <c r="P1210" s="93" t="e">
        <f>IF(ISBLANK(M1210),0,L1210/ROUND(M1210,4))</f>
        <v>#DIV/0!</v>
      </c>
      <c r="Q1210" s="26" t="e">
        <f>ROUND(O1210,2)*P1210</f>
        <v>#DIV/0!</v>
      </c>
      <c r="R1210" s="93" t="e">
        <f>P1210*dagenperjaar1</f>
        <v>#DIV/0!</v>
      </c>
      <c r="S1210" s="27" t="e">
        <f>R1210*ROUND(O1210,2)</f>
        <v>#DIV/0!</v>
      </c>
    </row>
    <row r="1211" spans="1:19" x14ac:dyDescent="0.2">
      <c r="A1211" s="96" t="s">
        <v>1164</v>
      </c>
      <c r="B1211" s="97" t="s">
        <v>35</v>
      </c>
      <c r="C1211" s="97" t="s">
        <v>313</v>
      </c>
      <c r="D1211" s="97" t="s">
        <v>334</v>
      </c>
      <c r="E1211" s="98" t="s">
        <v>553</v>
      </c>
      <c r="F1211" s="97" t="s">
        <v>329</v>
      </c>
      <c r="G1211" s="97" t="s">
        <v>252</v>
      </c>
      <c r="H1211" s="97" t="s">
        <v>13</v>
      </c>
      <c r="I1211" s="97" t="s">
        <v>235</v>
      </c>
      <c r="J1211" s="98" t="s">
        <v>253</v>
      </c>
      <c r="K1211" s="99">
        <v>168.2</v>
      </c>
      <c r="L1211" s="99">
        <f>K1211*VLOOKUP(H1211,dagsoorttabel1,2,FALSE)</f>
        <v>33.64</v>
      </c>
      <c r="M1211" s="100">
        <f>prodnorm68</f>
        <v>0</v>
      </c>
      <c r="N1211" s="97" t="s">
        <v>101</v>
      </c>
      <c r="O1211" s="36">
        <f>uurtarief68</f>
        <v>0</v>
      </c>
      <c r="P1211" s="99" t="e">
        <f>IF(ISBLANK(M1211),0,L1211/ROUND(M1211,4))</f>
        <v>#DIV/0!</v>
      </c>
      <c r="Q1211" s="36" t="e">
        <f>ROUND(O1211,2)*P1211</f>
        <v>#DIV/0!</v>
      </c>
      <c r="R1211" s="99" t="e">
        <f>P1211*dagenperjaar1</f>
        <v>#DIV/0!</v>
      </c>
      <c r="S1211" s="37" t="e">
        <f>R1211*ROUND(O1211,2)</f>
        <v>#DIV/0!</v>
      </c>
    </row>
    <row r="1212" spans="1:19" x14ac:dyDescent="0.2">
      <c r="A1212" s="101" t="s">
        <v>356</v>
      </c>
      <c r="B1212" s="74"/>
      <c r="C1212" s="74"/>
      <c r="D1212" s="74"/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6" t="e">
        <f>IF(_xlfn.SINGLE(object35_urenjaar1)&gt;0,_xlfn.SINGLE(object35_prijsjaar1)/_xlfn.SINGLE(object35_urenjaar1),0)</f>
        <v>#DIV/0!</v>
      </c>
      <c r="P1212" s="75" t="e">
        <f>SUM(P1201:P1211)</f>
        <v>#DIV/0!</v>
      </c>
      <c r="Q1212" s="76" t="e">
        <f>SUM(Q1201:Q1211)</f>
        <v>#DIV/0!</v>
      </c>
      <c r="R1212" s="75" t="e">
        <f>SUM(R1201:R1211)</f>
        <v>#DIV/0!</v>
      </c>
      <c r="S1212" s="77" t="e">
        <f>SUM(S1201:S1211)</f>
        <v>#DIV/0!</v>
      </c>
    </row>
    <row r="1213" spans="1:19" x14ac:dyDescent="0.2">
      <c r="A1213" s="82" t="s">
        <v>1167</v>
      </c>
      <c r="B1213" s="49"/>
      <c r="C1213" s="49"/>
      <c r="D1213" s="49"/>
      <c r="E1213" s="49"/>
      <c r="F1213" s="49"/>
      <c r="G1213" s="49"/>
      <c r="H1213" s="49"/>
      <c r="I1213" s="49"/>
      <c r="J1213" s="49"/>
      <c r="K1213" s="49"/>
      <c r="L1213" s="49"/>
      <c r="M1213" s="49"/>
      <c r="N1213" s="49"/>
      <c r="O1213" s="49"/>
      <c r="P1213" s="49"/>
      <c r="Q1213" s="49"/>
      <c r="R1213" s="49"/>
      <c r="S1213" s="72"/>
    </row>
    <row r="1214" spans="1:19" x14ac:dyDescent="0.2">
      <c r="A1214" s="83" t="s">
        <v>1168</v>
      </c>
      <c r="B1214" s="84" t="s">
        <v>35</v>
      </c>
      <c r="C1214" s="84" t="s">
        <v>313</v>
      </c>
      <c r="D1214" s="84" t="s">
        <v>314</v>
      </c>
      <c r="E1214" s="85" t="s">
        <v>1169</v>
      </c>
      <c r="F1214" s="84" t="s">
        <v>329</v>
      </c>
      <c r="G1214" s="84" t="s">
        <v>252</v>
      </c>
      <c r="H1214" s="84" t="s">
        <v>21</v>
      </c>
      <c r="I1214" s="84" t="s">
        <v>235</v>
      </c>
      <c r="J1214" s="85" t="s">
        <v>253</v>
      </c>
      <c r="K1214" s="86">
        <v>47.04</v>
      </c>
      <c r="L1214" s="86">
        <f>K1214*VLOOKUP(H1214,dagsoorttabel1,2,FALSE)</f>
        <v>0.18092307692307694</v>
      </c>
      <c r="M1214" s="87">
        <f>prodnorm67</f>
        <v>0</v>
      </c>
      <c r="N1214" s="84" t="s">
        <v>101</v>
      </c>
      <c r="O1214" s="88">
        <f>uurtarief67</f>
        <v>0</v>
      </c>
      <c r="P1214" s="86" t="e">
        <f>IF(ISBLANK(M1214),0,L1214/ROUND(M1214,4))</f>
        <v>#DIV/0!</v>
      </c>
      <c r="Q1214" s="88" t="e">
        <f>ROUND(O1214,2)*P1214</f>
        <v>#DIV/0!</v>
      </c>
      <c r="R1214" s="86" t="e">
        <f>P1214*dagenperjaar1</f>
        <v>#DIV/0!</v>
      </c>
      <c r="S1214" s="89" t="e">
        <f>R1214*ROUND(O1214,2)</f>
        <v>#DIV/0!</v>
      </c>
    </row>
    <row r="1215" spans="1:19" x14ac:dyDescent="0.2">
      <c r="A1215" s="90" t="s">
        <v>1168</v>
      </c>
      <c r="B1215" s="91" t="s">
        <v>35</v>
      </c>
      <c r="C1215" s="91" t="s">
        <v>313</v>
      </c>
      <c r="D1215" s="91" t="s">
        <v>317</v>
      </c>
      <c r="E1215" s="92" t="s">
        <v>315</v>
      </c>
      <c r="F1215" s="91" t="s">
        <v>387</v>
      </c>
      <c r="G1215" s="91" t="s">
        <v>289</v>
      </c>
      <c r="H1215" s="91" t="s">
        <v>13</v>
      </c>
      <c r="I1215" s="91" t="s">
        <v>235</v>
      </c>
      <c r="J1215" s="92" t="s">
        <v>290</v>
      </c>
      <c r="K1215" s="93">
        <v>3</v>
      </c>
      <c r="L1215" s="93">
        <f>K1215*VLOOKUP(H1215,dagsoorttabel1,2,FALSE)</f>
        <v>0.60000000000000009</v>
      </c>
      <c r="M1215" s="94">
        <f>prodnorm113</f>
        <v>0</v>
      </c>
      <c r="N1215" s="91" t="s">
        <v>101</v>
      </c>
      <c r="O1215" s="26">
        <f>uurtarief113</f>
        <v>0</v>
      </c>
      <c r="P1215" s="93" t="e">
        <f>IF(ISBLANK(M1215),0,L1215/ROUND(M1215,4))</f>
        <v>#DIV/0!</v>
      </c>
      <c r="Q1215" s="26" t="e">
        <f>ROUND(O1215,2)*P1215</f>
        <v>#DIV/0!</v>
      </c>
      <c r="R1215" s="93" t="e">
        <f>P1215*dagenperjaar1</f>
        <v>#DIV/0!</v>
      </c>
      <c r="S1215" s="27" t="e">
        <f>R1215*ROUND(O1215,2)</f>
        <v>#DIV/0!</v>
      </c>
    </row>
    <row r="1216" spans="1:19" x14ac:dyDescent="0.2">
      <c r="A1216" s="90" t="s">
        <v>1168</v>
      </c>
      <c r="B1216" s="91" t="s">
        <v>35</v>
      </c>
      <c r="C1216" s="91" t="s">
        <v>313</v>
      </c>
      <c r="D1216" s="91" t="s">
        <v>892</v>
      </c>
      <c r="E1216" s="92" t="s">
        <v>367</v>
      </c>
      <c r="F1216" s="91" t="s">
        <v>387</v>
      </c>
      <c r="G1216" s="91" t="s">
        <v>283</v>
      </c>
      <c r="H1216" s="91" t="s">
        <v>13</v>
      </c>
      <c r="I1216" s="91" t="s">
        <v>235</v>
      </c>
      <c r="J1216" s="92" t="s">
        <v>284</v>
      </c>
      <c r="K1216" s="93">
        <v>4.7</v>
      </c>
      <c r="L1216" s="93">
        <f>K1216*VLOOKUP(H1216,dagsoorttabel1,2,FALSE)</f>
        <v>0.94000000000000006</v>
      </c>
      <c r="M1216" s="94">
        <f>prodnorm106</f>
        <v>0</v>
      </c>
      <c r="N1216" s="91" t="s">
        <v>101</v>
      </c>
      <c r="O1216" s="26">
        <f>uurtarief106</f>
        <v>0</v>
      </c>
      <c r="P1216" s="93" t="e">
        <f>IF(ISBLANK(M1216),0,L1216/ROUND(M1216,4))</f>
        <v>#DIV/0!</v>
      </c>
      <c r="Q1216" s="26" t="e">
        <f>ROUND(O1216,2)*P1216</f>
        <v>#DIV/0!</v>
      </c>
      <c r="R1216" s="93" t="e">
        <f>P1216*dagenperjaar1</f>
        <v>#DIV/0!</v>
      </c>
      <c r="S1216" s="27" t="e">
        <f>R1216*ROUND(O1216,2)</f>
        <v>#DIV/0!</v>
      </c>
    </row>
    <row r="1217" spans="1:19" x14ac:dyDescent="0.2">
      <c r="A1217" s="90" t="s">
        <v>1168</v>
      </c>
      <c r="B1217" s="91" t="s">
        <v>35</v>
      </c>
      <c r="C1217" s="91" t="s">
        <v>313</v>
      </c>
      <c r="D1217" s="91" t="s">
        <v>320</v>
      </c>
      <c r="E1217" s="92" t="s">
        <v>318</v>
      </c>
      <c r="F1217" s="91" t="s">
        <v>390</v>
      </c>
      <c r="G1217" s="91" t="s">
        <v>298</v>
      </c>
      <c r="H1217" s="91" t="s">
        <v>13</v>
      </c>
      <c r="I1217" s="91" t="s">
        <v>235</v>
      </c>
      <c r="J1217" s="92" t="s">
        <v>299</v>
      </c>
      <c r="K1217" s="93">
        <v>7.5</v>
      </c>
      <c r="L1217" s="93">
        <f>K1217*VLOOKUP(H1217,dagsoorttabel1,2,FALSE)</f>
        <v>1.5</v>
      </c>
      <c r="M1217" s="94">
        <f>prodnorm124</f>
        <v>0</v>
      </c>
      <c r="N1217" s="91" t="s">
        <v>101</v>
      </c>
      <c r="O1217" s="26">
        <f>uurtarief124</f>
        <v>0</v>
      </c>
      <c r="P1217" s="93" t="e">
        <f>IF(ISBLANK(M1217),0,L1217/ROUND(M1217,4))</f>
        <v>#DIV/0!</v>
      </c>
      <c r="Q1217" s="26" t="e">
        <f>ROUND(O1217,2)*P1217</f>
        <v>#DIV/0!</v>
      </c>
      <c r="R1217" s="93" t="e">
        <f>P1217*dagenperjaar1</f>
        <v>#DIV/0!</v>
      </c>
      <c r="S1217" s="27" t="e">
        <f>R1217*ROUND(O1217,2)</f>
        <v>#DIV/0!</v>
      </c>
    </row>
    <row r="1218" spans="1:19" ht="25.2" x14ac:dyDescent="0.2">
      <c r="A1218" s="90" t="s">
        <v>1168</v>
      </c>
      <c r="B1218" s="91" t="s">
        <v>35</v>
      </c>
      <c r="C1218" s="91" t="s">
        <v>313</v>
      </c>
      <c r="D1218" s="91" t="s">
        <v>322</v>
      </c>
      <c r="E1218" s="92" t="s">
        <v>1170</v>
      </c>
      <c r="F1218" s="91" t="s">
        <v>387</v>
      </c>
      <c r="G1218" s="91" t="s">
        <v>295</v>
      </c>
      <c r="H1218" s="91" t="s">
        <v>13</v>
      </c>
      <c r="I1218" s="91" t="s">
        <v>235</v>
      </c>
      <c r="J1218" s="92" t="s">
        <v>294</v>
      </c>
      <c r="K1218" s="93">
        <v>13.67</v>
      </c>
      <c r="L1218" s="93">
        <f>K1218*VLOOKUP(H1218,dagsoorttabel1,2,FALSE)</f>
        <v>2.734</v>
      </c>
      <c r="M1218" s="94">
        <f>prodnorm121</f>
        <v>0</v>
      </c>
      <c r="N1218" s="91" t="s">
        <v>101</v>
      </c>
      <c r="O1218" s="26">
        <f>uurtarief121</f>
        <v>0</v>
      </c>
      <c r="P1218" s="93" t="e">
        <f>IF(ISBLANK(M1218),0,L1218/ROUND(M1218,4))</f>
        <v>#DIV/0!</v>
      </c>
      <c r="Q1218" s="26" t="e">
        <f>ROUND(O1218,2)*P1218</f>
        <v>#DIV/0!</v>
      </c>
      <c r="R1218" s="93" t="e">
        <f>P1218*dagenperjaar1</f>
        <v>#DIV/0!</v>
      </c>
      <c r="S1218" s="27" t="e">
        <f>R1218*ROUND(O1218,2)</f>
        <v>#DIV/0!</v>
      </c>
    </row>
    <row r="1219" spans="1:19" x14ac:dyDescent="0.2">
      <c r="A1219" s="90" t="s">
        <v>1168</v>
      </c>
      <c r="B1219" s="91" t="s">
        <v>35</v>
      </c>
      <c r="C1219" s="91" t="s">
        <v>313</v>
      </c>
      <c r="D1219" s="91" t="s">
        <v>324</v>
      </c>
      <c r="E1219" s="92" t="s">
        <v>351</v>
      </c>
      <c r="F1219" s="91" t="s">
        <v>329</v>
      </c>
      <c r="G1219" s="91" t="s">
        <v>352</v>
      </c>
      <c r="H1219" s="91"/>
      <c r="I1219" s="91"/>
      <c r="J1219" s="91"/>
      <c r="K1219" s="93">
        <v>11.629999999999999</v>
      </c>
      <c r="L1219" s="93"/>
      <c r="M1219" s="94"/>
      <c r="N1219" s="91"/>
      <c r="O1219" s="26"/>
      <c r="P1219" s="93"/>
      <c r="Q1219" s="26"/>
      <c r="R1219" s="95"/>
      <c r="S1219" s="27"/>
    </row>
    <row r="1220" spans="1:19" x14ac:dyDescent="0.2">
      <c r="A1220" s="90" t="s">
        <v>1168</v>
      </c>
      <c r="B1220" s="91" t="s">
        <v>35</v>
      </c>
      <c r="C1220" s="91" t="s">
        <v>313</v>
      </c>
      <c r="D1220" s="91" t="s">
        <v>325</v>
      </c>
      <c r="E1220" s="92" t="s">
        <v>1171</v>
      </c>
      <c r="F1220" s="91" t="s">
        <v>329</v>
      </c>
      <c r="G1220" s="91" t="s">
        <v>352</v>
      </c>
      <c r="H1220" s="91"/>
      <c r="I1220" s="91"/>
      <c r="J1220" s="91"/>
      <c r="K1220" s="93">
        <v>19.34</v>
      </c>
      <c r="L1220" s="93"/>
      <c r="M1220" s="94"/>
      <c r="N1220" s="91"/>
      <c r="O1220" s="26"/>
      <c r="P1220" s="93"/>
      <c r="Q1220" s="26"/>
      <c r="R1220" s="95"/>
      <c r="S1220" s="27"/>
    </row>
    <row r="1221" spans="1:19" x14ac:dyDescent="0.2">
      <c r="A1221" s="90" t="s">
        <v>1168</v>
      </c>
      <c r="B1221" s="91" t="s">
        <v>35</v>
      </c>
      <c r="C1221" s="91" t="s">
        <v>313</v>
      </c>
      <c r="D1221" s="91" t="s">
        <v>327</v>
      </c>
      <c r="E1221" s="92" t="s">
        <v>377</v>
      </c>
      <c r="F1221" s="91" t="s">
        <v>316</v>
      </c>
      <c r="G1221" s="91" t="s">
        <v>279</v>
      </c>
      <c r="H1221" s="91" t="s">
        <v>13</v>
      </c>
      <c r="I1221" s="91" t="s">
        <v>235</v>
      </c>
      <c r="J1221" s="92" t="s">
        <v>280</v>
      </c>
      <c r="K1221" s="93">
        <v>4.18</v>
      </c>
      <c r="L1221" s="93">
        <f>K1221*VLOOKUP(H1221,dagsoorttabel1,2,FALSE)</f>
        <v>0.83599999999999997</v>
      </c>
      <c r="M1221" s="94">
        <f>prodnorm100</f>
        <v>0</v>
      </c>
      <c r="N1221" s="91" t="s">
        <v>101</v>
      </c>
      <c r="O1221" s="26">
        <f>uurtarief100</f>
        <v>0</v>
      </c>
      <c r="P1221" s="93" t="e">
        <f>IF(ISBLANK(M1221),0,L1221/ROUND(M1221,4))</f>
        <v>#DIV/0!</v>
      </c>
      <c r="Q1221" s="26" t="e">
        <f>ROUND(O1221,2)*P1221</f>
        <v>#DIV/0!</v>
      </c>
      <c r="R1221" s="93" t="e">
        <f>P1221*dagenperjaar1</f>
        <v>#DIV/0!</v>
      </c>
      <c r="S1221" s="27" t="e">
        <f>R1221*ROUND(O1221,2)</f>
        <v>#DIV/0!</v>
      </c>
    </row>
    <row r="1222" spans="1:19" x14ac:dyDescent="0.2">
      <c r="A1222" s="90" t="s">
        <v>1168</v>
      </c>
      <c r="B1222" s="91" t="s">
        <v>35</v>
      </c>
      <c r="C1222" s="91" t="s">
        <v>313</v>
      </c>
      <c r="D1222" s="91" t="s">
        <v>330</v>
      </c>
      <c r="E1222" s="92" t="s">
        <v>331</v>
      </c>
      <c r="F1222" s="91" t="s">
        <v>316</v>
      </c>
      <c r="G1222" s="91" t="s">
        <v>279</v>
      </c>
      <c r="H1222" s="91" t="s">
        <v>13</v>
      </c>
      <c r="I1222" s="91" t="s">
        <v>235</v>
      </c>
      <c r="J1222" s="92" t="s">
        <v>280</v>
      </c>
      <c r="K1222" s="93">
        <v>6.55</v>
      </c>
      <c r="L1222" s="93">
        <f>K1222*VLOOKUP(H1222,dagsoorttabel1,2,FALSE)</f>
        <v>1.31</v>
      </c>
      <c r="M1222" s="94">
        <f>prodnorm100</f>
        <v>0</v>
      </c>
      <c r="N1222" s="91" t="s">
        <v>101</v>
      </c>
      <c r="O1222" s="26">
        <f>uurtarief100</f>
        <v>0</v>
      </c>
      <c r="P1222" s="93" t="e">
        <f>IF(ISBLANK(M1222),0,L1222/ROUND(M1222,4))</f>
        <v>#DIV/0!</v>
      </c>
      <c r="Q1222" s="26" t="e">
        <f>ROUND(O1222,2)*P1222</f>
        <v>#DIV/0!</v>
      </c>
      <c r="R1222" s="93" t="e">
        <f>P1222*dagenperjaar1</f>
        <v>#DIV/0!</v>
      </c>
      <c r="S1222" s="27" t="e">
        <f>R1222*ROUND(O1222,2)</f>
        <v>#DIV/0!</v>
      </c>
    </row>
    <row r="1223" spans="1:19" x14ac:dyDescent="0.2">
      <c r="A1223" s="90" t="s">
        <v>1168</v>
      </c>
      <c r="B1223" s="91" t="s">
        <v>35</v>
      </c>
      <c r="C1223" s="91" t="s">
        <v>313</v>
      </c>
      <c r="D1223" s="91" t="s">
        <v>332</v>
      </c>
      <c r="E1223" s="92" t="s">
        <v>1172</v>
      </c>
      <c r="F1223" s="91" t="s">
        <v>316</v>
      </c>
      <c r="G1223" s="91" t="s">
        <v>275</v>
      </c>
      <c r="H1223" s="91" t="s">
        <v>13</v>
      </c>
      <c r="I1223" s="91" t="s">
        <v>235</v>
      </c>
      <c r="J1223" s="92" t="s">
        <v>276</v>
      </c>
      <c r="K1223" s="93">
        <v>2.7</v>
      </c>
      <c r="L1223" s="93">
        <f>K1223*VLOOKUP(H1223,dagsoorttabel1,2,FALSE)</f>
        <v>0.54</v>
      </c>
      <c r="M1223" s="94">
        <f>prodnorm94</f>
        <v>0</v>
      </c>
      <c r="N1223" s="91" t="s">
        <v>101</v>
      </c>
      <c r="O1223" s="26">
        <f>uurtarief94</f>
        <v>0</v>
      </c>
      <c r="P1223" s="93" t="e">
        <f>IF(ISBLANK(M1223),0,L1223/ROUND(M1223,4))</f>
        <v>#DIV/0!</v>
      </c>
      <c r="Q1223" s="26" t="e">
        <f>ROUND(O1223,2)*P1223</f>
        <v>#DIV/0!</v>
      </c>
      <c r="R1223" s="93" t="e">
        <f>P1223*dagenperjaar1</f>
        <v>#DIV/0!</v>
      </c>
      <c r="S1223" s="27" t="e">
        <f>R1223*ROUND(O1223,2)</f>
        <v>#DIV/0!</v>
      </c>
    </row>
    <row r="1224" spans="1:19" x14ac:dyDescent="0.2">
      <c r="A1224" s="90" t="s">
        <v>1168</v>
      </c>
      <c r="B1224" s="91" t="s">
        <v>35</v>
      </c>
      <c r="C1224" s="91" t="s">
        <v>313</v>
      </c>
      <c r="D1224" s="91" t="s">
        <v>334</v>
      </c>
      <c r="E1224" s="92" t="s">
        <v>524</v>
      </c>
      <c r="F1224" s="91" t="s">
        <v>316</v>
      </c>
      <c r="G1224" s="91" t="s">
        <v>275</v>
      </c>
      <c r="H1224" s="91" t="s">
        <v>13</v>
      </c>
      <c r="I1224" s="91" t="s">
        <v>235</v>
      </c>
      <c r="J1224" s="92" t="s">
        <v>276</v>
      </c>
      <c r="K1224" s="93">
        <v>8.2399999999999984</v>
      </c>
      <c r="L1224" s="93">
        <f>K1224*VLOOKUP(H1224,dagsoorttabel1,2,FALSE)</f>
        <v>1.6479999999999997</v>
      </c>
      <c r="M1224" s="94">
        <f>prodnorm94</f>
        <v>0</v>
      </c>
      <c r="N1224" s="91" t="s">
        <v>101</v>
      </c>
      <c r="O1224" s="26">
        <f>uurtarief94</f>
        <v>0</v>
      </c>
      <c r="P1224" s="93" t="e">
        <f>IF(ISBLANK(M1224),0,L1224/ROUND(M1224,4))</f>
        <v>#DIV/0!</v>
      </c>
      <c r="Q1224" s="26" t="e">
        <f>ROUND(O1224,2)*P1224</f>
        <v>#DIV/0!</v>
      </c>
      <c r="R1224" s="93" t="e">
        <f>P1224*dagenperjaar1</f>
        <v>#DIV/0!</v>
      </c>
      <c r="S1224" s="27" t="e">
        <f>R1224*ROUND(O1224,2)</f>
        <v>#DIV/0!</v>
      </c>
    </row>
    <row r="1225" spans="1:19" x14ac:dyDescent="0.2">
      <c r="A1225" s="90" t="s">
        <v>1168</v>
      </c>
      <c r="B1225" s="91" t="s">
        <v>35</v>
      </c>
      <c r="C1225" s="91" t="s">
        <v>313</v>
      </c>
      <c r="D1225" s="91" t="s">
        <v>336</v>
      </c>
      <c r="E1225" s="92" t="s">
        <v>373</v>
      </c>
      <c r="F1225" s="91" t="s">
        <v>329</v>
      </c>
      <c r="G1225" s="91" t="s">
        <v>277</v>
      </c>
      <c r="H1225" s="91" t="s">
        <v>13</v>
      </c>
      <c r="I1225" s="91" t="s">
        <v>235</v>
      </c>
      <c r="J1225" s="92" t="s">
        <v>278</v>
      </c>
      <c r="K1225" s="93">
        <v>24.75</v>
      </c>
      <c r="L1225" s="93">
        <f>K1225*VLOOKUP(H1225,dagsoorttabel1,2,FALSE)</f>
        <v>4.95</v>
      </c>
      <c r="M1225" s="94">
        <f>prodnorm97</f>
        <v>0</v>
      </c>
      <c r="N1225" s="91" t="s">
        <v>101</v>
      </c>
      <c r="O1225" s="26">
        <f>uurtarief97</f>
        <v>0</v>
      </c>
      <c r="P1225" s="93" t="e">
        <f>IF(ISBLANK(M1225),0,L1225/ROUND(M1225,4))</f>
        <v>#DIV/0!</v>
      </c>
      <c r="Q1225" s="26" t="e">
        <f>ROUND(O1225,2)*P1225</f>
        <v>#DIV/0!</v>
      </c>
      <c r="R1225" s="93" t="e">
        <f>P1225*dagenperjaar1</f>
        <v>#DIV/0!</v>
      </c>
      <c r="S1225" s="27" t="e">
        <f>R1225*ROUND(O1225,2)</f>
        <v>#DIV/0!</v>
      </c>
    </row>
    <row r="1226" spans="1:19" x14ac:dyDescent="0.2">
      <c r="A1226" s="90" t="s">
        <v>1168</v>
      </c>
      <c r="B1226" s="91" t="s">
        <v>35</v>
      </c>
      <c r="C1226" s="91" t="s">
        <v>313</v>
      </c>
      <c r="D1226" s="91" t="s">
        <v>338</v>
      </c>
      <c r="E1226" s="92" t="s">
        <v>367</v>
      </c>
      <c r="F1226" s="91" t="s">
        <v>329</v>
      </c>
      <c r="G1226" s="91" t="s">
        <v>283</v>
      </c>
      <c r="H1226" s="91" t="s">
        <v>13</v>
      </c>
      <c r="I1226" s="91" t="s">
        <v>235</v>
      </c>
      <c r="J1226" s="92" t="s">
        <v>284</v>
      </c>
      <c r="K1226" s="93">
        <v>6.34</v>
      </c>
      <c r="L1226" s="93">
        <f>K1226*VLOOKUP(H1226,dagsoorttabel1,2,FALSE)</f>
        <v>1.268</v>
      </c>
      <c r="M1226" s="94">
        <f>prodnorm106</f>
        <v>0</v>
      </c>
      <c r="N1226" s="91" t="s">
        <v>101</v>
      </c>
      <c r="O1226" s="26">
        <f>uurtarief106</f>
        <v>0</v>
      </c>
      <c r="P1226" s="93" t="e">
        <f>IF(ISBLANK(M1226),0,L1226/ROUND(M1226,4))</f>
        <v>#DIV/0!</v>
      </c>
      <c r="Q1226" s="26" t="e">
        <f>ROUND(O1226,2)*P1226</f>
        <v>#DIV/0!</v>
      </c>
      <c r="R1226" s="93" t="e">
        <f>P1226*dagenperjaar1</f>
        <v>#DIV/0!</v>
      </c>
      <c r="S1226" s="27" t="e">
        <f>R1226*ROUND(O1226,2)</f>
        <v>#DIV/0!</v>
      </c>
    </row>
    <row r="1227" spans="1:19" x14ac:dyDescent="0.2">
      <c r="A1227" s="90" t="s">
        <v>1168</v>
      </c>
      <c r="B1227" s="91" t="s">
        <v>35</v>
      </c>
      <c r="C1227" s="91" t="s">
        <v>343</v>
      </c>
      <c r="D1227" s="91" t="s">
        <v>344</v>
      </c>
      <c r="E1227" s="92" t="s">
        <v>367</v>
      </c>
      <c r="F1227" s="91" t="s">
        <v>361</v>
      </c>
      <c r="G1227" s="91" t="s">
        <v>283</v>
      </c>
      <c r="H1227" s="91" t="s">
        <v>13</v>
      </c>
      <c r="I1227" s="91" t="s">
        <v>235</v>
      </c>
      <c r="J1227" s="92" t="s">
        <v>284</v>
      </c>
      <c r="K1227" s="93">
        <v>6.35</v>
      </c>
      <c r="L1227" s="93">
        <f>K1227*VLOOKUP(H1227,dagsoorttabel1,2,FALSE)</f>
        <v>1.27</v>
      </c>
      <c r="M1227" s="94">
        <f>prodnorm106</f>
        <v>0</v>
      </c>
      <c r="N1227" s="91" t="s">
        <v>101</v>
      </c>
      <c r="O1227" s="26">
        <f>uurtarief106</f>
        <v>0</v>
      </c>
      <c r="P1227" s="93" t="e">
        <f>IF(ISBLANK(M1227),0,L1227/ROUND(M1227,4))</f>
        <v>#DIV/0!</v>
      </c>
      <c r="Q1227" s="26" t="e">
        <f>ROUND(O1227,2)*P1227</f>
        <v>#DIV/0!</v>
      </c>
      <c r="R1227" s="93" t="e">
        <f>P1227*dagenperjaar1</f>
        <v>#DIV/0!</v>
      </c>
      <c r="S1227" s="27" t="e">
        <f>R1227*ROUND(O1227,2)</f>
        <v>#DIV/0!</v>
      </c>
    </row>
    <row r="1228" spans="1:19" x14ac:dyDescent="0.2">
      <c r="A1228" s="90" t="s">
        <v>1168</v>
      </c>
      <c r="B1228" s="91" t="s">
        <v>35</v>
      </c>
      <c r="C1228" s="91" t="s">
        <v>343</v>
      </c>
      <c r="D1228" s="91" t="s">
        <v>345</v>
      </c>
      <c r="E1228" s="92" t="s">
        <v>375</v>
      </c>
      <c r="F1228" s="91" t="s">
        <v>361</v>
      </c>
      <c r="G1228" s="91" t="s">
        <v>268</v>
      </c>
      <c r="H1228" s="91" t="s">
        <v>13</v>
      </c>
      <c r="I1228" s="91" t="s">
        <v>235</v>
      </c>
      <c r="J1228" s="92" t="s">
        <v>269</v>
      </c>
      <c r="K1228" s="93">
        <v>10.47</v>
      </c>
      <c r="L1228" s="93">
        <f>K1228*VLOOKUP(H1228,dagsoorttabel1,2,FALSE)</f>
        <v>2.0940000000000003</v>
      </c>
      <c r="M1228" s="94">
        <f>prodnorm86</f>
        <v>0</v>
      </c>
      <c r="N1228" s="91" t="s">
        <v>101</v>
      </c>
      <c r="O1228" s="26">
        <f>uurtarief86</f>
        <v>0</v>
      </c>
      <c r="P1228" s="93" t="e">
        <f>IF(ISBLANK(M1228),0,L1228/ROUND(M1228,4))</f>
        <v>#DIV/0!</v>
      </c>
      <c r="Q1228" s="26" t="e">
        <f>ROUND(O1228,2)*P1228</f>
        <v>#DIV/0!</v>
      </c>
      <c r="R1228" s="93" t="e">
        <f>P1228*dagenperjaar1</f>
        <v>#DIV/0!</v>
      </c>
      <c r="S1228" s="27" t="e">
        <f>R1228*ROUND(O1228,2)</f>
        <v>#DIV/0!</v>
      </c>
    </row>
    <row r="1229" spans="1:19" x14ac:dyDescent="0.2">
      <c r="A1229" s="90" t="s">
        <v>1168</v>
      </c>
      <c r="B1229" s="91" t="s">
        <v>35</v>
      </c>
      <c r="C1229" s="91" t="s">
        <v>343</v>
      </c>
      <c r="D1229" s="91" t="s">
        <v>348</v>
      </c>
      <c r="E1229" s="92" t="s">
        <v>1173</v>
      </c>
      <c r="F1229" s="91" t="s">
        <v>361</v>
      </c>
      <c r="G1229" s="91" t="s">
        <v>262</v>
      </c>
      <c r="H1229" s="91" t="s">
        <v>13</v>
      </c>
      <c r="I1229" s="91" t="s">
        <v>235</v>
      </c>
      <c r="J1229" s="92" t="s">
        <v>263</v>
      </c>
      <c r="K1229" s="93">
        <v>27.150000000000002</v>
      </c>
      <c r="L1229" s="93">
        <f>K1229*VLOOKUP(H1229,dagsoorttabel1,2,FALSE)</f>
        <v>5.4300000000000006</v>
      </c>
      <c r="M1229" s="94">
        <f>prodnorm78</f>
        <v>0</v>
      </c>
      <c r="N1229" s="91" t="s">
        <v>101</v>
      </c>
      <c r="O1229" s="26">
        <f>uurtarief78</f>
        <v>0</v>
      </c>
      <c r="P1229" s="93" t="e">
        <f>IF(ISBLANK(M1229),0,L1229/ROUND(M1229,4))</f>
        <v>#DIV/0!</v>
      </c>
      <c r="Q1229" s="26" t="e">
        <f>ROUND(O1229,2)*P1229</f>
        <v>#DIV/0!</v>
      </c>
      <c r="R1229" s="93" t="e">
        <f>P1229*dagenperjaar1</f>
        <v>#DIV/0!</v>
      </c>
      <c r="S1229" s="27" t="e">
        <f>R1229*ROUND(O1229,2)</f>
        <v>#DIV/0!</v>
      </c>
    </row>
    <row r="1230" spans="1:19" x14ac:dyDescent="0.2">
      <c r="A1230" s="96" t="s">
        <v>1168</v>
      </c>
      <c r="B1230" s="97" t="s">
        <v>35</v>
      </c>
      <c r="C1230" s="97" t="s">
        <v>343</v>
      </c>
      <c r="D1230" s="97" t="s">
        <v>350</v>
      </c>
      <c r="E1230" s="98" t="s">
        <v>404</v>
      </c>
      <c r="F1230" s="97" t="s">
        <v>361</v>
      </c>
      <c r="G1230" s="97" t="s">
        <v>260</v>
      </c>
      <c r="H1230" s="97" t="s">
        <v>13</v>
      </c>
      <c r="I1230" s="97" t="s">
        <v>235</v>
      </c>
      <c r="J1230" s="98" t="s">
        <v>261</v>
      </c>
      <c r="K1230" s="99">
        <v>41</v>
      </c>
      <c r="L1230" s="99">
        <f>K1230*VLOOKUP(H1230,dagsoorttabel1,2,FALSE)</f>
        <v>8.2000000000000011</v>
      </c>
      <c r="M1230" s="100">
        <f>prodnorm75</f>
        <v>0</v>
      </c>
      <c r="N1230" s="97" t="s">
        <v>101</v>
      </c>
      <c r="O1230" s="36">
        <f>uurtarief75</f>
        <v>0</v>
      </c>
      <c r="P1230" s="99" t="e">
        <f>IF(ISBLANK(M1230),0,L1230/ROUND(M1230,4))</f>
        <v>#DIV/0!</v>
      </c>
      <c r="Q1230" s="36" t="e">
        <f>ROUND(O1230,2)*P1230</f>
        <v>#DIV/0!</v>
      </c>
      <c r="R1230" s="99" t="e">
        <f>P1230*dagenperjaar1</f>
        <v>#DIV/0!</v>
      </c>
      <c r="S1230" s="37" t="e">
        <f>R1230*ROUND(O1230,2)</f>
        <v>#DIV/0!</v>
      </c>
    </row>
    <row r="1231" spans="1:19" x14ac:dyDescent="0.2">
      <c r="A1231" s="73" t="s">
        <v>356</v>
      </c>
      <c r="B1231" s="74"/>
      <c r="C1231" s="74"/>
      <c r="D1231" s="74"/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6" t="e">
        <f>IF(_xlfn.SINGLE(object36_urenjaar1)&gt;0,_xlfn.SINGLE(object36_prijsjaar1)/_xlfn.SINGLE(object36_urenjaar1),0)</f>
        <v>#DIV/0!</v>
      </c>
      <c r="P1231" s="75" t="e">
        <f>SUM(P1214:P1230)</f>
        <v>#DIV/0!</v>
      </c>
      <c r="Q1231" s="76" t="e">
        <f>SUM(Q1214:Q1230)</f>
        <v>#DIV/0!</v>
      </c>
      <c r="R1231" s="75" t="e">
        <f>SUM(R1214:R1230)</f>
        <v>#DIV/0!</v>
      </c>
      <c r="S1231" s="76" t="e">
        <f>SUM(S1214:S1230)</f>
        <v>#DIV/0!</v>
      </c>
    </row>
  </sheetData>
  <sheetProtection algorithmName="SHA-512" hashValue="LfSmZkpxiE3pWn/p1YNwyZPeWNzm/jJ7114dSDFByshwmWfvvzGks3V89bIsSACjzpuayl2ZMAat/Q/EM2JdwQ==" saltValue="cZ5IkQOe5az8RF5gR9GHbA==" spinCount="100000" sheet="1" objects="1" scenarios="1" autoFilter="0"/>
  <autoFilter ref="A3:S1231" xr:uid="{F09F1DB9-C21B-410E-8AB0-E4B98FD59AD1}"/>
  <pageMargins left="0.7" right="0.7" top="0.75" bottom="0.75" header="0.3" footer="0.3"/>
  <pageSetup scale="61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8E44-ECD5-4F1D-A043-0061FFF879BE}">
  <dimension ref="A1:AR82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44" width="12.6328125" customWidth="1"/>
  </cols>
  <sheetData>
    <row r="1" spans="1:44" x14ac:dyDescent="0.2">
      <c r="A1" s="1" t="s">
        <v>1174</v>
      </c>
    </row>
    <row r="3" spans="1:44" ht="25.2" x14ac:dyDescent="0.2">
      <c r="A3" s="103" t="s">
        <v>226</v>
      </c>
      <c r="B3" s="103" t="s">
        <v>7</v>
      </c>
      <c r="C3" s="104" t="s">
        <v>1175</v>
      </c>
      <c r="D3" s="104" t="s">
        <v>1176</v>
      </c>
      <c r="E3" s="104" t="s">
        <v>1177</v>
      </c>
      <c r="F3" s="104" t="s">
        <v>1178</v>
      </c>
      <c r="G3" s="104" t="s">
        <v>1179</v>
      </c>
      <c r="H3" s="103" t="s">
        <v>1180</v>
      </c>
      <c r="I3" s="103" t="s">
        <v>1181</v>
      </c>
      <c r="J3" s="103" t="s">
        <v>1182</v>
      </c>
      <c r="K3" s="103" t="s">
        <v>1183</v>
      </c>
      <c r="L3" s="103" t="s">
        <v>1184</v>
      </c>
      <c r="M3" s="103" t="s">
        <v>1185</v>
      </c>
      <c r="N3" s="103" t="s">
        <v>1186</v>
      </c>
      <c r="O3" s="103" t="s">
        <v>1187</v>
      </c>
      <c r="P3" s="103" t="s">
        <v>1188</v>
      </c>
      <c r="Q3" s="103" t="s">
        <v>1189</v>
      </c>
      <c r="R3" s="103" t="s">
        <v>1190</v>
      </c>
      <c r="S3" s="103" t="s">
        <v>1191</v>
      </c>
      <c r="T3" s="103" t="s">
        <v>1192</v>
      </c>
      <c r="U3" s="103" t="s">
        <v>1193</v>
      </c>
      <c r="V3" s="103" t="s">
        <v>1194</v>
      </c>
      <c r="W3" s="103" t="s">
        <v>1195</v>
      </c>
      <c r="X3" s="103" t="s">
        <v>1196</v>
      </c>
      <c r="Y3" s="103" t="s">
        <v>1197</v>
      </c>
      <c r="Z3" s="103" t="s">
        <v>1198</v>
      </c>
      <c r="AA3" s="103" t="s">
        <v>1199</v>
      </c>
      <c r="AB3" s="103" t="s">
        <v>1200</v>
      </c>
      <c r="AC3" s="103" t="s">
        <v>1201</v>
      </c>
      <c r="AD3" s="103" t="s">
        <v>1202</v>
      </c>
      <c r="AE3" s="103" t="s">
        <v>1203</v>
      </c>
      <c r="AF3" s="103" t="s">
        <v>1204</v>
      </c>
      <c r="AG3" s="103" t="s">
        <v>1205</v>
      </c>
      <c r="AH3" s="103" t="s">
        <v>1206</v>
      </c>
      <c r="AI3" s="103" t="s">
        <v>1207</v>
      </c>
      <c r="AJ3" s="103" t="s">
        <v>1208</v>
      </c>
      <c r="AK3" s="103" t="s">
        <v>1209</v>
      </c>
      <c r="AL3" s="103" t="s">
        <v>1210</v>
      </c>
      <c r="AM3" s="103" t="s">
        <v>1211</v>
      </c>
      <c r="AN3" s="103" t="s">
        <v>1212</v>
      </c>
      <c r="AO3" s="103" t="s">
        <v>1213</v>
      </c>
      <c r="AP3" s="103" t="s">
        <v>1214</v>
      </c>
      <c r="AQ3" s="103" t="s">
        <v>1215</v>
      </c>
      <c r="AR3" s="103" t="s">
        <v>1216</v>
      </c>
    </row>
    <row r="4" spans="1:44" x14ac:dyDescent="0.2">
      <c r="A4" s="105"/>
      <c r="B4" s="105"/>
      <c r="C4" s="105"/>
      <c r="D4" s="105"/>
      <c r="E4" s="105"/>
      <c r="F4" s="105"/>
      <c r="G4" s="105"/>
      <c r="H4" s="105"/>
      <c r="I4" s="106" t="s">
        <v>228</v>
      </c>
      <c r="J4" s="106" t="s">
        <v>228</v>
      </c>
      <c r="K4" s="106" t="s">
        <v>228</v>
      </c>
      <c r="L4" s="106" t="s">
        <v>228</v>
      </c>
      <c r="M4" s="106" t="s">
        <v>228</v>
      </c>
      <c r="N4" s="106" t="s">
        <v>228</v>
      </c>
      <c r="O4" s="106" t="s">
        <v>228</v>
      </c>
      <c r="P4" s="106" t="s">
        <v>228</v>
      </c>
      <c r="Q4" s="106" t="s">
        <v>228</v>
      </c>
      <c r="R4" s="106" t="s">
        <v>228</v>
      </c>
      <c r="S4" s="106" t="s">
        <v>228</v>
      </c>
      <c r="T4" s="106" t="s">
        <v>228</v>
      </c>
      <c r="U4" s="106" t="s">
        <v>228</v>
      </c>
      <c r="V4" s="106" t="s">
        <v>228</v>
      </c>
      <c r="W4" s="106" t="s">
        <v>228</v>
      </c>
      <c r="X4" s="106" t="s">
        <v>228</v>
      </c>
      <c r="Y4" s="106" t="s">
        <v>228</v>
      </c>
      <c r="Z4" s="106" t="s">
        <v>228</v>
      </c>
      <c r="AA4" s="106" t="s">
        <v>228</v>
      </c>
      <c r="AB4" s="106" t="s">
        <v>228</v>
      </c>
      <c r="AC4" s="106" t="s">
        <v>228</v>
      </c>
      <c r="AD4" s="106" t="s">
        <v>228</v>
      </c>
      <c r="AE4" s="106" t="s">
        <v>228</v>
      </c>
      <c r="AF4" s="106" t="s">
        <v>228</v>
      </c>
      <c r="AG4" s="106" t="s">
        <v>228</v>
      </c>
      <c r="AH4" s="106" t="s">
        <v>228</v>
      </c>
      <c r="AI4" s="106" t="s">
        <v>228</v>
      </c>
      <c r="AJ4" s="106" t="s">
        <v>228</v>
      </c>
      <c r="AK4" s="106" t="s">
        <v>228</v>
      </c>
      <c r="AL4" s="106" t="s">
        <v>228</v>
      </c>
      <c r="AM4" s="106" t="s">
        <v>228</v>
      </c>
      <c r="AN4" s="106" t="s">
        <v>228</v>
      </c>
      <c r="AO4" s="106" t="s">
        <v>228</v>
      </c>
      <c r="AP4" s="106" t="s">
        <v>228</v>
      </c>
      <c r="AQ4" s="106" t="s">
        <v>228</v>
      </c>
      <c r="AR4" s="106" t="s">
        <v>228</v>
      </c>
    </row>
    <row r="5" spans="1:44" x14ac:dyDescent="0.2">
      <c r="A5" s="51" t="s">
        <v>234</v>
      </c>
      <c r="B5" s="51" t="s">
        <v>21</v>
      </c>
      <c r="C5" s="51" t="s">
        <v>1217</v>
      </c>
      <c r="D5" s="51" t="s">
        <v>235</v>
      </c>
      <c r="E5" s="66">
        <f>IF(B5="","",VLOOKUP(B5,dagsoorttabel1,2,FALSE))</f>
        <v>3.8461538461538464E-3</v>
      </c>
      <c r="F5" s="66">
        <v>1</v>
      </c>
      <c r="G5" s="66">
        <f>IF(prodnorm50&gt;0,1/ROUND(prodnorm50,4),0)</f>
        <v>0</v>
      </c>
      <c r="H5" s="55">
        <f>ROUND(uurtarief50,2)</f>
        <v>0</v>
      </c>
      <c r="I5" s="66">
        <v>0</v>
      </c>
      <c r="J5" s="66">
        <v>0</v>
      </c>
      <c r="K5" s="66">
        <v>0</v>
      </c>
      <c r="L5" s="66">
        <v>0</v>
      </c>
      <c r="M5" s="66">
        <v>0</v>
      </c>
      <c r="N5" s="66">
        <v>0</v>
      </c>
      <c r="O5" s="66">
        <v>0</v>
      </c>
      <c r="P5" s="66">
        <v>0</v>
      </c>
      <c r="Q5" s="66">
        <v>0</v>
      </c>
      <c r="R5" s="66">
        <v>0</v>
      </c>
      <c r="S5" s="66">
        <v>0</v>
      </c>
      <c r="T5" s="66">
        <v>0</v>
      </c>
      <c r="U5" s="66">
        <v>0</v>
      </c>
      <c r="V5" s="66">
        <v>0</v>
      </c>
      <c r="W5" s="66">
        <v>0</v>
      </c>
      <c r="X5" s="66">
        <v>11.2</v>
      </c>
      <c r="Y5" s="66">
        <v>0</v>
      </c>
      <c r="Z5" s="66">
        <v>0</v>
      </c>
      <c r="AA5" s="66">
        <v>0</v>
      </c>
      <c r="AB5" s="66">
        <v>0</v>
      </c>
      <c r="AC5" s="66">
        <v>0</v>
      </c>
      <c r="AD5" s="66">
        <v>0</v>
      </c>
      <c r="AE5" s="66">
        <v>0</v>
      </c>
      <c r="AF5" s="66">
        <v>0</v>
      </c>
      <c r="AG5" s="66">
        <v>0</v>
      </c>
      <c r="AH5" s="66">
        <v>0</v>
      </c>
      <c r="AI5" s="66">
        <v>0</v>
      </c>
      <c r="AJ5" s="66">
        <v>0</v>
      </c>
      <c r="AK5" s="66">
        <v>0</v>
      </c>
      <c r="AL5" s="66">
        <v>0</v>
      </c>
      <c r="AM5" s="66">
        <v>0</v>
      </c>
      <c r="AN5" s="66">
        <v>0</v>
      </c>
      <c r="AO5" s="66">
        <v>0</v>
      </c>
      <c r="AP5" s="66">
        <v>0</v>
      </c>
      <c r="AQ5" s="66">
        <v>0</v>
      </c>
      <c r="AR5" s="66">
        <v>0</v>
      </c>
    </row>
    <row r="6" spans="1:44" x14ac:dyDescent="0.2">
      <c r="A6" s="56" t="s">
        <v>234</v>
      </c>
      <c r="B6" s="56" t="s">
        <v>13</v>
      </c>
      <c r="C6" s="56" t="s">
        <v>1217</v>
      </c>
      <c r="D6" s="56" t="s">
        <v>235</v>
      </c>
      <c r="E6" s="68">
        <f>IF(B6="","",VLOOKUP(B6,dagsoorttabel1,2,FALSE))</f>
        <v>0.2</v>
      </c>
      <c r="F6" s="68">
        <v>1</v>
      </c>
      <c r="G6" s="68">
        <f>IF(prodnorm51&gt;0,1/ROUND(prodnorm51,4),0)</f>
        <v>0</v>
      </c>
      <c r="H6" s="60">
        <f>ROUND(uurtarief51,2)</f>
        <v>0</v>
      </c>
      <c r="I6" s="68">
        <v>0</v>
      </c>
      <c r="J6" s="68">
        <v>0</v>
      </c>
      <c r="K6" s="68">
        <v>0</v>
      </c>
      <c r="L6" s="68">
        <v>0</v>
      </c>
      <c r="M6" s="68">
        <v>0</v>
      </c>
      <c r="N6" s="68">
        <v>0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17.600000000000001</v>
      </c>
      <c r="V6" s="68">
        <v>0</v>
      </c>
      <c r="W6" s="68">
        <v>0</v>
      </c>
      <c r="X6" s="68">
        <v>0</v>
      </c>
      <c r="Y6" s="68">
        <v>0</v>
      </c>
      <c r="Z6" s="68">
        <v>0</v>
      </c>
      <c r="AA6" s="68">
        <v>0</v>
      </c>
      <c r="AB6" s="68">
        <v>0</v>
      </c>
      <c r="AC6" s="68">
        <v>0</v>
      </c>
      <c r="AD6" s="68">
        <v>0</v>
      </c>
      <c r="AE6" s="68">
        <v>0</v>
      </c>
      <c r="AF6" s="68">
        <v>10.31</v>
      </c>
      <c r="AG6" s="68">
        <v>0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68">
        <v>0</v>
      </c>
      <c r="AN6" s="68">
        <v>0</v>
      </c>
      <c r="AO6" s="68">
        <v>0</v>
      </c>
      <c r="AP6" s="68">
        <v>0</v>
      </c>
      <c r="AQ6" s="68">
        <v>0</v>
      </c>
      <c r="AR6" s="68">
        <v>0</v>
      </c>
    </row>
    <row r="7" spans="1:44" x14ac:dyDescent="0.2">
      <c r="A7" s="56" t="s">
        <v>237</v>
      </c>
      <c r="B7" s="56" t="s">
        <v>9</v>
      </c>
      <c r="C7" s="56" t="s">
        <v>1217</v>
      </c>
      <c r="D7" s="56" t="s">
        <v>235</v>
      </c>
      <c r="E7" s="68">
        <f>IF(B7="","",VLOOKUP(B7,dagsoorttabel1,2,FALSE))</f>
        <v>1</v>
      </c>
      <c r="F7" s="68">
        <v>1</v>
      </c>
      <c r="G7" s="68">
        <f>IF(prodnorm52&gt;0,1/ROUND(prodnorm52,4),0)</f>
        <v>0</v>
      </c>
      <c r="H7" s="60">
        <f>ROUND(uurtarief52,2)</f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0</v>
      </c>
      <c r="O7" s="68">
        <v>0</v>
      </c>
      <c r="P7" s="68">
        <v>0</v>
      </c>
      <c r="Q7" s="68">
        <v>0</v>
      </c>
      <c r="R7" s="68">
        <v>0</v>
      </c>
      <c r="S7" s="68">
        <v>0</v>
      </c>
      <c r="T7" s="68">
        <v>0</v>
      </c>
      <c r="U7" s="68">
        <v>33.300000000000004</v>
      </c>
      <c r="V7" s="68">
        <v>0</v>
      </c>
      <c r="W7" s="68">
        <v>0</v>
      </c>
      <c r="X7" s="68">
        <v>0</v>
      </c>
      <c r="Y7" s="68">
        <v>0</v>
      </c>
      <c r="Z7" s="68">
        <v>0</v>
      </c>
      <c r="AA7" s="68">
        <v>0</v>
      </c>
      <c r="AB7" s="68">
        <v>0</v>
      </c>
      <c r="AC7" s="68">
        <v>0</v>
      </c>
      <c r="AD7" s="68">
        <v>0</v>
      </c>
      <c r="AE7" s="68">
        <v>0</v>
      </c>
      <c r="AF7" s="68">
        <v>7.62</v>
      </c>
      <c r="AG7" s="68">
        <v>0</v>
      </c>
      <c r="AH7" s="68">
        <v>0</v>
      </c>
      <c r="AI7" s="68">
        <v>0</v>
      </c>
      <c r="AJ7" s="68">
        <v>0</v>
      </c>
      <c r="AK7" s="68">
        <v>0</v>
      </c>
      <c r="AL7" s="68">
        <v>0</v>
      </c>
      <c r="AM7" s="68">
        <v>0</v>
      </c>
      <c r="AN7" s="68">
        <v>0</v>
      </c>
      <c r="AO7" s="68">
        <v>0</v>
      </c>
      <c r="AP7" s="68">
        <v>0</v>
      </c>
      <c r="AQ7" s="68">
        <v>0</v>
      </c>
      <c r="AR7" s="68">
        <v>0</v>
      </c>
    </row>
    <row r="8" spans="1:44" x14ac:dyDescent="0.2">
      <c r="A8" s="56" t="s">
        <v>239</v>
      </c>
      <c r="B8" s="56" t="s">
        <v>13</v>
      </c>
      <c r="C8" s="56" t="s">
        <v>1217</v>
      </c>
      <c r="D8" s="56" t="s">
        <v>235</v>
      </c>
      <c r="E8" s="68">
        <f>IF(B8="","",VLOOKUP(B8,dagsoorttabel1,2,FALSE))</f>
        <v>0.2</v>
      </c>
      <c r="F8" s="68">
        <v>1</v>
      </c>
      <c r="G8" s="68">
        <f>IF(prodnorm53&gt;0,1/ROUND(prodnorm53,4),0)</f>
        <v>0</v>
      </c>
      <c r="H8" s="60">
        <f>ROUND(uurtarief53,2)</f>
        <v>0</v>
      </c>
      <c r="I8" s="68">
        <v>18.2</v>
      </c>
      <c r="J8" s="68">
        <v>24.64</v>
      </c>
      <c r="K8" s="68">
        <v>32.82</v>
      </c>
      <c r="L8" s="68">
        <v>144.35</v>
      </c>
      <c r="M8" s="68">
        <v>0</v>
      </c>
      <c r="N8" s="68">
        <v>95.1</v>
      </c>
      <c r="O8" s="68">
        <v>0</v>
      </c>
      <c r="P8" s="68">
        <v>0</v>
      </c>
      <c r="Q8" s="68">
        <v>14.9</v>
      </c>
      <c r="R8" s="68">
        <v>14.2</v>
      </c>
      <c r="S8" s="68">
        <v>31.8</v>
      </c>
      <c r="T8" s="68">
        <v>11.729999999999999</v>
      </c>
      <c r="U8" s="68">
        <v>156.80000000000001</v>
      </c>
      <c r="V8" s="68">
        <v>12.16</v>
      </c>
      <c r="W8" s="68">
        <v>8.3000000000000007</v>
      </c>
      <c r="X8" s="68">
        <v>0</v>
      </c>
      <c r="Y8" s="68">
        <v>6.2</v>
      </c>
      <c r="Z8" s="68">
        <v>23.9</v>
      </c>
      <c r="AA8" s="68">
        <v>78.8</v>
      </c>
      <c r="AB8" s="68">
        <v>11</v>
      </c>
      <c r="AC8" s="68">
        <v>23.5</v>
      </c>
      <c r="AD8" s="68">
        <v>1.45</v>
      </c>
      <c r="AE8" s="68">
        <v>16.77</v>
      </c>
      <c r="AF8" s="68">
        <v>25.93</v>
      </c>
      <c r="AG8" s="68">
        <v>15</v>
      </c>
      <c r="AH8" s="68">
        <v>77</v>
      </c>
      <c r="AI8" s="68">
        <v>0</v>
      </c>
      <c r="AJ8" s="68">
        <v>13.9</v>
      </c>
      <c r="AK8" s="68">
        <v>17.899999999999999</v>
      </c>
      <c r="AL8" s="68">
        <v>32.69</v>
      </c>
      <c r="AM8" s="68">
        <v>0</v>
      </c>
      <c r="AN8" s="68">
        <v>13.3</v>
      </c>
      <c r="AO8" s="68">
        <v>60</v>
      </c>
      <c r="AP8" s="68">
        <v>15.6</v>
      </c>
      <c r="AQ8" s="68">
        <v>0</v>
      </c>
      <c r="AR8" s="68">
        <v>0</v>
      </c>
    </row>
    <row r="9" spans="1:44" x14ac:dyDescent="0.2">
      <c r="A9" s="56" t="s">
        <v>239</v>
      </c>
      <c r="B9" s="56" t="s">
        <v>12</v>
      </c>
      <c r="C9" s="56" t="s">
        <v>1217</v>
      </c>
      <c r="D9" s="56" t="s">
        <v>235</v>
      </c>
      <c r="E9" s="68">
        <f>IF(B9="","",VLOOKUP(B9,dagsoorttabel1,2,FALSE))</f>
        <v>0.4</v>
      </c>
      <c r="F9" s="68">
        <v>1</v>
      </c>
      <c r="G9" s="68">
        <f>IF(prodnorm54&gt;0,1/ROUND(prodnorm54,4),0)</f>
        <v>0</v>
      </c>
      <c r="H9" s="60">
        <f>ROUND(uurtarief54,2)</f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0</v>
      </c>
      <c r="U9" s="68">
        <v>74.300000000000011</v>
      </c>
      <c r="V9" s="68">
        <v>0</v>
      </c>
      <c r="W9" s="68">
        <v>0</v>
      </c>
      <c r="X9" s="68">
        <v>0</v>
      </c>
      <c r="Y9" s="68">
        <v>0</v>
      </c>
      <c r="Z9" s="68">
        <v>0</v>
      </c>
      <c r="AA9" s="68">
        <v>0</v>
      </c>
      <c r="AB9" s="68">
        <v>0</v>
      </c>
      <c r="AC9" s="68">
        <v>0</v>
      </c>
      <c r="AD9" s="68">
        <v>0</v>
      </c>
      <c r="AE9" s="68">
        <v>0</v>
      </c>
      <c r="AF9" s="68">
        <v>0</v>
      </c>
      <c r="AG9" s="68">
        <v>0</v>
      </c>
      <c r="AH9" s="68">
        <v>0</v>
      </c>
      <c r="AI9" s="68">
        <v>0</v>
      </c>
      <c r="AJ9" s="68">
        <v>0</v>
      </c>
      <c r="AK9" s="68">
        <v>0</v>
      </c>
      <c r="AL9" s="68">
        <v>0</v>
      </c>
      <c r="AM9" s="68">
        <v>0</v>
      </c>
      <c r="AN9" s="68">
        <v>0</v>
      </c>
      <c r="AO9" s="68">
        <v>0</v>
      </c>
      <c r="AP9" s="68">
        <v>0</v>
      </c>
      <c r="AQ9" s="68">
        <v>0</v>
      </c>
      <c r="AR9" s="68">
        <v>0</v>
      </c>
    </row>
    <row r="10" spans="1:44" x14ac:dyDescent="0.2">
      <c r="A10" s="56" t="s">
        <v>239</v>
      </c>
      <c r="B10" s="56" t="s">
        <v>9</v>
      </c>
      <c r="C10" s="56" t="s">
        <v>1217</v>
      </c>
      <c r="D10" s="56" t="s">
        <v>235</v>
      </c>
      <c r="E10" s="68">
        <f>IF(B10="","",VLOOKUP(B10,dagsoorttabel1,2,FALSE))</f>
        <v>1</v>
      </c>
      <c r="F10" s="68">
        <v>1</v>
      </c>
      <c r="G10" s="68">
        <f>IF(prodnorm55&gt;0,1/ROUND(prodnorm55,4),0)</f>
        <v>0</v>
      </c>
      <c r="H10" s="60">
        <f>ROUND(uurtarief55,2)</f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61.3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17.239999999999998</v>
      </c>
      <c r="AG10" s="68">
        <v>0</v>
      </c>
      <c r="AH10" s="68">
        <v>0</v>
      </c>
      <c r="AI10" s="68">
        <v>0</v>
      </c>
      <c r="AJ10" s="68">
        <v>0</v>
      </c>
      <c r="AK10" s="68">
        <v>0</v>
      </c>
      <c r="AL10" s="68">
        <v>0</v>
      </c>
      <c r="AM10" s="68">
        <v>0</v>
      </c>
      <c r="AN10" s="68">
        <v>0</v>
      </c>
      <c r="AO10" s="68">
        <v>0</v>
      </c>
      <c r="AP10" s="68">
        <v>0</v>
      </c>
      <c r="AQ10" s="68">
        <v>0</v>
      </c>
      <c r="AR10" s="68">
        <v>0</v>
      </c>
    </row>
    <row r="11" spans="1:44" x14ac:dyDescent="0.2">
      <c r="A11" s="56" t="s">
        <v>241</v>
      </c>
      <c r="B11" s="56" t="s">
        <v>13</v>
      </c>
      <c r="C11" s="56" t="s">
        <v>1217</v>
      </c>
      <c r="D11" s="56" t="s">
        <v>235</v>
      </c>
      <c r="E11" s="68">
        <f>IF(B11="","",VLOOKUP(B11,dagsoorttabel1,2,FALSE))</f>
        <v>0.2</v>
      </c>
      <c r="F11" s="68">
        <v>1</v>
      </c>
      <c r="G11" s="68">
        <f>IF(prodnorm56&gt;0,1/ROUND(prodnorm56,4),0)</f>
        <v>0</v>
      </c>
      <c r="H11" s="60">
        <f>ROUND(uurtarief56,2)</f>
        <v>0</v>
      </c>
      <c r="I11" s="68">
        <v>0</v>
      </c>
      <c r="J11" s="68">
        <v>0</v>
      </c>
      <c r="K11" s="68">
        <v>0</v>
      </c>
      <c r="L11" s="68">
        <v>20</v>
      </c>
      <c r="M11" s="68">
        <v>55.1</v>
      </c>
      <c r="N11" s="68">
        <v>0</v>
      </c>
      <c r="O11" s="68">
        <v>29.6</v>
      </c>
      <c r="P11" s="68">
        <v>33.4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8">
        <v>180.4</v>
      </c>
      <c r="Y11" s="68">
        <v>0</v>
      </c>
      <c r="Z11" s="68">
        <v>50.95</v>
      </c>
      <c r="AA11" s="68">
        <v>5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43.3</v>
      </c>
      <c r="AH11" s="68">
        <v>0</v>
      </c>
      <c r="AI11" s="68">
        <v>131.06</v>
      </c>
      <c r="AJ11" s="68">
        <v>0</v>
      </c>
      <c r="AK11" s="68">
        <v>0</v>
      </c>
      <c r="AL11" s="68">
        <v>0</v>
      </c>
      <c r="AM11" s="68">
        <v>11.8</v>
      </c>
      <c r="AN11" s="68">
        <v>0</v>
      </c>
      <c r="AO11" s="68">
        <v>0</v>
      </c>
      <c r="AP11" s="68">
        <v>35.1</v>
      </c>
      <c r="AQ11" s="68">
        <v>0</v>
      </c>
      <c r="AR11" s="68">
        <v>0</v>
      </c>
    </row>
    <row r="12" spans="1:44" x14ac:dyDescent="0.2">
      <c r="A12" s="56" t="s">
        <v>241</v>
      </c>
      <c r="B12" s="56" t="s">
        <v>9</v>
      </c>
      <c r="C12" s="56" t="s">
        <v>1217</v>
      </c>
      <c r="D12" s="56" t="s">
        <v>235</v>
      </c>
      <c r="E12" s="68">
        <f>IF(B12="","",VLOOKUP(B12,dagsoorttabel1,2,FALSE))</f>
        <v>1</v>
      </c>
      <c r="F12" s="68">
        <v>1</v>
      </c>
      <c r="G12" s="68">
        <f>IF(prodnorm57&gt;0,1/ROUND(prodnorm57,4),0)</f>
        <v>0</v>
      </c>
      <c r="H12" s="60">
        <f>ROUND(uurtarief57,2)</f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  <c r="R12" s="68">
        <v>0</v>
      </c>
      <c r="S12" s="68">
        <v>0</v>
      </c>
      <c r="T12" s="68">
        <v>0</v>
      </c>
      <c r="U12" s="68">
        <v>695.1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0</v>
      </c>
      <c r="AB12" s="68">
        <v>0</v>
      </c>
      <c r="AC12" s="68">
        <v>0</v>
      </c>
      <c r="AD12" s="68">
        <v>0</v>
      </c>
      <c r="AE12" s="68">
        <v>0</v>
      </c>
      <c r="AF12" s="68">
        <v>254.30999999999997</v>
      </c>
      <c r="AG12" s="68">
        <v>0</v>
      </c>
      <c r="AH12" s="68">
        <v>0</v>
      </c>
      <c r="AI12" s="68">
        <v>0</v>
      </c>
      <c r="AJ12" s="68">
        <v>0</v>
      </c>
      <c r="AK12" s="68">
        <v>0</v>
      </c>
      <c r="AL12" s="68">
        <v>0</v>
      </c>
      <c r="AM12" s="68">
        <v>0</v>
      </c>
      <c r="AN12" s="68">
        <v>0</v>
      </c>
      <c r="AO12" s="68">
        <v>0</v>
      </c>
      <c r="AP12" s="68">
        <v>0</v>
      </c>
      <c r="AQ12" s="68">
        <v>0</v>
      </c>
      <c r="AR12" s="68">
        <v>0</v>
      </c>
    </row>
    <row r="13" spans="1:44" x14ac:dyDescent="0.2">
      <c r="A13" s="56" t="s">
        <v>244</v>
      </c>
      <c r="B13" s="56" t="s">
        <v>13</v>
      </c>
      <c r="C13" s="56" t="s">
        <v>1217</v>
      </c>
      <c r="D13" s="56" t="s">
        <v>235</v>
      </c>
      <c r="E13" s="68">
        <f>IF(B13="","",VLOOKUP(B13,dagsoorttabel1,2,FALSE))</f>
        <v>0.2</v>
      </c>
      <c r="F13" s="68">
        <v>1</v>
      </c>
      <c r="G13" s="68">
        <f>IF(prodnorm58&gt;0,1/ROUND(prodnorm58,4),0)</f>
        <v>0</v>
      </c>
      <c r="H13" s="60">
        <f>ROUND(uurtarief58,2)</f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10.199999999999999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8">
        <v>0</v>
      </c>
      <c r="AN13" s="68">
        <v>0</v>
      </c>
      <c r="AO13" s="68">
        <v>0</v>
      </c>
      <c r="AP13" s="68">
        <v>0</v>
      </c>
      <c r="AQ13" s="68">
        <v>0</v>
      </c>
      <c r="AR13" s="68">
        <v>0</v>
      </c>
    </row>
    <row r="14" spans="1:44" x14ac:dyDescent="0.2">
      <c r="A14" s="56" t="s">
        <v>246</v>
      </c>
      <c r="B14" s="56" t="s">
        <v>13</v>
      </c>
      <c r="C14" s="56" t="s">
        <v>1217</v>
      </c>
      <c r="D14" s="56" t="s">
        <v>235</v>
      </c>
      <c r="E14" s="68">
        <f>IF(B14="","",VLOOKUP(B14,dagsoorttabel1,2,FALSE))</f>
        <v>0.2</v>
      </c>
      <c r="F14" s="68">
        <v>1</v>
      </c>
      <c r="G14" s="68">
        <f>IF(prodnorm59&gt;0,1/ROUND(prodnorm59,4),0)</f>
        <v>0</v>
      </c>
      <c r="H14" s="60">
        <f>ROUND(uurtarief59,2)</f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11.7</v>
      </c>
      <c r="V14" s="68">
        <v>0</v>
      </c>
      <c r="W14" s="68">
        <v>0</v>
      </c>
      <c r="X14" s="68">
        <v>0</v>
      </c>
      <c r="Y14" s="68">
        <v>0</v>
      </c>
      <c r="Z14" s="68">
        <v>0</v>
      </c>
      <c r="AA14" s="68">
        <v>0</v>
      </c>
      <c r="AB14" s="68">
        <v>0</v>
      </c>
      <c r="AC14" s="68">
        <v>0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68">
        <v>0</v>
      </c>
      <c r="AN14" s="68">
        <v>0</v>
      </c>
      <c r="AO14" s="68">
        <v>0</v>
      </c>
      <c r="AP14" s="68">
        <v>0</v>
      </c>
      <c r="AQ14" s="68">
        <v>0</v>
      </c>
      <c r="AR14" s="68">
        <v>0</v>
      </c>
    </row>
    <row r="15" spans="1:44" x14ac:dyDescent="0.2">
      <c r="A15" s="56" t="s">
        <v>246</v>
      </c>
      <c r="B15" s="56" t="s">
        <v>9</v>
      </c>
      <c r="C15" s="56" t="s">
        <v>1217</v>
      </c>
      <c r="D15" s="56" t="s">
        <v>235</v>
      </c>
      <c r="E15" s="68">
        <f>IF(B15="","",VLOOKUP(B15,dagsoorttabel1,2,FALSE))</f>
        <v>1</v>
      </c>
      <c r="F15" s="68">
        <v>1</v>
      </c>
      <c r="G15" s="68">
        <f>IF(prodnorm60&gt;0,1/ROUND(prodnorm60,4),0)</f>
        <v>0</v>
      </c>
      <c r="H15" s="60">
        <f>ROUND(uurtarief60,2)</f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14.4</v>
      </c>
      <c r="V15" s="68">
        <v>0</v>
      </c>
      <c r="W15" s="68">
        <v>0</v>
      </c>
      <c r="X15" s="68">
        <v>0</v>
      </c>
      <c r="Y15" s="68">
        <v>0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68">
        <v>0</v>
      </c>
      <c r="AN15" s="68">
        <v>0</v>
      </c>
      <c r="AO15" s="68">
        <v>0</v>
      </c>
      <c r="AP15" s="68">
        <v>0</v>
      </c>
      <c r="AQ15" s="68">
        <v>0</v>
      </c>
      <c r="AR15" s="68">
        <v>0</v>
      </c>
    </row>
    <row r="16" spans="1:44" x14ac:dyDescent="0.2">
      <c r="A16" s="56" t="s">
        <v>248</v>
      </c>
      <c r="B16" s="56" t="s">
        <v>13</v>
      </c>
      <c r="C16" s="56" t="s">
        <v>1217</v>
      </c>
      <c r="D16" s="56" t="s">
        <v>235</v>
      </c>
      <c r="E16" s="68">
        <f>IF(B16="","",VLOOKUP(B16,dagsoorttabel1,2,FALSE))</f>
        <v>0.2</v>
      </c>
      <c r="F16" s="68">
        <v>1</v>
      </c>
      <c r="G16" s="68">
        <f>IF(prodnorm61&gt;0,1/ROUND(prodnorm61,4),0)</f>
        <v>0</v>
      </c>
      <c r="H16" s="60">
        <f>ROUND(uurtarief61,2)</f>
        <v>0</v>
      </c>
      <c r="I16" s="68">
        <v>0</v>
      </c>
      <c r="J16" s="68">
        <v>0</v>
      </c>
      <c r="K16" s="68">
        <v>22.5</v>
      </c>
      <c r="L16" s="68">
        <v>0</v>
      </c>
      <c r="M16" s="68">
        <v>0</v>
      </c>
      <c r="N16" s="68">
        <v>30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41.4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68">
        <v>12.3</v>
      </c>
      <c r="AI16" s="68">
        <v>0</v>
      </c>
      <c r="AJ16" s="68">
        <v>0</v>
      </c>
      <c r="AK16" s="68">
        <v>0</v>
      </c>
      <c r="AL16" s="68">
        <v>0</v>
      </c>
      <c r="AM16" s="68">
        <v>0</v>
      </c>
      <c r="AN16" s="68">
        <v>0</v>
      </c>
      <c r="AO16" s="68">
        <v>0</v>
      </c>
      <c r="AP16" s="68">
        <v>0</v>
      </c>
      <c r="AQ16" s="68">
        <v>24.29</v>
      </c>
      <c r="AR16" s="68">
        <v>0</v>
      </c>
    </row>
    <row r="17" spans="1:44" x14ac:dyDescent="0.2">
      <c r="A17" s="56" t="s">
        <v>248</v>
      </c>
      <c r="B17" s="56" t="s">
        <v>12</v>
      </c>
      <c r="C17" s="56" t="s">
        <v>1217</v>
      </c>
      <c r="D17" s="56" t="s">
        <v>235</v>
      </c>
      <c r="E17" s="68">
        <f>IF(B17="","",VLOOKUP(B17,dagsoorttabel1,2,FALSE))</f>
        <v>0.4</v>
      </c>
      <c r="F17" s="68">
        <v>1</v>
      </c>
      <c r="G17" s="68">
        <f>IF(prodnorm62&gt;0,1/ROUND(prodnorm62,4),0)</f>
        <v>0</v>
      </c>
      <c r="H17" s="60">
        <f>ROUND(uurtarief62,2)</f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8">
        <v>51.8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0</v>
      </c>
      <c r="AJ17" s="68">
        <v>0</v>
      </c>
      <c r="AK17" s="68">
        <v>108</v>
      </c>
      <c r="AL17" s="68">
        <v>0</v>
      </c>
      <c r="AM17" s="68">
        <v>0</v>
      </c>
      <c r="AN17" s="68">
        <v>0</v>
      </c>
      <c r="AO17" s="68">
        <v>0</v>
      </c>
      <c r="AP17" s="68">
        <v>0</v>
      </c>
      <c r="AQ17" s="68">
        <v>0</v>
      </c>
      <c r="AR17" s="68">
        <v>0</v>
      </c>
    </row>
    <row r="18" spans="1:44" x14ac:dyDescent="0.2">
      <c r="A18" s="56" t="s">
        <v>248</v>
      </c>
      <c r="B18" s="56" t="s">
        <v>9</v>
      </c>
      <c r="C18" s="56" t="s">
        <v>1217</v>
      </c>
      <c r="D18" s="56" t="s">
        <v>235</v>
      </c>
      <c r="E18" s="68">
        <f>IF(B18="","",VLOOKUP(B18,dagsoorttabel1,2,FALSE))</f>
        <v>1</v>
      </c>
      <c r="F18" s="68">
        <v>1</v>
      </c>
      <c r="G18" s="68">
        <f>IF(prodnorm63&gt;0,1/ROUND(prodnorm63,4),0)</f>
        <v>0</v>
      </c>
      <c r="H18" s="60">
        <f>ROUND(uurtarief63,2)</f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8">
        <v>0</v>
      </c>
      <c r="Q18" s="68">
        <v>0</v>
      </c>
      <c r="R18" s="68">
        <v>0</v>
      </c>
      <c r="S18" s="68">
        <v>0</v>
      </c>
      <c r="T18" s="68">
        <v>0</v>
      </c>
      <c r="U18" s="68">
        <v>39.799999999999997</v>
      </c>
      <c r="V18" s="68">
        <v>0</v>
      </c>
      <c r="W18" s="68">
        <v>0</v>
      </c>
      <c r="X18" s="68">
        <v>0</v>
      </c>
      <c r="Y18" s="68">
        <v>0</v>
      </c>
      <c r="Z18" s="68">
        <v>0</v>
      </c>
      <c r="AA18" s="68"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v>0</v>
      </c>
      <c r="AG18" s="68">
        <v>0</v>
      </c>
      <c r="AH18" s="68">
        <v>0</v>
      </c>
      <c r="AI18" s="68">
        <v>0</v>
      </c>
      <c r="AJ18" s="68">
        <v>0</v>
      </c>
      <c r="AK18" s="68">
        <v>0</v>
      </c>
      <c r="AL18" s="68">
        <v>0</v>
      </c>
      <c r="AM18" s="68">
        <v>0</v>
      </c>
      <c r="AN18" s="68">
        <v>0</v>
      </c>
      <c r="AO18" s="68">
        <v>0</v>
      </c>
      <c r="AP18" s="68">
        <v>0</v>
      </c>
      <c r="AQ18" s="68">
        <v>0</v>
      </c>
      <c r="AR18" s="68">
        <v>0</v>
      </c>
    </row>
    <row r="19" spans="1:44" x14ac:dyDescent="0.2">
      <c r="A19" s="56" t="s">
        <v>250</v>
      </c>
      <c r="B19" s="56" t="s">
        <v>13</v>
      </c>
      <c r="C19" s="56" t="s">
        <v>1217</v>
      </c>
      <c r="D19" s="56" t="s">
        <v>235</v>
      </c>
      <c r="E19" s="68">
        <f>IF(B19="","",VLOOKUP(B19,dagsoorttabel1,2,FALSE))</f>
        <v>0.2</v>
      </c>
      <c r="F19" s="68">
        <v>1</v>
      </c>
      <c r="G19" s="68">
        <f>IF(prodnorm64&gt;0,1/ROUND(prodnorm64,4),0)</f>
        <v>0</v>
      </c>
      <c r="H19" s="60">
        <f>ROUND(uurtarief64,2)</f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19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0</v>
      </c>
      <c r="AJ19" s="68">
        <v>12.57</v>
      </c>
      <c r="AK19" s="68">
        <v>0</v>
      </c>
      <c r="AL19" s="68">
        <v>0</v>
      </c>
      <c r="AM19" s="68">
        <v>15.2</v>
      </c>
      <c r="AN19" s="68">
        <v>0</v>
      </c>
      <c r="AO19" s="68">
        <v>0</v>
      </c>
      <c r="AP19" s="68">
        <v>0</v>
      </c>
      <c r="AQ19" s="68">
        <v>0</v>
      </c>
      <c r="AR19" s="68">
        <v>0</v>
      </c>
    </row>
    <row r="20" spans="1:44" x14ac:dyDescent="0.2">
      <c r="A20" s="56" t="s">
        <v>250</v>
      </c>
      <c r="B20" s="56" t="s">
        <v>12</v>
      </c>
      <c r="C20" s="56" t="s">
        <v>1217</v>
      </c>
      <c r="D20" s="56" t="s">
        <v>235</v>
      </c>
      <c r="E20" s="68">
        <f>IF(B20="","",VLOOKUP(B20,dagsoorttabel1,2,FALSE))</f>
        <v>0.4</v>
      </c>
      <c r="F20" s="68">
        <v>1</v>
      </c>
      <c r="G20" s="68">
        <f>IF(prodnorm65&gt;0,1/ROUND(prodnorm65,4),0)</f>
        <v>0</v>
      </c>
      <c r="H20" s="60">
        <f>ROUND(uurtarief65,2)</f>
        <v>0</v>
      </c>
      <c r="I20" s="68">
        <v>0</v>
      </c>
      <c r="J20" s="68">
        <v>0</v>
      </c>
      <c r="K20" s="68">
        <v>0</v>
      </c>
      <c r="L20" s="68">
        <v>0</v>
      </c>
      <c r="M20" s="68">
        <v>24</v>
      </c>
      <c r="N20" s="68">
        <v>0</v>
      </c>
      <c r="O20" s="68">
        <v>0</v>
      </c>
      <c r="P20" s="68">
        <v>50.5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20.9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107.1</v>
      </c>
      <c r="AH20" s="68">
        <v>0</v>
      </c>
      <c r="AI20" s="68">
        <v>0</v>
      </c>
      <c r="AJ20" s="68">
        <v>0</v>
      </c>
      <c r="AK20" s="68">
        <v>0</v>
      </c>
      <c r="AL20" s="68">
        <v>0</v>
      </c>
      <c r="AM20" s="68">
        <v>0</v>
      </c>
      <c r="AN20" s="68">
        <v>0</v>
      </c>
      <c r="AO20" s="68">
        <v>0</v>
      </c>
      <c r="AP20" s="68">
        <v>0</v>
      </c>
      <c r="AQ20" s="68">
        <v>0</v>
      </c>
      <c r="AR20" s="68">
        <v>0</v>
      </c>
    </row>
    <row r="21" spans="1:44" x14ac:dyDescent="0.2">
      <c r="A21" s="56" t="s">
        <v>250</v>
      </c>
      <c r="B21" s="56" t="s">
        <v>9</v>
      </c>
      <c r="C21" s="56" t="s">
        <v>1217</v>
      </c>
      <c r="D21" s="56" t="s">
        <v>235</v>
      </c>
      <c r="E21" s="68">
        <f>IF(B21="","",VLOOKUP(B21,dagsoorttabel1,2,FALSE))</f>
        <v>1</v>
      </c>
      <c r="F21" s="68">
        <v>1</v>
      </c>
      <c r="G21" s="68">
        <f>IF(prodnorm66&gt;0,1/ROUND(prodnorm66,4),0)</f>
        <v>0</v>
      </c>
      <c r="H21" s="60">
        <f>ROUND(uurtarief66,2)</f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332.20000000000005</v>
      </c>
      <c r="V21" s="68">
        <v>0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0</v>
      </c>
      <c r="AD21" s="68">
        <v>0</v>
      </c>
      <c r="AE21" s="68">
        <v>0</v>
      </c>
      <c r="AF21" s="68">
        <v>135.82</v>
      </c>
      <c r="AG21" s="68">
        <v>0</v>
      </c>
      <c r="AH21" s="68">
        <v>0</v>
      </c>
      <c r="AI21" s="68">
        <v>0</v>
      </c>
      <c r="AJ21" s="68">
        <v>0</v>
      </c>
      <c r="AK21" s="68">
        <v>0</v>
      </c>
      <c r="AL21" s="68">
        <v>0</v>
      </c>
      <c r="AM21" s="68">
        <v>0</v>
      </c>
      <c r="AN21" s="68">
        <v>0</v>
      </c>
      <c r="AO21" s="68">
        <v>0</v>
      </c>
      <c r="AP21" s="68">
        <v>0</v>
      </c>
      <c r="AQ21" s="68">
        <v>0</v>
      </c>
      <c r="AR21" s="68">
        <v>0</v>
      </c>
    </row>
    <row r="22" spans="1:44" x14ac:dyDescent="0.2">
      <c r="A22" s="56" t="s">
        <v>252</v>
      </c>
      <c r="B22" s="56" t="s">
        <v>21</v>
      </c>
      <c r="C22" s="56" t="s">
        <v>1217</v>
      </c>
      <c r="D22" s="56" t="s">
        <v>235</v>
      </c>
      <c r="E22" s="68">
        <f>IF(B22="","",VLOOKUP(B22,dagsoorttabel1,2,FALSE))</f>
        <v>3.8461538461538464E-3</v>
      </c>
      <c r="F22" s="68">
        <v>1</v>
      </c>
      <c r="G22" s="68">
        <f>IF(prodnorm67&gt;0,1/ROUND(prodnorm67,4),0)</f>
        <v>0</v>
      </c>
      <c r="H22" s="60">
        <f>ROUND(uurtarief67,2)</f>
        <v>0</v>
      </c>
      <c r="I22" s="68">
        <v>245.6</v>
      </c>
      <c r="J22" s="68">
        <v>146.07</v>
      </c>
      <c r="K22" s="68">
        <v>252</v>
      </c>
      <c r="L22" s="68">
        <v>307.5</v>
      </c>
      <c r="M22" s="68">
        <v>263.08</v>
      </c>
      <c r="N22" s="68">
        <v>318</v>
      </c>
      <c r="O22" s="68">
        <v>324</v>
      </c>
      <c r="P22" s="68">
        <v>312</v>
      </c>
      <c r="Q22" s="68">
        <v>124</v>
      </c>
      <c r="R22" s="68">
        <v>132</v>
      </c>
      <c r="S22" s="68">
        <v>104</v>
      </c>
      <c r="T22" s="68">
        <v>142.1</v>
      </c>
      <c r="U22" s="68">
        <v>0</v>
      </c>
      <c r="V22" s="68">
        <v>116.47</v>
      </c>
      <c r="W22" s="68">
        <v>140</v>
      </c>
      <c r="X22" s="68">
        <v>400.4</v>
      </c>
      <c r="Y22" s="68">
        <v>40.200000000000003</v>
      </c>
      <c r="Z22" s="68">
        <v>207</v>
      </c>
      <c r="AA22" s="68">
        <v>370</v>
      </c>
      <c r="AB22" s="68">
        <v>190.5</v>
      </c>
      <c r="AC22" s="68">
        <v>120.5</v>
      </c>
      <c r="AD22" s="68">
        <v>174.8</v>
      </c>
      <c r="AE22" s="68">
        <v>153.85</v>
      </c>
      <c r="AF22" s="68">
        <v>637.2600000000001</v>
      </c>
      <c r="AG22" s="68">
        <v>272.65000000000003</v>
      </c>
      <c r="AH22" s="68">
        <v>174.2</v>
      </c>
      <c r="AI22" s="68">
        <v>236.7</v>
      </c>
      <c r="AJ22" s="68">
        <v>220.70000000000002</v>
      </c>
      <c r="AK22" s="68">
        <v>363.8</v>
      </c>
      <c r="AL22" s="68">
        <v>363</v>
      </c>
      <c r="AM22" s="68">
        <v>212.5</v>
      </c>
      <c r="AN22" s="68">
        <v>99.6</v>
      </c>
      <c r="AO22" s="68">
        <v>0</v>
      </c>
      <c r="AP22" s="68">
        <v>263.7</v>
      </c>
      <c r="AQ22" s="68">
        <v>0</v>
      </c>
      <c r="AR22" s="68">
        <v>47.04</v>
      </c>
    </row>
    <row r="23" spans="1:44" x14ac:dyDescent="0.2">
      <c r="A23" s="56" t="s">
        <v>252</v>
      </c>
      <c r="B23" s="56" t="s">
        <v>13</v>
      </c>
      <c r="C23" s="56" t="s">
        <v>1217</v>
      </c>
      <c r="D23" s="56" t="s">
        <v>235</v>
      </c>
      <c r="E23" s="68">
        <f>IF(B23="","",VLOOKUP(B23,dagsoorttabel1,2,FALSE))</f>
        <v>0.2</v>
      </c>
      <c r="F23" s="68">
        <v>1</v>
      </c>
      <c r="G23" s="68">
        <f>IF(prodnorm68&gt;0,1/ROUND(prodnorm68,4),0)</f>
        <v>0</v>
      </c>
      <c r="H23" s="60">
        <f>ROUND(uurtarief68,2)</f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  <c r="R23" s="68">
        <v>0</v>
      </c>
      <c r="S23" s="68">
        <v>0</v>
      </c>
      <c r="T23" s="68">
        <v>0</v>
      </c>
      <c r="U23" s="68">
        <v>178.89999999999998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0</v>
      </c>
      <c r="AD23" s="68">
        <v>0</v>
      </c>
      <c r="AE23" s="68">
        <v>0</v>
      </c>
      <c r="AF23" s="68">
        <v>63.03</v>
      </c>
      <c r="AG23" s="68">
        <v>0</v>
      </c>
      <c r="AH23" s="68">
        <v>0</v>
      </c>
      <c r="AI23" s="68">
        <v>0</v>
      </c>
      <c r="AJ23" s="68">
        <v>0</v>
      </c>
      <c r="AK23" s="68">
        <v>0</v>
      </c>
      <c r="AL23" s="68">
        <v>0</v>
      </c>
      <c r="AM23" s="68">
        <v>0</v>
      </c>
      <c r="AN23" s="68">
        <v>0</v>
      </c>
      <c r="AO23" s="68">
        <v>365.78000000000003</v>
      </c>
      <c r="AP23" s="68">
        <v>0</v>
      </c>
      <c r="AQ23" s="68">
        <v>168.2</v>
      </c>
      <c r="AR23" s="68">
        <v>0</v>
      </c>
    </row>
    <row r="24" spans="1:44" x14ac:dyDescent="0.2">
      <c r="A24" s="56" t="s">
        <v>252</v>
      </c>
      <c r="B24" s="56" t="s">
        <v>20</v>
      </c>
      <c r="C24" s="56" t="s">
        <v>1217</v>
      </c>
      <c r="D24" s="56" t="s">
        <v>235</v>
      </c>
      <c r="E24" s="68">
        <f>IF(B24="","",VLOOKUP(B24,dagsoorttabel1,2,FALSE))</f>
        <v>7.6923076923076927E-3</v>
      </c>
      <c r="F24" s="68">
        <v>1</v>
      </c>
      <c r="G24" s="68">
        <f>IF(prodnorm69&gt;0,1/ROUND(prodnorm69,4),0)</f>
        <v>0</v>
      </c>
      <c r="H24" s="60">
        <f>ROUND(uurtarief69,2)</f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  <c r="R24" s="68">
        <v>0</v>
      </c>
      <c r="S24" s="68">
        <v>0</v>
      </c>
      <c r="T24" s="68">
        <v>0</v>
      </c>
      <c r="U24" s="68">
        <v>719.3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0</v>
      </c>
      <c r="AD24" s="68">
        <v>0</v>
      </c>
      <c r="AE24" s="68">
        <v>25.86</v>
      </c>
      <c r="AF24" s="68">
        <v>0</v>
      </c>
      <c r="AG24" s="68">
        <v>0</v>
      </c>
      <c r="AH24" s="68">
        <v>0</v>
      </c>
      <c r="AI24" s="68">
        <v>0</v>
      </c>
      <c r="AJ24" s="68">
        <v>0</v>
      </c>
      <c r="AK24" s="68">
        <v>0</v>
      </c>
      <c r="AL24" s="68">
        <v>0</v>
      </c>
      <c r="AM24" s="68">
        <v>0</v>
      </c>
      <c r="AN24" s="68">
        <v>0</v>
      </c>
      <c r="AO24" s="68">
        <v>0</v>
      </c>
      <c r="AP24" s="68">
        <v>0</v>
      </c>
      <c r="AQ24" s="68">
        <v>0</v>
      </c>
      <c r="AR24" s="68">
        <v>0</v>
      </c>
    </row>
    <row r="25" spans="1:44" x14ac:dyDescent="0.2">
      <c r="A25" s="56" t="s">
        <v>254</v>
      </c>
      <c r="B25" s="56" t="s">
        <v>21</v>
      </c>
      <c r="C25" s="56" t="s">
        <v>1217</v>
      </c>
      <c r="D25" s="56" t="s">
        <v>235</v>
      </c>
      <c r="E25" s="68">
        <f>IF(B25="","",VLOOKUP(B25,dagsoorttabel1,2,FALSE))</f>
        <v>3.8461538461538464E-3</v>
      </c>
      <c r="F25" s="68">
        <v>1</v>
      </c>
      <c r="G25" s="68">
        <f>IF(prodnorm70&gt;0,1/ROUND(prodnorm70,4),0)</f>
        <v>0</v>
      </c>
      <c r="H25" s="60">
        <f>ROUND(uurtarief70,2)</f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  <c r="R25" s="68">
        <v>0</v>
      </c>
      <c r="S25" s="68">
        <v>0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68">
        <v>0</v>
      </c>
      <c r="AE25" s="68">
        <v>0</v>
      </c>
      <c r="AF25" s="68">
        <v>51.839999999999996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0</v>
      </c>
      <c r="AM25" s="68">
        <v>0</v>
      </c>
      <c r="AN25" s="68">
        <v>0</v>
      </c>
      <c r="AO25" s="68">
        <v>0</v>
      </c>
      <c r="AP25" s="68">
        <v>0</v>
      </c>
      <c r="AQ25" s="68">
        <v>0</v>
      </c>
      <c r="AR25" s="68">
        <v>0</v>
      </c>
    </row>
    <row r="26" spans="1:44" x14ac:dyDescent="0.2">
      <c r="A26" s="56" t="s">
        <v>254</v>
      </c>
      <c r="B26" s="56" t="s">
        <v>13</v>
      </c>
      <c r="C26" s="56" t="s">
        <v>1217</v>
      </c>
      <c r="D26" s="56" t="s">
        <v>235</v>
      </c>
      <c r="E26" s="68">
        <f>IF(B26="","",VLOOKUP(B26,dagsoorttabel1,2,FALSE))</f>
        <v>0.2</v>
      </c>
      <c r="F26" s="68">
        <v>1</v>
      </c>
      <c r="G26" s="68">
        <f>IF(prodnorm71&gt;0,1/ROUND(prodnorm71,4),0)</f>
        <v>0</v>
      </c>
      <c r="H26" s="60">
        <f>ROUND(uurtarief71,2)</f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  <c r="R26" s="68">
        <v>0</v>
      </c>
      <c r="S26" s="68">
        <v>0</v>
      </c>
      <c r="T26" s="68">
        <v>0</v>
      </c>
      <c r="U26" s="68">
        <v>48.8</v>
      </c>
      <c r="V26" s="68">
        <v>0</v>
      </c>
      <c r="W26" s="68">
        <v>0</v>
      </c>
      <c r="X26" s="68">
        <v>0</v>
      </c>
      <c r="Y26" s="68">
        <v>0</v>
      </c>
      <c r="Z26" s="68">
        <v>0</v>
      </c>
      <c r="AA26" s="68">
        <v>0</v>
      </c>
      <c r="AB26" s="68">
        <v>0</v>
      </c>
      <c r="AC26" s="68">
        <v>0</v>
      </c>
      <c r="AD26" s="68">
        <v>0</v>
      </c>
      <c r="AE26" s="68">
        <v>0</v>
      </c>
      <c r="AF26" s="68">
        <v>0</v>
      </c>
      <c r="AG26" s="68">
        <v>0</v>
      </c>
      <c r="AH26" s="68">
        <v>0</v>
      </c>
      <c r="AI26" s="68">
        <v>0</v>
      </c>
      <c r="AJ26" s="68">
        <v>0</v>
      </c>
      <c r="AK26" s="68">
        <v>0</v>
      </c>
      <c r="AL26" s="68">
        <v>0</v>
      </c>
      <c r="AM26" s="68">
        <v>0</v>
      </c>
      <c r="AN26" s="68">
        <v>0</v>
      </c>
      <c r="AO26" s="68">
        <v>0</v>
      </c>
      <c r="AP26" s="68">
        <v>0</v>
      </c>
      <c r="AQ26" s="68">
        <v>0</v>
      </c>
      <c r="AR26" s="68">
        <v>0</v>
      </c>
    </row>
    <row r="27" spans="1:44" x14ac:dyDescent="0.2">
      <c r="A27" s="56" t="s">
        <v>256</v>
      </c>
      <c r="B27" s="56" t="s">
        <v>13</v>
      </c>
      <c r="C27" s="56" t="s">
        <v>1217</v>
      </c>
      <c r="D27" s="56" t="s">
        <v>235</v>
      </c>
      <c r="E27" s="68">
        <f>IF(B27="","",VLOOKUP(B27,dagsoorttabel1,2,FALSE))</f>
        <v>0.2</v>
      </c>
      <c r="F27" s="68">
        <v>1</v>
      </c>
      <c r="G27" s="68">
        <f>IF(prodnorm72&gt;0,1/ROUND(prodnorm72,4),0)</f>
        <v>0</v>
      </c>
      <c r="H27" s="60">
        <f>ROUND(uurtarief72,2)</f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  <c r="S27" s="68">
        <v>0</v>
      </c>
      <c r="T27" s="68">
        <v>0</v>
      </c>
      <c r="U27" s="68">
        <v>119.8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68">
        <v>0</v>
      </c>
      <c r="AN27" s="68">
        <v>0</v>
      </c>
      <c r="AO27" s="68">
        <v>0</v>
      </c>
      <c r="AP27" s="68">
        <v>0</v>
      </c>
      <c r="AQ27" s="68">
        <v>0</v>
      </c>
      <c r="AR27" s="68">
        <v>0</v>
      </c>
    </row>
    <row r="28" spans="1:44" x14ac:dyDescent="0.2">
      <c r="A28" s="56" t="s">
        <v>258</v>
      </c>
      <c r="B28" s="56" t="s">
        <v>21</v>
      </c>
      <c r="C28" s="56" t="s">
        <v>1217</v>
      </c>
      <c r="D28" s="56" t="s">
        <v>235</v>
      </c>
      <c r="E28" s="68">
        <f>IF(B28="","",VLOOKUP(B28,dagsoorttabel1,2,FALSE))</f>
        <v>3.8461538461538464E-3</v>
      </c>
      <c r="F28" s="68">
        <v>1</v>
      </c>
      <c r="G28" s="68">
        <f>IF(prodnorm73&gt;0,1/ROUND(prodnorm73,4),0)</f>
        <v>0</v>
      </c>
      <c r="H28" s="60">
        <f>ROUND(uurtarief73,2)</f>
        <v>0</v>
      </c>
      <c r="I28" s="68">
        <v>0</v>
      </c>
      <c r="J28" s="68">
        <v>0</v>
      </c>
      <c r="K28" s="68">
        <v>0</v>
      </c>
      <c r="L28" s="68">
        <v>0</v>
      </c>
      <c r="M28" s="68">
        <v>0</v>
      </c>
      <c r="N28" s="68">
        <v>0</v>
      </c>
      <c r="O28" s="68">
        <v>0</v>
      </c>
      <c r="P28" s="68">
        <v>0</v>
      </c>
      <c r="Q28" s="68">
        <v>0</v>
      </c>
      <c r="R28" s="68">
        <v>0</v>
      </c>
      <c r="S28" s="68">
        <v>0</v>
      </c>
      <c r="T28" s="68">
        <v>0</v>
      </c>
      <c r="U28" s="68">
        <v>18.100000000000001</v>
      </c>
      <c r="V28" s="68">
        <v>0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0</v>
      </c>
      <c r="AD28" s="68">
        <v>0</v>
      </c>
      <c r="AE28" s="68">
        <v>0</v>
      </c>
      <c r="AF28" s="68">
        <v>0</v>
      </c>
      <c r="AG28" s="68">
        <v>0</v>
      </c>
      <c r="AH28" s="68">
        <v>0</v>
      </c>
      <c r="AI28" s="68">
        <v>0</v>
      </c>
      <c r="AJ28" s="68">
        <v>0</v>
      </c>
      <c r="AK28" s="68">
        <v>0</v>
      </c>
      <c r="AL28" s="68">
        <v>0</v>
      </c>
      <c r="AM28" s="68">
        <v>0</v>
      </c>
      <c r="AN28" s="68">
        <v>0</v>
      </c>
      <c r="AO28" s="68">
        <v>0</v>
      </c>
      <c r="AP28" s="68">
        <v>0</v>
      </c>
      <c r="AQ28" s="68">
        <v>0</v>
      </c>
      <c r="AR28" s="68">
        <v>0</v>
      </c>
    </row>
    <row r="29" spans="1:44" x14ac:dyDescent="0.2">
      <c r="A29" s="56" t="s">
        <v>258</v>
      </c>
      <c r="B29" s="56" t="s">
        <v>13</v>
      </c>
      <c r="C29" s="56" t="s">
        <v>1217</v>
      </c>
      <c r="D29" s="56" t="s">
        <v>235</v>
      </c>
      <c r="E29" s="68">
        <f>IF(B29="","",VLOOKUP(B29,dagsoorttabel1,2,FALSE))</f>
        <v>0.2</v>
      </c>
      <c r="F29" s="68">
        <v>1</v>
      </c>
      <c r="G29" s="68">
        <f>IF(prodnorm74&gt;0,1/ROUND(prodnorm74,4),0)</f>
        <v>0</v>
      </c>
      <c r="H29" s="60">
        <f>ROUND(uurtarief74,2)</f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68">
        <v>0</v>
      </c>
      <c r="T29" s="68">
        <v>0</v>
      </c>
      <c r="U29" s="68">
        <v>554.5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0</v>
      </c>
      <c r="AD29" s="68">
        <v>0</v>
      </c>
      <c r="AE29" s="68">
        <v>0</v>
      </c>
      <c r="AF29" s="68">
        <v>0</v>
      </c>
      <c r="AG29" s="68">
        <v>0</v>
      </c>
      <c r="AH29" s="68">
        <v>0</v>
      </c>
      <c r="AI29" s="68">
        <v>0</v>
      </c>
      <c r="AJ29" s="68">
        <v>0</v>
      </c>
      <c r="AK29" s="68">
        <v>0</v>
      </c>
      <c r="AL29" s="68">
        <v>0</v>
      </c>
      <c r="AM29" s="68">
        <v>0</v>
      </c>
      <c r="AN29" s="68">
        <v>0</v>
      </c>
      <c r="AO29" s="68">
        <v>0</v>
      </c>
      <c r="AP29" s="68">
        <v>0</v>
      </c>
      <c r="AQ29" s="68">
        <v>0</v>
      </c>
      <c r="AR29" s="68">
        <v>0</v>
      </c>
    </row>
    <row r="30" spans="1:44" x14ac:dyDescent="0.2">
      <c r="A30" s="56" t="s">
        <v>260</v>
      </c>
      <c r="B30" s="56" t="s">
        <v>13</v>
      </c>
      <c r="C30" s="56" t="s">
        <v>1217</v>
      </c>
      <c r="D30" s="56" t="s">
        <v>235</v>
      </c>
      <c r="E30" s="68">
        <f>IF(B30="","",VLOOKUP(B30,dagsoorttabel1,2,FALSE))</f>
        <v>0.2</v>
      </c>
      <c r="F30" s="68">
        <v>1</v>
      </c>
      <c r="G30" s="68">
        <f>IF(prodnorm75&gt;0,1/ROUND(prodnorm75,4),0)</f>
        <v>0</v>
      </c>
      <c r="H30" s="60">
        <f>ROUND(uurtarief75,2)</f>
        <v>0</v>
      </c>
      <c r="I30" s="68">
        <v>22</v>
      </c>
      <c r="J30" s="68">
        <v>0</v>
      </c>
      <c r="K30" s="68">
        <v>55.97</v>
      </c>
      <c r="L30" s="68">
        <v>0</v>
      </c>
      <c r="M30" s="68">
        <v>0</v>
      </c>
      <c r="N30" s="68">
        <v>0</v>
      </c>
      <c r="O30" s="68">
        <v>44</v>
      </c>
      <c r="P30" s="68">
        <v>0</v>
      </c>
      <c r="Q30" s="68">
        <v>57</v>
      </c>
      <c r="R30" s="68">
        <v>72</v>
      </c>
      <c r="S30" s="68">
        <v>0</v>
      </c>
      <c r="T30" s="68">
        <v>0</v>
      </c>
      <c r="U30" s="68">
        <v>0</v>
      </c>
      <c r="V30" s="68">
        <v>0</v>
      </c>
      <c r="W30" s="68">
        <v>31</v>
      </c>
      <c r="X30" s="68">
        <v>0</v>
      </c>
      <c r="Y30" s="68">
        <v>45</v>
      </c>
      <c r="Z30" s="68">
        <v>70.25</v>
      </c>
      <c r="AA30" s="68">
        <v>43</v>
      </c>
      <c r="AB30" s="68">
        <v>0</v>
      </c>
      <c r="AC30" s="68">
        <v>36</v>
      </c>
      <c r="AD30" s="68">
        <v>31.9</v>
      </c>
      <c r="AE30" s="68">
        <v>38.349999999999994</v>
      </c>
      <c r="AF30" s="68">
        <v>0</v>
      </c>
      <c r="AG30" s="68">
        <v>0</v>
      </c>
      <c r="AH30" s="68">
        <v>0</v>
      </c>
      <c r="AI30" s="68">
        <v>0</v>
      </c>
      <c r="AJ30" s="68">
        <v>111.80000000000001</v>
      </c>
      <c r="AK30" s="68">
        <v>0</v>
      </c>
      <c r="AL30" s="68">
        <v>0</v>
      </c>
      <c r="AM30" s="68">
        <v>32</v>
      </c>
      <c r="AN30" s="68">
        <v>0</v>
      </c>
      <c r="AO30" s="68">
        <v>0</v>
      </c>
      <c r="AP30" s="68">
        <v>62.6</v>
      </c>
      <c r="AQ30" s="68">
        <v>0</v>
      </c>
      <c r="AR30" s="68">
        <v>41</v>
      </c>
    </row>
    <row r="31" spans="1:44" x14ac:dyDescent="0.2">
      <c r="A31" s="56" t="s">
        <v>260</v>
      </c>
      <c r="B31" s="56" t="s">
        <v>12</v>
      </c>
      <c r="C31" s="56" t="s">
        <v>1217</v>
      </c>
      <c r="D31" s="56" t="s">
        <v>235</v>
      </c>
      <c r="E31" s="68">
        <f>IF(B31="","",VLOOKUP(B31,dagsoorttabel1,2,FALSE))</f>
        <v>0.4</v>
      </c>
      <c r="F31" s="68">
        <v>1</v>
      </c>
      <c r="G31" s="68">
        <f>IF(prodnorm76&gt;0,1/ROUND(prodnorm76,4),0)</f>
        <v>0</v>
      </c>
      <c r="H31" s="60">
        <f>ROUND(uurtarief76,2)</f>
        <v>0</v>
      </c>
      <c r="I31" s="68">
        <v>0</v>
      </c>
      <c r="J31" s="68">
        <v>0</v>
      </c>
      <c r="K31" s="68">
        <v>0</v>
      </c>
      <c r="L31" s="68">
        <v>0</v>
      </c>
      <c r="M31" s="68">
        <v>91.54</v>
      </c>
      <c r="N31" s="68">
        <v>0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0</v>
      </c>
      <c r="U31" s="68">
        <v>0</v>
      </c>
      <c r="V31" s="68">
        <v>0</v>
      </c>
      <c r="W31" s="68">
        <v>0</v>
      </c>
      <c r="X31" s="68">
        <v>70.3</v>
      </c>
      <c r="Y31" s="68">
        <v>0</v>
      </c>
      <c r="Z31" s="68">
        <v>0</v>
      </c>
      <c r="AA31" s="68">
        <v>0</v>
      </c>
      <c r="AB31" s="68">
        <v>0</v>
      </c>
      <c r="AC31" s="68">
        <v>0</v>
      </c>
      <c r="AD31" s="68">
        <v>0</v>
      </c>
      <c r="AE31" s="68">
        <v>0</v>
      </c>
      <c r="AF31" s="68">
        <v>105.22</v>
      </c>
      <c r="AG31" s="68">
        <v>0</v>
      </c>
      <c r="AH31" s="68">
        <v>107.69999999999999</v>
      </c>
      <c r="AI31" s="68">
        <v>62.839999999999996</v>
      </c>
      <c r="AJ31" s="68">
        <v>0</v>
      </c>
      <c r="AK31" s="68">
        <v>0</v>
      </c>
      <c r="AL31" s="68">
        <v>0</v>
      </c>
      <c r="AM31" s="68">
        <v>0</v>
      </c>
      <c r="AN31" s="68">
        <v>0</v>
      </c>
      <c r="AO31" s="68">
        <v>0</v>
      </c>
      <c r="AP31" s="68">
        <v>0</v>
      </c>
      <c r="AQ31" s="68">
        <v>0</v>
      </c>
      <c r="AR31" s="68">
        <v>0</v>
      </c>
    </row>
    <row r="32" spans="1:44" x14ac:dyDescent="0.2">
      <c r="A32" s="56" t="s">
        <v>260</v>
      </c>
      <c r="B32" s="56" t="s">
        <v>9</v>
      </c>
      <c r="C32" s="56" t="s">
        <v>1217</v>
      </c>
      <c r="D32" s="56" t="s">
        <v>235</v>
      </c>
      <c r="E32" s="68">
        <f>IF(B32="","",VLOOKUP(B32,dagsoorttabel1,2,FALSE))</f>
        <v>1</v>
      </c>
      <c r="F32" s="68">
        <v>1</v>
      </c>
      <c r="G32" s="68">
        <f>IF(prodnorm77&gt;0,1/ROUND(prodnorm77,4),0)</f>
        <v>0</v>
      </c>
      <c r="H32" s="60">
        <f>ROUND(uurtarief77,2)</f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68">
        <v>0</v>
      </c>
      <c r="S32" s="68">
        <v>0</v>
      </c>
      <c r="T32" s="68">
        <v>0</v>
      </c>
      <c r="U32" s="68">
        <v>33.700000000000003</v>
      </c>
      <c r="V32" s="68">
        <v>0</v>
      </c>
      <c r="W32" s="68">
        <v>0</v>
      </c>
      <c r="X32" s="68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0</v>
      </c>
      <c r="AD32" s="68">
        <v>0</v>
      </c>
      <c r="AE32" s="68">
        <v>0</v>
      </c>
      <c r="AF32" s="68">
        <v>0</v>
      </c>
      <c r="AG32" s="68">
        <v>0</v>
      </c>
      <c r="AH32" s="68">
        <v>0</v>
      </c>
      <c r="AI32" s="68">
        <v>0</v>
      </c>
      <c r="AJ32" s="68">
        <v>0</v>
      </c>
      <c r="AK32" s="68">
        <v>0</v>
      </c>
      <c r="AL32" s="68">
        <v>0</v>
      </c>
      <c r="AM32" s="68">
        <v>0</v>
      </c>
      <c r="AN32" s="68">
        <v>0</v>
      </c>
      <c r="AO32" s="68">
        <v>0</v>
      </c>
      <c r="AP32" s="68">
        <v>0</v>
      </c>
      <c r="AQ32" s="68">
        <v>0</v>
      </c>
      <c r="AR32" s="68">
        <v>0</v>
      </c>
    </row>
    <row r="33" spans="1:44" x14ac:dyDescent="0.2">
      <c r="A33" s="56" t="s">
        <v>262</v>
      </c>
      <c r="B33" s="56" t="s">
        <v>13</v>
      </c>
      <c r="C33" s="56" t="s">
        <v>1217</v>
      </c>
      <c r="D33" s="56" t="s">
        <v>235</v>
      </c>
      <c r="E33" s="68">
        <f>IF(B33="","",VLOOKUP(B33,dagsoorttabel1,2,FALSE))</f>
        <v>0.2</v>
      </c>
      <c r="F33" s="68">
        <v>1</v>
      </c>
      <c r="G33" s="68">
        <f>IF(prodnorm78&gt;0,1/ROUND(prodnorm78,4),0)</f>
        <v>0</v>
      </c>
      <c r="H33" s="60">
        <f>ROUND(uurtarief78,2)</f>
        <v>0</v>
      </c>
      <c r="I33" s="68">
        <v>42</v>
      </c>
      <c r="J33" s="68">
        <v>0</v>
      </c>
      <c r="K33" s="68">
        <v>0</v>
      </c>
      <c r="L33" s="68">
        <v>0</v>
      </c>
      <c r="M33" s="68">
        <v>0</v>
      </c>
      <c r="N33" s="68">
        <v>0</v>
      </c>
      <c r="O33" s="68">
        <v>51.8</v>
      </c>
      <c r="P33" s="68">
        <v>0</v>
      </c>
      <c r="Q33" s="68">
        <v>0</v>
      </c>
      <c r="R33" s="68">
        <v>0</v>
      </c>
      <c r="S33" s="68">
        <v>51.8</v>
      </c>
      <c r="T33" s="68">
        <v>0</v>
      </c>
      <c r="U33" s="68">
        <v>51.6</v>
      </c>
      <c r="V33" s="68">
        <v>0</v>
      </c>
      <c r="W33" s="68">
        <v>0</v>
      </c>
      <c r="X33" s="68">
        <v>67.990000000000009</v>
      </c>
      <c r="Y33" s="68">
        <v>0</v>
      </c>
      <c r="Z33" s="68">
        <v>0</v>
      </c>
      <c r="AA33" s="68">
        <v>0</v>
      </c>
      <c r="AB33" s="68">
        <v>0</v>
      </c>
      <c r="AC33" s="68">
        <v>0</v>
      </c>
      <c r="AD33" s="68">
        <v>0</v>
      </c>
      <c r="AE33" s="68">
        <v>0</v>
      </c>
      <c r="AF33" s="68">
        <v>0</v>
      </c>
      <c r="AG33" s="68">
        <v>0</v>
      </c>
      <c r="AH33" s="68">
        <v>0</v>
      </c>
      <c r="AI33" s="68">
        <v>0</v>
      </c>
      <c r="AJ33" s="68">
        <v>0</v>
      </c>
      <c r="AK33" s="68">
        <v>0</v>
      </c>
      <c r="AL33" s="68">
        <v>0</v>
      </c>
      <c r="AM33" s="68">
        <v>0</v>
      </c>
      <c r="AN33" s="68">
        <v>0</v>
      </c>
      <c r="AO33" s="68">
        <v>0</v>
      </c>
      <c r="AP33" s="68">
        <v>23.6</v>
      </c>
      <c r="AQ33" s="68">
        <v>0</v>
      </c>
      <c r="AR33" s="68">
        <v>27.150000000000002</v>
      </c>
    </row>
    <row r="34" spans="1:44" x14ac:dyDescent="0.2">
      <c r="A34" s="56" t="s">
        <v>262</v>
      </c>
      <c r="B34" s="56" t="s">
        <v>12</v>
      </c>
      <c r="C34" s="56" t="s">
        <v>1217</v>
      </c>
      <c r="D34" s="56" t="s">
        <v>235</v>
      </c>
      <c r="E34" s="68">
        <f>IF(B34="","",VLOOKUP(B34,dagsoorttabel1,2,FALSE))</f>
        <v>0.4</v>
      </c>
      <c r="F34" s="68">
        <v>1</v>
      </c>
      <c r="G34" s="68">
        <f>IF(prodnorm79&gt;0,1/ROUND(prodnorm79,4),0)</f>
        <v>0</v>
      </c>
      <c r="H34" s="60">
        <f>ROUND(uurtarief79,2)</f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15.3</v>
      </c>
      <c r="V34" s="68">
        <v>0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68">
        <v>0</v>
      </c>
      <c r="AE34" s="68">
        <v>0</v>
      </c>
      <c r="AF34" s="68">
        <v>0</v>
      </c>
      <c r="AG34" s="68">
        <v>0</v>
      </c>
      <c r="AH34" s="68">
        <v>0</v>
      </c>
      <c r="AI34" s="68">
        <v>0</v>
      </c>
      <c r="AJ34" s="68">
        <v>0</v>
      </c>
      <c r="AK34" s="68">
        <v>0</v>
      </c>
      <c r="AL34" s="68">
        <v>0</v>
      </c>
      <c r="AM34" s="68">
        <v>0</v>
      </c>
      <c r="AN34" s="68">
        <v>0</v>
      </c>
      <c r="AO34" s="68">
        <v>0</v>
      </c>
      <c r="AP34" s="68">
        <v>0</v>
      </c>
      <c r="AQ34" s="68">
        <v>0</v>
      </c>
      <c r="AR34" s="68">
        <v>0</v>
      </c>
    </row>
    <row r="35" spans="1:44" x14ac:dyDescent="0.2">
      <c r="A35" s="56" t="s">
        <v>262</v>
      </c>
      <c r="B35" s="56" t="s">
        <v>9</v>
      </c>
      <c r="C35" s="56" t="s">
        <v>1217</v>
      </c>
      <c r="D35" s="56" t="s">
        <v>235</v>
      </c>
      <c r="E35" s="68">
        <f>IF(B35="","",VLOOKUP(B35,dagsoorttabel1,2,FALSE))</f>
        <v>1</v>
      </c>
      <c r="F35" s="68">
        <v>1</v>
      </c>
      <c r="G35" s="68">
        <f>IF(prodnorm80&gt;0,1/ROUND(prodnorm80,4),0)</f>
        <v>0</v>
      </c>
      <c r="H35" s="60">
        <f>ROUND(uurtarief80,2)</f>
        <v>0</v>
      </c>
      <c r="I35" s="68">
        <v>0</v>
      </c>
      <c r="J35" s="68">
        <v>0</v>
      </c>
      <c r="K35" s="68">
        <v>0</v>
      </c>
      <c r="L35" s="68">
        <v>0</v>
      </c>
      <c r="M35" s="68">
        <v>0</v>
      </c>
      <c r="N35" s="68">
        <v>0</v>
      </c>
      <c r="O35" s="68">
        <v>0</v>
      </c>
      <c r="P35" s="68">
        <v>0</v>
      </c>
      <c r="Q35" s="68">
        <v>0</v>
      </c>
      <c r="R35" s="68">
        <v>0</v>
      </c>
      <c r="S35" s="68">
        <v>0</v>
      </c>
      <c r="T35" s="68">
        <v>0</v>
      </c>
      <c r="U35" s="68">
        <v>63.599999999999994</v>
      </c>
      <c r="V35" s="68">
        <v>0</v>
      </c>
      <c r="W35" s="68">
        <v>0</v>
      </c>
      <c r="X35" s="68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0</v>
      </c>
      <c r="AD35" s="68">
        <v>0</v>
      </c>
      <c r="AE35" s="68">
        <v>0</v>
      </c>
      <c r="AF35" s="68">
        <v>0</v>
      </c>
      <c r="AG35" s="68">
        <v>0</v>
      </c>
      <c r="AH35" s="68">
        <v>0</v>
      </c>
      <c r="AI35" s="68">
        <v>0</v>
      </c>
      <c r="AJ35" s="68">
        <v>0</v>
      </c>
      <c r="AK35" s="68">
        <v>0</v>
      </c>
      <c r="AL35" s="68">
        <v>0</v>
      </c>
      <c r="AM35" s="68">
        <v>0</v>
      </c>
      <c r="AN35" s="68">
        <v>0</v>
      </c>
      <c r="AO35" s="68">
        <v>0</v>
      </c>
      <c r="AP35" s="68">
        <v>0</v>
      </c>
      <c r="AQ35" s="68">
        <v>0</v>
      </c>
      <c r="AR35" s="68">
        <v>0</v>
      </c>
    </row>
    <row r="36" spans="1:44" x14ac:dyDescent="0.2">
      <c r="A36" s="56" t="s">
        <v>264</v>
      </c>
      <c r="B36" s="56" t="s">
        <v>21</v>
      </c>
      <c r="C36" s="56" t="s">
        <v>1217</v>
      </c>
      <c r="D36" s="56" t="s">
        <v>235</v>
      </c>
      <c r="E36" s="68">
        <f>IF(B36="","",VLOOKUP(B36,dagsoorttabel1,2,FALSE))</f>
        <v>3.8461538461538464E-3</v>
      </c>
      <c r="F36" s="68">
        <v>1</v>
      </c>
      <c r="G36" s="68">
        <f>IF(prodnorm81&gt;0,1/ROUND(prodnorm81,4),0)</f>
        <v>0</v>
      </c>
      <c r="H36" s="60">
        <f>ROUND(uurtarief81,2)</f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12.6</v>
      </c>
      <c r="Q36" s="68">
        <v>0</v>
      </c>
      <c r="R36" s="68">
        <v>0</v>
      </c>
      <c r="S36" s="68">
        <v>0</v>
      </c>
      <c r="T36" s="68">
        <v>0</v>
      </c>
      <c r="U36" s="68">
        <v>194.7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68">
        <v>26.5</v>
      </c>
      <c r="AB36" s="68">
        <v>0</v>
      </c>
      <c r="AC36" s="68">
        <v>5</v>
      </c>
      <c r="AD36" s="68">
        <v>0</v>
      </c>
      <c r="AE36" s="68">
        <v>0</v>
      </c>
      <c r="AF36" s="68">
        <v>118.71000000000002</v>
      </c>
      <c r="AG36" s="68">
        <v>0</v>
      </c>
      <c r="AH36" s="68">
        <v>0</v>
      </c>
      <c r="AI36" s="68">
        <v>0</v>
      </c>
      <c r="AJ36" s="68">
        <v>0</v>
      </c>
      <c r="AK36" s="68">
        <v>53.300000000000004</v>
      </c>
      <c r="AL36" s="68">
        <v>0</v>
      </c>
      <c r="AM36" s="68">
        <v>0</v>
      </c>
      <c r="AN36" s="68">
        <v>0</v>
      </c>
      <c r="AO36" s="68">
        <v>0</v>
      </c>
      <c r="AP36" s="68">
        <v>0</v>
      </c>
      <c r="AQ36" s="68">
        <v>0</v>
      </c>
      <c r="AR36" s="68">
        <v>0</v>
      </c>
    </row>
    <row r="37" spans="1:44" x14ac:dyDescent="0.2">
      <c r="A37" s="56" t="s">
        <v>264</v>
      </c>
      <c r="B37" s="56" t="s">
        <v>13</v>
      </c>
      <c r="C37" s="56" t="s">
        <v>1217</v>
      </c>
      <c r="D37" s="56" t="s">
        <v>235</v>
      </c>
      <c r="E37" s="68">
        <f>IF(B37="","",VLOOKUP(B37,dagsoorttabel1,2,FALSE))</f>
        <v>0.2</v>
      </c>
      <c r="F37" s="68">
        <v>1</v>
      </c>
      <c r="G37" s="68">
        <f>IF(prodnorm82&gt;0,1/ROUND(prodnorm82,4),0)</f>
        <v>0</v>
      </c>
      <c r="H37" s="60">
        <f>ROUND(uurtarief82,2)</f>
        <v>0</v>
      </c>
      <c r="I37" s="68">
        <v>0</v>
      </c>
      <c r="J37" s="68">
        <v>0</v>
      </c>
      <c r="K37" s="68">
        <v>0</v>
      </c>
      <c r="L37" s="68">
        <v>14.75</v>
      </c>
      <c r="M37" s="68">
        <v>0</v>
      </c>
      <c r="N37" s="68">
        <v>0</v>
      </c>
      <c r="O37" s="68">
        <v>6.9</v>
      </c>
      <c r="P37" s="68">
        <v>0</v>
      </c>
      <c r="Q37" s="68">
        <v>7.6</v>
      </c>
      <c r="R37" s="68">
        <v>0</v>
      </c>
      <c r="S37" s="68">
        <v>0</v>
      </c>
      <c r="T37" s="68">
        <v>0</v>
      </c>
      <c r="U37" s="68">
        <v>82.5</v>
      </c>
      <c r="V37" s="68">
        <v>0</v>
      </c>
      <c r="W37" s="68">
        <v>0</v>
      </c>
      <c r="X37" s="68">
        <v>5.8</v>
      </c>
      <c r="Y37" s="68">
        <v>15.4</v>
      </c>
      <c r="Z37" s="68">
        <v>0</v>
      </c>
      <c r="AA37" s="68">
        <v>0</v>
      </c>
      <c r="AB37" s="68">
        <v>0</v>
      </c>
      <c r="AC37" s="68">
        <v>0</v>
      </c>
      <c r="AD37" s="68">
        <v>0</v>
      </c>
      <c r="AE37" s="68">
        <v>5.57</v>
      </c>
      <c r="AF37" s="68">
        <v>426.9</v>
      </c>
      <c r="AG37" s="68">
        <v>0</v>
      </c>
      <c r="AH37" s="68">
        <v>0</v>
      </c>
      <c r="AI37" s="68">
        <v>0</v>
      </c>
      <c r="AJ37" s="68">
        <v>0</v>
      </c>
      <c r="AK37" s="68">
        <v>66</v>
      </c>
      <c r="AL37" s="68">
        <v>0</v>
      </c>
      <c r="AM37" s="68">
        <v>0</v>
      </c>
      <c r="AN37" s="68">
        <v>0</v>
      </c>
      <c r="AO37" s="68">
        <v>34.18</v>
      </c>
      <c r="AP37" s="68">
        <v>0</v>
      </c>
      <c r="AQ37" s="68">
        <v>0</v>
      </c>
      <c r="AR37" s="68">
        <v>0</v>
      </c>
    </row>
    <row r="38" spans="1:44" x14ac:dyDescent="0.2">
      <c r="A38" s="56" t="s">
        <v>266</v>
      </c>
      <c r="B38" s="56" t="s">
        <v>13</v>
      </c>
      <c r="C38" s="56" t="s">
        <v>1217</v>
      </c>
      <c r="D38" s="56" t="s">
        <v>235</v>
      </c>
      <c r="E38" s="68">
        <f>IF(B38="","",VLOOKUP(B38,dagsoorttabel1,2,FALSE))</f>
        <v>0.2</v>
      </c>
      <c r="F38" s="68">
        <v>1</v>
      </c>
      <c r="G38" s="68">
        <f>IF(prodnorm83&gt;0,1/ROUND(prodnorm83,4),0)</f>
        <v>0</v>
      </c>
      <c r="H38" s="60">
        <f>ROUND(uurtarief83,2)</f>
        <v>0</v>
      </c>
      <c r="I38" s="68">
        <v>12.2</v>
      </c>
      <c r="J38" s="68">
        <v>0</v>
      </c>
      <c r="K38" s="68">
        <v>18.350000000000001</v>
      </c>
      <c r="L38" s="68">
        <v>0</v>
      </c>
      <c r="M38" s="68">
        <v>0</v>
      </c>
      <c r="N38" s="68">
        <v>13</v>
      </c>
      <c r="O38" s="68">
        <v>0</v>
      </c>
      <c r="P38" s="68">
        <v>0</v>
      </c>
      <c r="Q38" s="68">
        <v>0</v>
      </c>
      <c r="R38" s="68">
        <v>18</v>
      </c>
      <c r="S38" s="68">
        <v>12.6</v>
      </c>
      <c r="T38" s="68">
        <v>9.6</v>
      </c>
      <c r="U38" s="68">
        <v>0</v>
      </c>
      <c r="V38" s="68">
        <v>0</v>
      </c>
      <c r="W38" s="68">
        <v>0</v>
      </c>
      <c r="X38" s="68">
        <v>0</v>
      </c>
      <c r="Y38" s="68">
        <v>18</v>
      </c>
      <c r="Z38" s="68">
        <v>9.1999999999999993</v>
      </c>
      <c r="AA38" s="68">
        <v>6.3</v>
      </c>
      <c r="AB38" s="68">
        <v>6.75</v>
      </c>
      <c r="AC38" s="68">
        <v>22.05</v>
      </c>
      <c r="AD38" s="68">
        <v>11.5</v>
      </c>
      <c r="AE38" s="68">
        <v>9.49</v>
      </c>
      <c r="AF38" s="68">
        <v>16.14</v>
      </c>
      <c r="AG38" s="68">
        <v>0</v>
      </c>
      <c r="AH38" s="68">
        <v>0</v>
      </c>
      <c r="AI38" s="68">
        <v>0</v>
      </c>
      <c r="AJ38" s="68">
        <v>0</v>
      </c>
      <c r="AK38" s="68">
        <v>0</v>
      </c>
      <c r="AL38" s="68">
        <v>21.9</v>
      </c>
      <c r="AM38" s="68">
        <v>11.9</v>
      </c>
      <c r="AN38" s="68">
        <v>0</v>
      </c>
      <c r="AO38" s="68">
        <v>0</v>
      </c>
      <c r="AP38" s="68">
        <v>8.4</v>
      </c>
      <c r="AQ38" s="68">
        <v>0</v>
      </c>
      <c r="AR38" s="68">
        <v>0</v>
      </c>
    </row>
    <row r="39" spans="1:44" x14ac:dyDescent="0.2">
      <c r="A39" s="56" t="s">
        <v>266</v>
      </c>
      <c r="B39" s="56" t="s">
        <v>12</v>
      </c>
      <c r="C39" s="56" t="s">
        <v>1217</v>
      </c>
      <c r="D39" s="56" t="s">
        <v>235</v>
      </c>
      <c r="E39" s="68">
        <f>IF(B39="","",VLOOKUP(B39,dagsoorttabel1,2,FALSE))</f>
        <v>0.4</v>
      </c>
      <c r="F39" s="68">
        <v>1</v>
      </c>
      <c r="G39" s="68">
        <f>IF(prodnorm84&gt;0,1/ROUND(prodnorm84,4),0)</f>
        <v>0</v>
      </c>
      <c r="H39" s="60">
        <f>ROUND(uurtarief84,2)</f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13.450000000000001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68">
        <v>13</v>
      </c>
      <c r="Y39" s="68">
        <v>0</v>
      </c>
      <c r="Z39" s="68">
        <v>0</v>
      </c>
      <c r="AA39" s="68">
        <v>0</v>
      </c>
      <c r="AB39" s="68">
        <v>0</v>
      </c>
      <c r="AC39" s="68">
        <v>0</v>
      </c>
      <c r="AD39" s="68">
        <v>0</v>
      </c>
      <c r="AE39" s="68">
        <v>0</v>
      </c>
      <c r="AF39" s="68">
        <v>0</v>
      </c>
      <c r="AG39" s="68">
        <v>0</v>
      </c>
      <c r="AH39" s="68">
        <v>23.45</v>
      </c>
      <c r="AI39" s="68">
        <v>17.64</v>
      </c>
      <c r="AJ39" s="68">
        <v>0</v>
      </c>
      <c r="AK39" s="68">
        <v>13.1</v>
      </c>
      <c r="AL39" s="68">
        <v>0</v>
      </c>
      <c r="AM39" s="68">
        <v>0</v>
      </c>
      <c r="AN39" s="68">
        <v>0</v>
      </c>
      <c r="AO39" s="68">
        <v>0</v>
      </c>
      <c r="AP39" s="68">
        <v>0</v>
      </c>
      <c r="AQ39" s="68">
        <v>0</v>
      </c>
      <c r="AR39" s="68">
        <v>0</v>
      </c>
    </row>
    <row r="40" spans="1:44" x14ac:dyDescent="0.2">
      <c r="A40" s="56" t="s">
        <v>266</v>
      </c>
      <c r="B40" s="56" t="s">
        <v>9</v>
      </c>
      <c r="C40" s="56" t="s">
        <v>1217</v>
      </c>
      <c r="D40" s="56" t="s">
        <v>235</v>
      </c>
      <c r="E40" s="68">
        <f>IF(B40="","",VLOOKUP(B40,dagsoorttabel1,2,FALSE))</f>
        <v>1</v>
      </c>
      <c r="F40" s="68">
        <v>1</v>
      </c>
      <c r="G40" s="68">
        <f>IF(prodnorm85&gt;0,1/ROUND(prodnorm85,4),0)</f>
        <v>0</v>
      </c>
      <c r="H40" s="60">
        <f>ROUND(uurtarief85,2)</f>
        <v>0</v>
      </c>
      <c r="I40" s="68">
        <v>0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>
        <v>0</v>
      </c>
      <c r="P40" s="68">
        <v>0</v>
      </c>
      <c r="Q40" s="68">
        <v>0</v>
      </c>
      <c r="R40" s="68">
        <v>0</v>
      </c>
      <c r="S40" s="68">
        <v>0</v>
      </c>
      <c r="T40" s="68">
        <v>0</v>
      </c>
      <c r="U40" s="68">
        <v>0</v>
      </c>
      <c r="V40" s="68">
        <v>0</v>
      </c>
      <c r="W40" s="68">
        <v>0</v>
      </c>
      <c r="X40" s="68">
        <v>0</v>
      </c>
      <c r="Y40" s="68">
        <v>0</v>
      </c>
      <c r="Z40" s="68">
        <v>0</v>
      </c>
      <c r="AA40" s="68">
        <v>0</v>
      </c>
      <c r="AB40" s="68">
        <v>0</v>
      </c>
      <c r="AC40" s="68">
        <v>0</v>
      </c>
      <c r="AD40" s="68">
        <v>0</v>
      </c>
      <c r="AE40" s="68">
        <v>0</v>
      </c>
      <c r="AF40" s="68">
        <v>29.9</v>
      </c>
      <c r="AG40" s="68">
        <v>0</v>
      </c>
      <c r="AH40" s="68">
        <v>0</v>
      </c>
      <c r="AI40" s="68">
        <v>0</v>
      </c>
      <c r="AJ40" s="68">
        <v>0</v>
      </c>
      <c r="AK40" s="68">
        <v>0</v>
      </c>
      <c r="AL40" s="68">
        <v>0</v>
      </c>
      <c r="AM40" s="68">
        <v>0</v>
      </c>
      <c r="AN40" s="68">
        <v>0</v>
      </c>
      <c r="AO40" s="68">
        <v>0</v>
      </c>
      <c r="AP40" s="68">
        <v>0</v>
      </c>
      <c r="AQ40" s="68">
        <v>0</v>
      </c>
      <c r="AR40" s="68">
        <v>0</v>
      </c>
    </row>
    <row r="41" spans="1:44" x14ac:dyDescent="0.2">
      <c r="A41" s="56" t="s">
        <v>268</v>
      </c>
      <c r="B41" s="56" t="s">
        <v>13</v>
      </c>
      <c r="C41" s="56" t="s">
        <v>1217</v>
      </c>
      <c r="D41" s="56" t="s">
        <v>235</v>
      </c>
      <c r="E41" s="68">
        <f>IF(B41="","",VLOOKUP(B41,dagsoorttabel1,2,FALSE))</f>
        <v>0.2</v>
      </c>
      <c r="F41" s="68">
        <v>1</v>
      </c>
      <c r="G41" s="68">
        <f>IF(prodnorm86&gt;0,1/ROUND(prodnorm86,4),0)</f>
        <v>0</v>
      </c>
      <c r="H41" s="60">
        <f>ROUND(uurtarief86,2)</f>
        <v>0</v>
      </c>
      <c r="I41" s="68">
        <v>0</v>
      </c>
      <c r="J41" s="68">
        <v>0</v>
      </c>
      <c r="K41" s="68">
        <v>0</v>
      </c>
      <c r="L41" s="68">
        <v>0</v>
      </c>
      <c r="M41" s="68">
        <v>0</v>
      </c>
      <c r="N41" s="68">
        <v>0</v>
      </c>
      <c r="O41" s="68">
        <v>0</v>
      </c>
      <c r="P41" s="68">
        <v>0</v>
      </c>
      <c r="Q41" s="68">
        <v>0</v>
      </c>
      <c r="R41" s="68">
        <v>0</v>
      </c>
      <c r="S41" s="68">
        <v>0</v>
      </c>
      <c r="T41" s="68">
        <v>0</v>
      </c>
      <c r="U41" s="68">
        <v>0</v>
      </c>
      <c r="V41" s="68">
        <v>5.8199999999999994</v>
      </c>
      <c r="W41" s="68">
        <v>3.7</v>
      </c>
      <c r="X41" s="68">
        <v>8.99</v>
      </c>
      <c r="Y41" s="68">
        <v>0</v>
      </c>
      <c r="Z41" s="68">
        <v>0</v>
      </c>
      <c r="AA41" s="68">
        <v>15</v>
      </c>
      <c r="AB41" s="68">
        <v>0</v>
      </c>
      <c r="AC41" s="68">
        <v>0</v>
      </c>
      <c r="AD41" s="68">
        <v>0</v>
      </c>
      <c r="AE41" s="68">
        <v>0</v>
      </c>
      <c r="AF41" s="68">
        <v>0</v>
      </c>
      <c r="AG41" s="68">
        <v>0</v>
      </c>
      <c r="AH41" s="68">
        <v>0</v>
      </c>
      <c r="AI41" s="68">
        <v>5.49</v>
      </c>
      <c r="AJ41" s="68">
        <v>0</v>
      </c>
      <c r="AK41" s="68">
        <v>0</v>
      </c>
      <c r="AL41" s="68">
        <v>0</v>
      </c>
      <c r="AM41" s="68">
        <v>0</v>
      </c>
      <c r="AN41" s="68">
        <v>0</v>
      </c>
      <c r="AO41" s="68">
        <v>0</v>
      </c>
      <c r="AP41" s="68">
        <v>0</v>
      </c>
      <c r="AQ41" s="68">
        <v>18.8</v>
      </c>
      <c r="AR41" s="68">
        <v>10.47</v>
      </c>
    </row>
    <row r="42" spans="1:44" x14ac:dyDescent="0.2">
      <c r="A42" s="56" t="s">
        <v>268</v>
      </c>
      <c r="B42" s="56" t="s">
        <v>12</v>
      </c>
      <c r="C42" s="56" t="s">
        <v>1217</v>
      </c>
      <c r="D42" s="56" t="s">
        <v>235</v>
      </c>
      <c r="E42" s="68">
        <f>IF(B42="","",VLOOKUP(B42,dagsoorttabel1,2,FALSE))</f>
        <v>0.4</v>
      </c>
      <c r="F42" s="68">
        <v>1</v>
      </c>
      <c r="G42" s="68">
        <f>IF(prodnorm87&gt;0,1/ROUND(prodnorm87,4),0)</f>
        <v>0</v>
      </c>
      <c r="H42" s="60">
        <f>ROUND(uurtarief87,2)</f>
        <v>0</v>
      </c>
      <c r="I42" s="68">
        <v>0</v>
      </c>
      <c r="J42" s="68">
        <v>0</v>
      </c>
      <c r="K42" s="68">
        <v>0</v>
      </c>
      <c r="L42" s="68">
        <v>0</v>
      </c>
      <c r="M42" s="68">
        <v>17.2</v>
      </c>
      <c r="N42" s="68">
        <v>0</v>
      </c>
      <c r="O42" s="68">
        <v>0</v>
      </c>
      <c r="P42" s="68">
        <v>0</v>
      </c>
      <c r="Q42" s="68">
        <v>0</v>
      </c>
      <c r="R42" s="68">
        <v>0</v>
      </c>
      <c r="S42" s="68">
        <v>0</v>
      </c>
      <c r="T42" s="68">
        <v>0</v>
      </c>
      <c r="U42" s="68">
        <v>9.9</v>
      </c>
      <c r="V42" s="68">
        <v>0</v>
      </c>
      <c r="W42" s="68">
        <v>0</v>
      </c>
      <c r="X42" s="68">
        <v>0</v>
      </c>
      <c r="Y42" s="68">
        <v>0</v>
      </c>
      <c r="Z42" s="68">
        <v>0</v>
      </c>
      <c r="AA42" s="68">
        <v>0</v>
      </c>
      <c r="AB42" s="68">
        <v>0</v>
      </c>
      <c r="AC42" s="68">
        <v>0</v>
      </c>
      <c r="AD42" s="68">
        <v>0</v>
      </c>
      <c r="AE42" s="68">
        <v>0</v>
      </c>
      <c r="AF42" s="68">
        <v>0</v>
      </c>
      <c r="AG42" s="68">
        <v>6.6</v>
      </c>
      <c r="AH42" s="68">
        <v>0</v>
      </c>
      <c r="AI42" s="68">
        <v>5.79</v>
      </c>
      <c r="AJ42" s="68">
        <v>0</v>
      </c>
      <c r="AK42" s="68">
        <v>0</v>
      </c>
      <c r="AL42" s="68">
        <v>0</v>
      </c>
      <c r="AM42" s="68">
        <v>0</v>
      </c>
      <c r="AN42" s="68">
        <v>0</v>
      </c>
      <c r="AO42" s="68">
        <v>0</v>
      </c>
      <c r="AP42" s="68">
        <v>0</v>
      </c>
      <c r="AQ42" s="68">
        <v>0</v>
      </c>
      <c r="AR42" s="68">
        <v>0</v>
      </c>
    </row>
    <row r="43" spans="1:44" x14ac:dyDescent="0.2">
      <c r="A43" s="56" t="s">
        <v>268</v>
      </c>
      <c r="B43" s="56" t="s">
        <v>9</v>
      </c>
      <c r="C43" s="56" t="s">
        <v>1217</v>
      </c>
      <c r="D43" s="56" t="s">
        <v>235</v>
      </c>
      <c r="E43" s="68">
        <f>IF(B43="","",VLOOKUP(B43,dagsoorttabel1,2,FALSE))</f>
        <v>1</v>
      </c>
      <c r="F43" s="68">
        <v>1</v>
      </c>
      <c r="G43" s="68">
        <f>IF(prodnorm88&gt;0,1/ROUND(prodnorm88,4),0)</f>
        <v>0</v>
      </c>
      <c r="H43" s="60">
        <f>ROUND(uurtarief88,2)</f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68">
        <v>0</v>
      </c>
      <c r="P43" s="68">
        <v>0</v>
      </c>
      <c r="Q43" s="68">
        <v>0</v>
      </c>
      <c r="R43" s="68">
        <v>0</v>
      </c>
      <c r="S43" s="68">
        <v>0</v>
      </c>
      <c r="T43" s="68">
        <v>0</v>
      </c>
      <c r="U43" s="68">
        <v>2.5</v>
      </c>
      <c r="V43" s="68">
        <v>0</v>
      </c>
      <c r="W43" s="68">
        <v>0</v>
      </c>
      <c r="X43" s="68">
        <v>0</v>
      </c>
      <c r="Y43" s="68">
        <v>0</v>
      </c>
      <c r="Z43" s="68">
        <v>0</v>
      </c>
      <c r="AA43" s="68">
        <v>0</v>
      </c>
      <c r="AB43" s="68">
        <v>0</v>
      </c>
      <c r="AC43" s="68">
        <v>0</v>
      </c>
      <c r="AD43" s="68">
        <v>0</v>
      </c>
      <c r="AE43" s="68">
        <v>0</v>
      </c>
      <c r="AF43" s="68">
        <v>6.21</v>
      </c>
      <c r="AG43" s="68">
        <v>0</v>
      </c>
      <c r="AH43" s="68">
        <v>0</v>
      </c>
      <c r="AI43" s="68">
        <v>0</v>
      </c>
      <c r="AJ43" s="68">
        <v>0</v>
      </c>
      <c r="AK43" s="68">
        <v>0</v>
      </c>
      <c r="AL43" s="68">
        <v>0</v>
      </c>
      <c r="AM43" s="68">
        <v>0</v>
      </c>
      <c r="AN43" s="68">
        <v>0</v>
      </c>
      <c r="AO43" s="68">
        <v>0</v>
      </c>
      <c r="AP43" s="68">
        <v>0</v>
      </c>
      <c r="AQ43" s="68">
        <v>0</v>
      </c>
      <c r="AR43" s="68">
        <v>0</v>
      </c>
    </row>
    <row r="44" spans="1:44" x14ac:dyDescent="0.2">
      <c r="A44" s="56" t="s">
        <v>270</v>
      </c>
      <c r="B44" s="56" t="s">
        <v>13</v>
      </c>
      <c r="C44" s="56" t="s">
        <v>1217</v>
      </c>
      <c r="D44" s="56" t="s">
        <v>235</v>
      </c>
      <c r="E44" s="68">
        <f>IF(B44="","",VLOOKUP(B44,dagsoorttabel1,2,FALSE))</f>
        <v>0.2</v>
      </c>
      <c r="F44" s="68">
        <v>1</v>
      </c>
      <c r="G44" s="68">
        <f>IF(prodnorm89&gt;0,1/ROUND(prodnorm89,4),0)</f>
        <v>0</v>
      </c>
      <c r="H44" s="60">
        <f>ROUND(uurtarief89,2)</f>
        <v>0</v>
      </c>
      <c r="I44" s="68">
        <v>0</v>
      </c>
      <c r="J44" s="68">
        <v>81.900000000000006</v>
      </c>
      <c r="K44" s="68">
        <v>41.690000000000005</v>
      </c>
      <c r="L44" s="68">
        <v>65</v>
      </c>
      <c r="M44" s="68">
        <v>36.6</v>
      </c>
      <c r="N44" s="68">
        <v>41.5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v>0</v>
      </c>
      <c r="U44" s="68">
        <v>92.6</v>
      </c>
      <c r="V44" s="68">
        <v>30</v>
      </c>
      <c r="W44" s="68">
        <v>33</v>
      </c>
      <c r="X44" s="68">
        <v>0</v>
      </c>
      <c r="Y44" s="68">
        <v>0</v>
      </c>
      <c r="Z44" s="68">
        <v>45.5</v>
      </c>
      <c r="AA44" s="68">
        <v>41.5</v>
      </c>
      <c r="AB44" s="68">
        <v>44.3</v>
      </c>
      <c r="AC44" s="68">
        <v>33.849999999999994</v>
      </c>
      <c r="AD44" s="68">
        <v>56.2</v>
      </c>
      <c r="AE44" s="68">
        <v>36.190000000000005</v>
      </c>
      <c r="AF44" s="68">
        <v>0</v>
      </c>
      <c r="AG44" s="68">
        <v>57.4</v>
      </c>
      <c r="AH44" s="68">
        <v>0</v>
      </c>
      <c r="AI44" s="68">
        <v>0</v>
      </c>
      <c r="AJ44" s="68">
        <v>0</v>
      </c>
      <c r="AK44" s="68">
        <v>0</v>
      </c>
      <c r="AL44" s="68">
        <v>91.85</v>
      </c>
      <c r="AM44" s="68">
        <v>46.5</v>
      </c>
      <c r="AN44" s="68">
        <v>54.43</v>
      </c>
      <c r="AO44" s="68">
        <v>67.45</v>
      </c>
      <c r="AP44" s="68">
        <v>86.7</v>
      </c>
      <c r="AQ44" s="68">
        <v>0</v>
      </c>
      <c r="AR44" s="68">
        <v>0</v>
      </c>
    </row>
    <row r="45" spans="1:44" x14ac:dyDescent="0.2">
      <c r="A45" s="56" t="s">
        <v>270</v>
      </c>
      <c r="B45" s="56" t="s">
        <v>12</v>
      </c>
      <c r="C45" s="56" t="s">
        <v>1217</v>
      </c>
      <c r="D45" s="56" t="s">
        <v>235</v>
      </c>
      <c r="E45" s="68">
        <f>IF(B45="","",VLOOKUP(B45,dagsoorttabel1,2,FALSE))</f>
        <v>0.4</v>
      </c>
      <c r="F45" s="68">
        <v>1</v>
      </c>
      <c r="G45" s="68">
        <f>IF(prodnorm90&gt;0,1/ROUND(prodnorm90,4),0)</f>
        <v>0</v>
      </c>
      <c r="H45" s="60">
        <f>ROUND(uurtarief90,2)</f>
        <v>0</v>
      </c>
      <c r="I45" s="68">
        <v>0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41.7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  <c r="X45" s="68">
        <v>0</v>
      </c>
      <c r="Y45" s="68">
        <v>0</v>
      </c>
      <c r="Z45" s="68">
        <v>0</v>
      </c>
      <c r="AA45" s="68">
        <v>0</v>
      </c>
      <c r="AB45" s="68">
        <v>0</v>
      </c>
      <c r="AC45" s="68">
        <v>0</v>
      </c>
      <c r="AD45" s="68">
        <v>0</v>
      </c>
      <c r="AE45" s="68">
        <v>0</v>
      </c>
      <c r="AF45" s="68">
        <v>0</v>
      </c>
      <c r="AG45" s="68">
        <v>0</v>
      </c>
      <c r="AH45" s="68">
        <v>49.3</v>
      </c>
      <c r="AI45" s="68">
        <v>82.17</v>
      </c>
      <c r="AJ45" s="68">
        <v>0</v>
      </c>
      <c r="AK45" s="68">
        <v>91.6</v>
      </c>
      <c r="AL45" s="68">
        <v>0</v>
      </c>
      <c r="AM45" s="68">
        <v>0</v>
      </c>
      <c r="AN45" s="68">
        <v>0</v>
      </c>
      <c r="AO45" s="68">
        <v>0</v>
      </c>
      <c r="AP45" s="68">
        <v>0</v>
      </c>
      <c r="AQ45" s="68">
        <v>0</v>
      </c>
      <c r="AR45" s="68">
        <v>0</v>
      </c>
    </row>
    <row r="46" spans="1:44" x14ac:dyDescent="0.2">
      <c r="A46" s="56" t="s">
        <v>270</v>
      </c>
      <c r="B46" s="56" t="s">
        <v>9</v>
      </c>
      <c r="C46" s="56" t="s">
        <v>1217</v>
      </c>
      <c r="D46" s="56" t="s">
        <v>235</v>
      </c>
      <c r="E46" s="68">
        <f>IF(B46="","",VLOOKUP(B46,dagsoorttabel1,2,FALSE))</f>
        <v>1</v>
      </c>
      <c r="F46" s="68">
        <v>1</v>
      </c>
      <c r="G46" s="68">
        <f>IF(prodnorm91&gt;0,1/ROUND(prodnorm91,4),0)</f>
        <v>0</v>
      </c>
      <c r="H46" s="60">
        <f>ROUND(uurtarief91,2)</f>
        <v>0</v>
      </c>
      <c r="I46" s="68">
        <v>0</v>
      </c>
      <c r="J46" s="68">
        <v>0</v>
      </c>
      <c r="K46" s="68">
        <v>0</v>
      </c>
      <c r="L46" s="68">
        <v>0</v>
      </c>
      <c r="M46" s="68">
        <v>0</v>
      </c>
      <c r="N46" s="68">
        <v>0</v>
      </c>
      <c r="O46" s="68">
        <v>0</v>
      </c>
      <c r="P46" s="68">
        <v>0</v>
      </c>
      <c r="Q46" s="68">
        <v>0</v>
      </c>
      <c r="R46" s="68">
        <v>0</v>
      </c>
      <c r="S46" s="68">
        <v>0</v>
      </c>
      <c r="T46" s="68">
        <v>0</v>
      </c>
      <c r="U46" s="68">
        <v>252.6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8">
        <v>0</v>
      </c>
      <c r="AE46" s="68">
        <v>0</v>
      </c>
      <c r="AF46" s="68">
        <v>77.319999999999993</v>
      </c>
      <c r="AG46" s="68">
        <v>0</v>
      </c>
      <c r="AH46" s="68">
        <v>0</v>
      </c>
      <c r="AI46" s="68">
        <v>0</v>
      </c>
      <c r="AJ46" s="68">
        <v>0</v>
      </c>
      <c r="AK46" s="68">
        <v>0</v>
      </c>
      <c r="AL46" s="68">
        <v>0</v>
      </c>
      <c r="AM46" s="68">
        <v>0</v>
      </c>
      <c r="AN46" s="68">
        <v>0</v>
      </c>
      <c r="AO46" s="68">
        <v>0</v>
      </c>
      <c r="AP46" s="68">
        <v>0</v>
      </c>
      <c r="AQ46" s="68">
        <v>0</v>
      </c>
      <c r="AR46" s="68">
        <v>0</v>
      </c>
    </row>
    <row r="47" spans="1:44" x14ac:dyDescent="0.2">
      <c r="A47" s="56" t="s">
        <v>272</v>
      </c>
      <c r="B47" s="56" t="s">
        <v>9</v>
      </c>
      <c r="C47" s="56" t="s">
        <v>1217</v>
      </c>
      <c r="D47" s="56" t="s">
        <v>235</v>
      </c>
      <c r="E47" s="68">
        <f>IF(B47="","",VLOOKUP(B47,dagsoorttabel1,2,FALSE))</f>
        <v>1</v>
      </c>
      <c r="F47" s="68">
        <v>1</v>
      </c>
      <c r="G47" s="68">
        <f>IF(prodnorm92&gt;0,1/ROUND(prodnorm92,4),0)</f>
        <v>0</v>
      </c>
      <c r="H47" s="60">
        <f>ROUND(uurtarief92,2)</f>
        <v>0</v>
      </c>
      <c r="I47" s="68">
        <v>0</v>
      </c>
      <c r="J47" s="68">
        <v>0</v>
      </c>
      <c r="K47" s="68">
        <v>0</v>
      </c>
      <c r="L47" s="68">
        <v>0</v>
      </c>
      <c r="M47" s="68">
        <v>0</v>
      </c>
      <c r="N47" s="68">
        <v>0</v>
      </c>
      <c r="O47" s="68">
        <v>0</v>
      </c>
      <c r="P47" s="68">
        <v>0</v>
      </c>
      <c r="Q47" s="68">
        <v>0</v>
      </c>
      <c r="R47" s="68">
        <v>0</v>
      </c>
      <c r="S47" s="68">
        <v>0</v>
      </c>
      <c r="T47" s="68">
        <v>0</v>
      </c>
      <c r="U47" s="68">
        <v>252.6</v>
      </c>
      <c r="V47" s="68">
        <v>0</v>
      </c>
      <c r="W47" s="68">
        <v>0</v>
      </c>
      <c r="X47" s="68">
        <v>0</v>
      </c>
      <c r="Y47" s="68">
        <v>0</v>
      </c>
      <c r="Z47" s="68">
        <v>0</v>
      </c>
      <c r="AA47" s="68">
        <v>0</v>
      </c>
      <c r="AB47" s="68">
        <v>0</v>
      </c>
      <c r="AC47" s="68">
        <v>0</v>
      </c>
      <c r="AD47" s="68">
        <v>0</v>
      </c>
      <c r="AE47" s="68">
        <v>0</v>
      </c>
      <c r="AF47" s="68">
        <v>0</v>
      </c>
      <c r="AG47" s="68">
        <v>0</v>
      </c>
      <c r="AH47" s="68">
        <v>0</v>
      </c>
      <c r="AI47" s="68">
        <v>0</v>
      </c>
      <c r="AJ47" s="68">
        <v>0</v>
      </c>
      <c r="AK47" s="68">
        <v>0</v>
      </c>
      <c r="AL47" s="68">
        <v>0</v>
      </c>
      <c r="AM47" s="68">
        <v>0</v>
      </c>
      <c r="AN47" s="68">
        <v>0</v>
      </c>
      <c r="AO47" s="68">
        <v>0</v>
      </c>
      <c r="AP47" s="68">
        <v>0</v>
      </c>
      <c r="AQ47" s="68">
        <v>0</v>
      </c>
      <c r="AR47" s="68">
        <v>0</v>
      </c>
    </row>
    <row r="48" spans="1:44" x14ac:dyDescent="0.2">
      <c r="A48" s="56" t="s">
        <v>273</v>
      </c>
      <c r="B48" s="56" t="s">
        <v>12</v>
      </c>
      <c r="C48" s="56" t="s">
        <v>1217</v>
      </c>
      <c r="D48" s="56" t="s">
        <v>235</v>
      </c>
      <c r="E48" s="68">
        <f>IF(B48="","",VLOOKUP(B48,dagsoorttabel1,2,FALSE))</f>
        <v>0.4</v>
      </c>
      <c r="F48" s="68">
        <v>1</v>
      </c>
      <c r="G48" s="68">
        <f>IF(prodnorm93&gt;0,1/ROUND(prodnorm93,4),0)</f>
        <v>0</v>
      </c>
      <c r="H48" s="60">
        <f>ROUND(uurtarief93,2)</f>
        <v>0</v>
      </c>
      <c r="I48" s="68">
        <v>0</v>
      </c>
      <c r="J48" s="68">
        <v>0</v>
      </c>
      <c r="K48" s="68">
        <v>0</v>
      </c>
      <c r="L48" s="68">
        <v>0</v>
      </c>
      <c r="M48" s="68">
        <v>0</v>
      </c>
      <c r="N48" s="68">
        <v>0</v>
      </c>
      <c r="O48" s="68">
        <v>0</v>
      </c>
      <c r="P48" s="68">
        <v>20</v>
      </c>
      <c r="Q48" s="68">
        <v>0</v>
      </c>
      <c r="R48" s="68">
        <v>0</v>
      </c>
      <c r="S48" s="68">
        <v>0</v>
      </c>
      <c r="T48" s="68">
        <v>0</v>
      </c>
      <c r="U48" s="68">
        <v>0</v>
      </c>
      <c r="V48" s="68">
        <v>0</v>
      </c>
      <c r="W48" s="68">
        <v>0</v>
      </c>
      <c r="X48" s="68">
        <v>0</v>
      </c>
      <c r="Y48" s="68">
        <v>0</v>
      </c>
      <c r="Z48" s="68">
        <v>0</v>
      </c>
      <c r="AA48" s="68">
        <v>0</v>
      </c>
      <c r="AB48" s="68">
        <v>0</v>
      </c>
      <c r="AC48" s="68">
        <v>0</v>
      </c>
      <c r="AD48" s="68">
        <v>0</v>
      </c>
      <c r="AE48" s="68">
        <v>0</v>
      </c>
      <c r="AF48" s="68">
        <v>0</v>
      </c>
      <c r="AG48" s="68">
        <v>0</v>
      </c>
      <c r="AH48" s="68">
        <v>0</v>
      </c>
      <c r="AI48" s="68">
        <v>0</v>
      </c>
      <c r="AJ48" s="68">
        <v>0</v>
      </c>
      <c r="AK48" s="68">
        <v>0</v>
      </c>
      <c r="AL48" s="68">
        <v>0</v>
      </c>
      <c r="AM48" s="68">
        <v>0</v>
      </c>
      <c r="AN48" s="68">
        <v>0</v>
      </c>
      <c r="AO48" s="68">
        <v>0</v>
      </c>
      <c r="AP48" s="68">
        <v>0</v>
      </c>
      <c r="AQ48" s="68">
        <v>0</v>
      </c>
      <c r="AR48" s="68">
        <v>0</v>
      </c>
    </row>
    <row r="49" spans="1:44" x14ac:dyDescent="0.2">
      <c r="A49" s="56" t="s">
        <v>275</v>
      </c>
      <c r="B49" s="56" t="s">
        <v>13</v>
      </c>
      <c r="C49" s="56" t="s">
        <v>1217</v>
      </c>
      <c r="D49" s="56" t="s">
        <v>235</v>
      </c>
      <c r="E49" s="68">
        <f>IF(B49="","",VLOOKUP(B49,dagsoorttabel1,2,FALSE))</f>
        <v>0.2</v>
      </c>
      <c r="F49" s="68">
        <v>1</v>
      </c>
      <c r="G49" s="68">
        <f>IF(prodnorm94&gt;0,1/ROUND(prodnorm94,4),0)</f>
        <v>0</v>
      </c>
      <c r="H49" s="60">
        <f>ROUND(uurtarief94,2)</f>
        <v>0</v>
      </c>
      <c r="I49" s="68">
        <v>8.1000000000000014</v>
      </c>
      <c r="J49" s="68">
        <v>0</v>
      </c>
      <c r="K49" s="68">
        <v>9.5</v>
      </c>
      <c r="L49" s="68">
        <v>10.5</v>
      </c>
      <c r="M49" s="68">
        <v>0</v>
      </c>
      <c r="N49" s="68">
        <v>9</v>
      </c>
      <c r="O49" s="68">
        <v>8.1</v>
      </c>
      <c r="P49" s="68">
        <v>0</v>
      </c>
      <c r="Q49" s="68">
        <v>15.4</v>
      </c>
      <c r="R49" s="68">
        <v>6.5</v>
      </c>
      <c r="S49" s="68">
        <v>0</v>
      </c>
      <c r="T49" s="68">
        <v>0</v>
      </c>
      <c r="U49" s="68">
        <v>3.8000000000000003</v>
      </c>
      <c r="V49" s="68">
        <v>9</v>
      </c>
      <c r="W49" s="68">
        <v>13.2</v>
      </c>
      <c r="X49" s="68">
        <v>0</v>
      </c>
      <c r="Y49" s="68">
        <v>20.3</v>
      </c>
      <c r="Z49" s="68">
        <v>13.600000000000001</v>
      </c>
      <c r="AA49" s="68">
        <v>13.729999999999999</v>
      </c>
      <c r="AB49" s="68">
        <v>7.1999999999999993</v>
      </c>
      <c r="AC49" s="68">
        <v>6.55</v>
      </c>
      <c r="AD49" s="68">
        <v>18.8</v>
      </c>
      <c r="AE49" s="68">
        <v>12.740000000000002</v>
      </c>
      <c r="AF49" s="68">
        <v>0</v>
      </c>
      <c r="AG49" s="68">
        <v>21.15</v>
      </c>
      <c r="AH49" s="68">
        <v>14.399999999999999</v>
      </c>
      <c r="AI49" s="68">
        <v>12</v>
      </c>
      <c r="AJ49" s="68">
        <v>0</v>
      </c>
      <c r="AK49" s="68">
        <v>0</v>
      </c>
      <c r="AL49" s="68">
        <v>0</v>
      </c>
      <c r="AM49" s="68">
        <v>9.4</v>
      </c>
      <c r="AN49" s="68">
        <v>20.2</v>
      </c>
      <c r="AO49" s="68">
        <v>21</v>
      </c>
      <c r="AP49" s="68">
        <v>0</v>
      </c>
      <c r="AQ49" s="68">
        <v>14.18</v>
      </c>
      <c r="AR49" s="68">
        <v>10.939999999999998</v>
      </c>
    </row>
    <row r="50" spans="1:44" x14ac:dyDescent="0.2">
      <c r="A50" s="56" t="s">
        <v>275</v>
      </c>
      <c r="B50" s="56" t="s">
        <v>12</v>
      </c>
      <c r="C50" s="56" t="s">
        <v>1217</v>
      </c>
      <c r="D50" s="56" t="s">
        <v>235</v>
      </c>
      <c r="E50" s="68">
        <f>IF(B50="","",VLOOKUP(B50,dagsoorttabel1,2,FALSE))</f>
        <v>0.4</v>
      </c>
      <c r="F50" s="68">
        <v>1</v>
      </c>
      <c r="G50" s="68">
        <f>IF(prodnorm95&gt;0,1/ROUND(prodnorm95,4),0)</f>
        <v>0</v>
      </c>
      <c r="H50" s="60">
        <f>ROUND(uurtarief95,2)</f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15.25</v>
      </c>
      <c r="Q50" s="68">
        <v>0</v>
      </c>
      <c r="R50" s="68">
        <v>0</v>
      </c>
      <c r="S50" s="68">
        <v>0</v>
      </c>
      <c r="T50" s="68">
        <v>0</v>
      </c>
      <c r="U50" s="68">
        <v>0</v>
      </c>
      <c r="V50" s="68">
        <v>0</v>
      </c>
      <c r="W50" s="68">
        <v>0</v>
      </c>
      <c r="X50" s="68">
        <v>8.1999999999999993</v>
      </c>
      <c r="Y50" s="68">
        <v>0</v>
      </c>
      <c r="Z50" s="68">
        <v>0</v>
      </c>
      <c r="AA50" s="68">
        <v>0</v>
      </c>
      <c r="AB50" s="68">
        <v>0</v>
      </c>
      <c r="AC50" s="68">
        <v>0</v>
      </c>
      <c r="AD50" s="68">
        <v>0</v>
      </c>
      <c r="AE50" s="68">
        <v>0</v>
      </c>
      <c r="AF50" s="68">
        <v>0</v>
      </c>
      <c r="AG50" s="68">
        <v>0</v>
      </c>
      <c r="AH50" s="68">
        <v>0</v>
      </c>
      <c r="AI50" s="68">
        <v>0</v>
      </c>
      <c r="AJ50" s="68">
        <v>0</v>
      </c>
      <c r="AK50" s="68">
        <v>0</v>
      </c>
      <c r="AL50" s="68">
        <v>0</v>
      </c>
      <c r="AM50" s="68">
        <v>0</v>
      </c>
      <c r="AN50" s="68">
        <v>0</v>
      </c>
      <c r="AO50" s="68">
        <v>0</v>
      </c>
      <c r="AP50" s="68">
        <v>0</v>
      </c>
      <c r="AQ50" s="68">
        <v>0</v>
      </c>
      <c r="AR50" s="68">
        <v>0</v>
      </c>
    </row>
    <row r="51" spans="1:44" x14ac:dyDescent="0.2">
      <c r="A51" s="56" t="s">
        <v>275</v>
      </c>
      <c r="B51" s="56" t="s">
        <v>9</v>
      </c>
      <c r="C51" s="56" t="s">
        <v>1217</v>
      </c>
      <c r="D51" s="56" t="s">
        <v>235</v>
      </c>
      <c r="E51" s="68">
        <f>IF(B51="","",VLOOKUP(B51,dagsoorttabel1,2,FALSE))</f>
        <v>1</v>
      </c>
      <c r="F51" s="68">
        <v>1</v>
      </c>
      <c r="G51" s="68">
        <f>IF(prodnorm96&gt;0,1/ROUND(prodnorm96,4),0)</f>
        <v>0</v>
      </c>
      <c r="H51" s="60">
        <f>ROUND(uurtarief96,2)</f>
        <v>0</v>
      </c>
      <c r="I51" s="68">
        <v>0</v>
      </c>
      <c r="J51" s="68">
        <v>0</v>
      </c>
      <c r="K51" s="68">
        <v>0</v>
      </c>
      <c r="L51" s="68">
        <v>0</v>
      </c>
      <c r="M51" s="68">
        <v>0</v>
      </c>
      <c r="N51" s="68">
        <v>0</v>
      </c>
      <c r="O51" s="68">
        <v>0</v>
      </c>
      <c r="P51" s="68">
        <v>0</v>
      </c>
      <c r="Q51" s="68">
        <v>0</v>
      </c>
      <c r="R51" s="68">
        <v>0</v>
      </c>
      <c r="S51" s="68">
        <v>0</v>
      </c>
      <c r="T51" s="68">
        <v>0</v>
      </c>
      <c r="U51" s="68">
        <v>25</v>
      </c>
      <c r="V51" s="68">
        <v>0</v>
      </c>
      <c r="W51" s="68">
        <v>0</v>
      </c>
      <c r="X51" s="68">
        <v>0</v>
      </c>
      <c r="Y51" s="68">
        <v>0</v>
      </c>
      <c r="Z51" s="68">
        <v>0</v>
      </c>
      <c r="AA51" s="68">
        <v>0</v>
      </c>
      <c r="AB51" s="68">
        <v>0</v>
      </c>
      <c r="AC51" s="68">
        <v>0</v>
      </c>
      <c r="AD51" s="68">
        <v>0</v>
      </c>
      <c r="AE51" s="68">
        <v>0</v>
      </c>
      <c r="AF51" s="68">
        <v>0</v>
      </c>
      <c r="AG51" s="68">
        <v>0</v>
      </c>
      <c r="AH51" s="68">
        <v>0</v>
      </c>
      <c r="AI51" s="68">
        <v>0</v>
      </c>
      <c r="AJ51" s="68">
        <v>0</v>
      </c>
      <c r="AK51" s="68">
        <v>0</v>
      </c>
      <c r="AL51" s="68">
        <v>0</v>
      </c>
      <c r="AM51" s="68">
        <v>0</v>
      </c>
      <c r="AN51" s="68">
        <v>0</v>
      </c>
      <c r="AO51" s="68">
        <v>0</v>
      </c>
      <c r="AP51" s="68">
        <v>0</v>
      </c>
      <c r="AQ51" s="68">
        <v>0</v>
      </c>
      <c r="AR51" s="68">
        <v>0</v>
      </c>
    </row>
    <row r="52" spans="1:44" x14ac:dyDescent="0.2">
      <c r="A52" s="56" t="s">
        <v>277</v>
      </c>
      <c r="B52" s="56" t="s">
        <v>13</v>
      </c>
      <c r="C52" s="56" t="s">
        <v>1217</v>
      </c>
      <c r="D52" s="56" t="s">
        <v>235</v>
      </c>
      <c r="E52" s="68">
        <f>IF(B52="","",VLOOKUP(B52,dagsoorttabel1,2,FALSE))</f>
        <v>0.2</v>
      </c>
      <c r="F52" s="68">
        <v>1</v>
      </c>
      <c r="G52" s="68">
        <f>IF(prodnorm97&gt;0,1/ROUND(prodnorm97,4),0)</f>
        <v>0</v>
      </c>
      <c r="H52" s="60">
        <f>ROUND(uurtarief97,2)</f>
        <v>0</v>
      </c>
      <c r="I52" s="68">
        <v>8.5</v>
      </c>
      <c r="J52" s="68">
        <v>68.789999999999992</v>
      </c>
      <c r="K52" s="68">
        <v>71.5</v>
      </c>
      <c r="L52" s="68">
        <v>25</v>
      </c>
      <c r="M52" s="68">
        <v>0</v>
      </c>
      <c r="N52" s="68">
        <v>12</v>
      </c>
      <c r="O52" s="68">
        <v>42.6</v>
      </c>
      <c r="P52" s="68">
        <v>42.4</v>
      </c>
      <c r="Q52" s="68">
        <v>0</v>
      </c>
      <c r="R52" s="68">
        <v>42</v>
      </c>
      <c r="S52" s="68">
        <v>45.5</v>
      </c>
      <c r="T52" s="68">
        <v>41.86</v>
      </c>
      <c r="U52" s="68">
        <v>15.8</v>
      </c>
      <c r="V52" s="68">
        <v>31.049999999999997</v>
      </c>
      <c r="W52" s="68">
        <v>16.899999999999999</v>
      </c>
      <c r="X52" s="68">
        <v>62.099999999999994</v>
      </c>
      <c r="Y52" s="68">
        <v>20.399999999999999</v>
      </c>
      <c r="Z52" s="68">
        <v>42.7</v>
      </c>
      <c r="AA52" s="68">
        <v>49.8</v>
      </c>
      <c r="AB52" s="68">
        <v>9.5</v>
      </c>
      <c r="AC52" s="68">
        <v>55.7</v>
      </c>
      <c r="AD52" s="68">
        <v>26.45</v>
      </c>
      <c r="AE52" s="68">
        <v>14.450000000000001</v>
      </c>
      <c r="AF52" s="68">
        <v>4.05</v>
      </c>
      <c r="AG52" s="68">
        <v>30</v>
      </c>
      <c r="AH52" s="68">
        <v>52.4</v>
      </c>
      <c r="AI52" s="68">
        <v>42.4</v>
      </c>
      <c r="AJ52" s="68">
        <v>24.4</v>
      </c>
      <c r="AK52" s="68">
        <v>86.97</v>
      </c>
      <c r="AL52" s="68">
        <v>78.2</v>
      </c>
      <c r="AM52" s="68">
        <v>36.85</v>
      </c>
      <c r="AN52" s="68">
        <v>48.2</v>
      </c>
      <c r="AO52" s="68">
        <v>153.25</v>
      </c>
      <c r="AP52" s="68">
        <v>75.25</v>
      </c>
      <c r="AQ52" s="68">
        <v>0</v>
      </c>
      <c r="AR52" s="68">
        <v>24.75</v>
      </c>
    </row>
    <row r="53" spans="1:44" x14ac:dyDescent="0.2">
      <c r="A53" s="56" t="s">
        <v>277</v>
      </c>
      <c r="B53" s="56" t="s">
        <v>12</v>
      </c>
      <c r="C53" s="56" t="s">
        <v>1217</v>
      </c>
      <c r="D53" s="56" t="s">
        <v>235</v>
      </c>
      <c r="E53" s="68">
        <f>IF(B53="","",VLOOKUP(B53,dagsoorttabel1,2,FALSE))</f>
        <v>0.4</v>
      </c>
      <c r="F53" s="68">
        <v>1</v>
      </c>
      <c r="G53" s="68">
        <f>IF(prodnorm98&gt;0,1/ROUND(prodnorm98,4),0)</f>
        <v>0</v>
      </c>
      <c r="H53" s="60">
        <f>ROUND(uurtarief98,2)</f>
        <v>0</v>
      </c>
      <c r="I53" s="68">
        <v>0</v>
      </c>
      <c r="J53" s="68">
        <v>0</v>
      </c>
      <c r="K53" s="68">
        <v>0</v>
      </c>
      <c r="L53" s="68">
        <v>0</v>
      </c>
      <c r="M53" s="68">
        <v>0</v>
      </c>
      <c r="N53" s="68">
        <v>0</v>
      </c>
      <c r="O53" s="68">
        <v>0</v>
      </c>
      <c r="P53" s="68">
        <v>57.4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68">
        <v>46.42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37.71</v>
      </c>
      <c r="AG53" s="68">
        <v>0</v>
      </c>
      <c r="AH53" s="68">
        <v>0</v>
      </c>
      <c r="AI53" s="68">
        <v>0</v>
      </c>
      <c r="AJ53" s="68">
        <v>0</v>
      </c>
      <c r="AK53" s="68">
        <v>71</v>
      </c>
      <c r="AL53" s="68">
        <v>0</v>
      </c>
      <c r="AM53" s="68">
        <v>0</v>
      </c>
      <c r="AN53" s="68">
        <v>0</v>
      </c>
      <c r="AO53" s="68">
        <v>0</v>
      </c>
      <c r="AP53" s="68">
        <v>0</v>
      </c>
      <c r="AQ53" s="68">
        <v>0</v>
      </c>
      <c r="AR53" s="68">
        <v>0</v>
      </c>
    </row>
    <row r="54" spans="1:44" x14ac:dyDescent="0.2">
      <c r="A54" s="56" t="s">
        <v>277</v>
      </c>
      <c r="B54" s="56" t="s">
        <v>9</v>
      </c>
      <c r="C54" s="56" t="s">
        <v>1217</v>
      </c>
      <c r="D54" s="56" t="s">
        <v>235</v>
      </c>
      <c r="E54" s="68">
        <f>IF(B54="","",VLOOKUP(B54,dagsoorttabel1,2,FALSE))</f>
        <v>1</v>
      </c>
      <c r="F54" s="68">
        <v>1</v>
      </c>
      <c r="G54" s="68">
        <f>IF(prodnorm99&gt;0,1/ROUND(prodnorm99,4),0)</f>
        <v>0</v>
      </c>
      <c r="H54" s="60">
        <f>ROUND(uurtarief99,2)</f>
        <v>0</v>
      </c>
      <c r="I54" s="68">
        <v>0</v>
      </c>
      <c r="J54" s="68">
        <v>0</v>
      </c>
      <c r="K54" s="68">
        <v>0</v>
      </c>
      <c r="L54" s="68">
        <v>0</v>
      </c>
      <c r="M54" s="68">
        <v>0</v>
      </c>
      <c r="N54" s="68">
        <v>0</v>
      </c>
      <c r="O54" s="68">
        <v>0</v>
      </c>
      <c r="P54" s="68">
        <v>0</v>
      </c>
      <c r="Q54" s="68">
        <v>0</v>
      </c>
      <c r="R54" s="68">
        <v>0</v>
      </c>
      <c r="S54" s="68">
        <v>0</v>
      </c>
      <c r="T54" s="68">
        <v>0</v>
      </c>
      <c r="U54" s="68">
        <v>124.4</v>
      </c>
      <c r="V54" s="68">
        <v>0</v>
      </c>
      <c r="W54" s="68">
        <v>0</v>
      </c>
      <c r="X54" s="68">
        <v>0</v>
      </c>
      <c r="Y54" s="68">
        <v>0</v>
      </c>
      <c r="Z54" s="68">
        <v>0</v>
      </c>
      <c r="AA54" s="68">
        <v>0</v>
      </c>
      <c r="AB54" s="68">
        <v>0</v>
      </c>
      <c r="AC54" s="68">
        <v>0</v>
      </c>
      <c r="AD54" s="68">
        <v>0</v>
      </c>
      <c r="AE54" s="68">
        <v>0</v>
      </c>
      <c r="AF54" s="68">
        <v>33.849999999999994</v>
      </c>
      <c r="AG54" s="68">
        <v>0</v>
      </c>
      <c r="AH54" s="68">
        <v>0</v>
      </c>
      <c r="AI54" s="68">
        <v>0</v>
      </c>
      <c r="AJ54" s="68">
        <v>0</v>
      </c>
      <c r="AK54" s="68">
        <v>0</v>
      </c>
      <c r="AL54" s="68">
        <v>0</v>
      </c>
      <c r="AM54" s="68">
        <v>0</v>
      </c>
      <c r="AN54" s="68">
        <v>0</v>
      </c>
      <c r="AO54" s="68">
        <v>0</v>
      </c>
      <c r="AP54" s="68">
        <v>0</v>
      </c>
      <c r="AQ54" s="68">
        <v>0</v>
      </c>
      <c r="AR54" s="68">
        <v>0</v>
      </c>
    </row>
    <row r="55" spans="1:44" x14ac:dyDescent="0.2">
      <c r="A55" s="56" t="s">
        <v>279</v>
      </c>
      <c r="B55" s="56" t="s">
        <v>13</v>
      </c>
      <c r="C55" s="56" t="s">
        <v>1217</v>
      </c>
      <c r="D55" s="56" t="s">
        <v>235</v>
      </c>
      <c r="E55" s="68">
        <f>IF(B55="","",VLOOKUP(B55,dagsoorttabel1,2,FALSE))</f>
        <v>0.2</v>
      </c>
      <c r="F55" s="68">
        <v>1</v>
      </c>
      <c r="G55" s="68">
        <f>IF(prodnorm100&gt;0,1/ROUND(prodnorm100,4),0)</f>
        <v>0</v>
      </c>
      <c r="H55" s="60">
        <f>ROUND(uurtarief100,2)</f>
        <v>0</v>
      </c>
      <c r="I55" s="68">
        <v>12.6</v>
      </c>
      <c r="J55" s="68">
        <v>16.61</v>
      </c>
      <c r="K55" s="68">
        <v>16.649999999999999</v>
      </c>
      <c r="L55" s="68">
        <v>19.600000000000001</v>
      </c>
      <c r="M55" s="68">
        <v>0</v>
      </c>
      <c r="N55" s="68">
        <v>9.5</v>
      </c>
      <c r="O55" s="68">
        <v>43.06</v>
      </c>
      <c r="P55" s="68">
        <v>0</v>
      </c>
      <c r="Q55" s="68">
        <v>6.7</v>
      </c>
      <c r="R55" s="68">
        <v>7.9</v>
      </c>
      <c r="S55" s="68">
        <v>12.1</v>
      </c>
      <c r="T55" s="68">
        <v>11</v>
      </c>
      <c r="U55" s="68">
        <v>6</v>
      </c>
      <c r="V55" s="68">
        <v>5.57</v>
      </c>
      <c r="W55" s="68">
        <v>8.4</v>
      </c>
      <c r="X55" s="68">
        <v>0</v>
      </c>
      <c r="Y55" s="68">
        <v>5.9</v>
      </c>
      <c r="Z55" s="68">
        <v>19.150000000000002</v>
      </c>
      <c r="AA55" s="68">
        <v>29.7</v>
      </c>
      <c r="AB55" s="68">
        <v>5</v>
      </c>
      <c r="AC55" s="68">
        <v>14.45</v>
      </c>
      <c r="AD55" s="68">
        <v>4</v>
      </c>
      <c r="AE55" s="68">
        <v>20.13</v>
      </c>
      <c r="AF55" s="68">
        <v>6.95</v>
      </c>
      <c r="AG55" s="68">
        <v>6.8</v>
      </c>
      <c r="AH55" s="68">
        <v>3.8</v>
      </c>
      <c r="AI55" s="68">
        <v>0</v>
      </c>
      <c r="AJ55" s="68">
        <v>4.8</v>
      </c>
      <c r="AK55" s="68">
        <v>0</v>
      </c>
      <c r="AL55" s="68">
        <v>0</v>
      </c>
      <c r="AM55" s="68">
        <v>9.85</v>
      </c>
      <c r="AN55" s="68">
        <v>15.27</v>
      </c>
      <c r="AO55" s="68">
        <v>12</v>
      </c>
      <c r="AP55" s="68">
        <v>28.799999999999997</v>
      </c>
      <c r="AQ55" s="68">
        <v>6.74</v>
      </c>
      <c r="AR55" s="68">
        <v>10.73</v>
      </c>
    </row>
    <row r="56" spans="1:44" x14ac:dyDescent="0.2">
      <c r="A56" s="56" t="s">
        <v>279</v>
      </c>
      <c r="B56" s="56" t="s">
        <v>12</v>
      </c>
      <c r="C56" s="56" t="s">
        <v>1217</v>
      </c>
      <c r="D56" s="56" t="s">
        <v>235</v>
      </c>
      <c r="E56" s="68">
        <f>IF(B56="","",VLOOKUP(B56,dagsoorttabel1,2,FALSE))</f>
        <v>0.4</v>
      </c>
      <c r="F56" s="68">
        <v>1</v>
      </c>
      <c r="G56" s="68">
        <f>IF(prodnorm101&gt;0,1/ROUND(prodnorm101,4),0)</f>
        <v>0</v>
      </c>
      <c r="H56" s="60">
        <f>ROUND(uurtarief101,2)</f>
        <v>0</v>
      </c>
      <c r="I56" s="68">
        <v>0</v>
      </c>
      <c r="J56" s="68">
        <v>0</v>
      </c>
      <c r="K56" s="68">
        <v>0</v>
      </c>
      <c r="L56" s="68">
        <v>0</v>
      </c>
      <c r="M56" s="68">
        <v>11.9</v>
      </c>
      <c r="N56" s="68">
        <v>0</v>
      </c>
      <c r="O56" s="68">
        <v>0</v>
      </c>
      <c r="P56" s="68">
        <v>20.2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23.78</v>
      </c>
      <c r="Y56" s="68">
        <v>0</v>
      </c>
      <c r="Z56" s="68">
        <v>0</v>
      </c>
      <c r="AA56" s="68">
        <v>0</v>
      </c>
      <c r="AB56" s="68">
        <v>0</v>
      </c>
      <c r="AC56" s="68">
        <v>0</v>
      </c>
      <c r="AD56" s="68">
        <v>0</v>
      </c>
      <c r="AE56" s="68">
        <v>0</v>
      </c>
      <c r="AF56" s="68">
        <v>0</v>
      </c>
      <c r="AG56" s="68">
        <v>14.700000000000001</v>
      </c>
      <c r="AH56" s="68">
        <v>19.84</v>
      </c>
      <c r="AI56" s="68">
        <v>34.53</v>
      </c>
      <c r="AJ56" s="68">
        <v>0</v>
      </c>
      <c r="AK56" s="68">
        <v>21.2</v>
      </c>
      <c r="AL56" s="68">
        <v>0</v>
      </c>
      <c r="AM56" s="68">
        <v>0</v>
      </c>
      <c r="AN56" s="68">
        <v>0</v>
      </c>
      <c r="AO56" s="68">
        <v>0</v>
      </c>
      <c r="AP56" s="68">
        <v>0</v>
      </c>
      <c r="AQ56" s="68">
        <v>0</v>
      </c>
      <c r="AR56" s="68">
        <v>0</v>
      </c>
    </row>
    <row r="57" spans="1:44" x14ac:dyDescent="0.2">
      <c r="A57" s="56" t="s">
        <v>279</v>
      </c>
      <c r="B57" s="56" t="s">
        <v>9</v>
      </c>
      <c r="C57" s="56" t="s">
        <v>1217</v>
      </c>
      <c r="D57" s="56" t="s">
        <v>235</v>
      </c>
      <c r="E57" s="68">
        <f>IF(B57="","",VLOOKUP(B57,dagsoorttabel1,2,FALSE))</f>
        <v>1</v>
      </c>
      <c r="F57" s="68">
        <v>1</v>
      </c>
      <c r="G57" s="68">
        <f>IF(prodnorm102&gt;0,1/ROUND(prodnorm102,4),0)</f>
        <v>0</v>
      </c>
      <c r="H57" s="60">
        <f>ROUND(uurtarief102,2)</f>
        <v>0</v>
      </c>
      <c r="I57" s="68">
        <v>0</v>
      </c>
      <c r="J57" s="68">
        <v>0</v>
      </c>
      <c r="K57" s="68">
        <v>0</v>
      </c>
      <c r="L57" s="68">
        <v>0</v>
      </c>
      <c r="M57" s="68">
        <v>0</v>
      </c>
      <c r="N57" s="68">
        <v>0</v>
      </c>
      <c r="O57" s="68">
        <v>0</v>
      </c>
      <c r="P57" s="68">
        <v>0</v>
      </c>
      <c r="Q57" s="68">
        <v>0</v>
      </c>
      <c r="R57" s="68">
        <v>0</v>
      </c>
      <c r="S57" s="68">
        <v>0</v>
      </c>
      <c r="T57" s="68">
        <v>0</v>
      </c>
      <c r="U57" s="68">
        <v>141.69999999999999</v>
      </c>
      <c r="V57" s="68">
        <v>0</v>
      </c>
      <c r="W57" s="68">
        <v>0</v>
      </c>
      <c r="X57" s="68">
        <v>0</v>
      </c>
      <c r="Y57" s="68">
        <v>0</v>
      </c>
      <c r="Z57" s="68">
        <v>0</v>
      </c>
      <c r="AA57" s="68">
        <v>0</v>
      </c>
      <c r="AB57" s="68">
        <v>0</v>
      </c>
      <c r="AC57" s="68">
        <v>0</v>
      </c>
      <c r="AD57" s="68">
        <v>0</v>
      </c>
      <c r="AE57" s="68">
        <v>0</v>
      </c>
      <c r="AF57" s="68">
        <v>50.41</v>
      </c>
      <c r="AG57" s="68">
        <v>0</v>
      </c>
      <c r="AH57" s="68">
        <v>0</v>
      </c>
      <c r="AI57" s="68">
        <v>0</v>
      </c>
      <c r="AJ57" s="68">
        <v>0</v>
      </c>
      <c r="AK57" s="68">
        <v>0</v>
      </c>
      <c r="AL57" s="68">
        <v>0</v>
      </c>
      <c r="AM57" s="68">
        <v>0</v>
      </c>
      <c r="AN57" s="68">
        <v>0</v>
      </c>
      <c r="AO57" s="68">
        <v>0</v>
      </c>
      <c r="AP57" s="68">
        <v>0</v>
      </c>
      <c r="AQ57" s="68">
        <v>0</v>
      </c>
      <c r="AR57" s="68">
        <v>0</v>
      </c>
    </row>
    <row r="58" spans="1:44" x14ac:dyDescent="0.2">
      <c r="A58" s="56" t="s">
        <v>281</v>
      </c>
      <c r="B58" s="56" t="s">
        <v>21</v>
      </c>
      <c r="C58" s="56" t="s">
        <v>1217</v>
      </c>
      <c r="D58" s="56" t="s">
        <v>235</v>
      </c>
      <c r="E58" s="68">
        <f>IF(B58="","",VLOOKUP(B58,dagsoorttabel1,2,FALSE))</f>
        <v>3.8461538461538464E-3</v>
      </c>
      <c r="F58" s="68">
        <v>1</v>
      </c>
      <c r="G58" s="68">
        <f>IF(prodnorm103&gt;0,1/ROUND(prodnorm103,4),0)</f>
        <v>0</v>
      </c>
      <c r="H58" s="60">
        <f>ROUND(uurtarief103,2)</f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13.5</v>
      </c>
      <c r="O58" s="68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68">
        <v>0</v>
      </c>
      <c r="Y58" s="68">
        <v>0</v>
      </c>
      <c r="Z58" s="68">
        <v>62.8</v>
      </c>
      <c r="AA58" s="68">
        <v>0</v>
      </c>
      <c r="AB58" s="68">
        <v>0</v>
      </c>
      <c r="AC58" s="68">
        <v>0</v>
      </c>
      <c r="AD58" s="68">
        <v>0</v>
      </c>
      <c r="AE58" s="68">
        <v>0</v>
      </c>
      <c r="AF58" s="68">
        <v>0</v>
      </c>
      <c r="AG58" s="68">
        <v>20.399999999999999</v>
      </c>
      <c r="AH58" s="68">
        <v>0</v>
      </c>
      <c r="AI58" s="68">
        <v>67.31</v>
      </c>
      <c r="AJ58" s="68">
        <v>0</v>
      </c>
      <c r="AK58" s="68">
        <v>0</v>
      </c>
      <c r="AL58" s="68">
        <v>0</v>
      </c>
      <c r="AM58" s="68">
        <v>9.8000000000000007</v>
      </c>
      <c r="AN58" s="68">
        <v>0</v>
      </c>
      <c r="AO58" s="68">
        <v>0</v>
      </c>
      <c r="AP58" s="68">
        <v>0</v>
      </c>
      <c r="AQ58" s="68">
        <v>0</v>
      </c>
      <c r="AR58" s="68">
        <v>0</v>
      </c>
    </row>
    <row r="59" spans="1:44" x14ac:dyDescent="0.2">
      <c r="A59" s="56" t="s">
        <v>281</v>
      </c>
      <c r="B59" s="56" t="s">
        <v>13</v>
      </c>
      <c r="C59" s="56" t="s">
        <v>1217</v>
      </c>
      <c r="D59" s="56" t="s">
        <v>235</v>
      </c>
      <c r="E59" s="68">
        <f>IF(B59="","",VLOOKUP(B59,dagsoorttabel1,2,FALSE))</f>
        <v>0.2</v>
      </c>
      <c r="F59" s="68">
        <v>1</v>
      </c>
      <c r="G59" s="68">
        <f>IF(prodnorm104&gt;0,1/ROUND(prodnorm104,4),0)</f>
        <v>0</v>
      </c>
      <c r="H59" s="60">
        <f>ROUND(uurtarief104,2)</f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4.8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68">
        <v>0</v>
      </c>
      <c r="AB59" s="68">
        <v>0</v>
      </c>
      <c r="AC59" s="68">
        <v>0</v>
      </c>
      <c r="AD59" s="68">
        <v>0</v>
      </c>
      <c r="AE59" s="68">
        <v>0</v>
      </c>
      <c r="AF59" s="68">
        <v>0</v>
      </c>
      <c r="AG59" s="68">
        <v>0</v>
      </c>
      <c r="AH59" s="68">
        <v>0</v>
      </c>
      <c r="AI59" s="68">
        <v>0</v>
      </c>
      <c r="AJ59" s="68">
        <v>0</v>
      </c>
      <c r="AK59" s="68">
        <v>0</v>
      </c>
      <c r="AL59" s="68">
        <v>0</v>
      </c>
      <c r="AM59" s="68">
        <v>0</v>
      </c>
      <c r="AN59" s="68">
        <v>0</v>
      </c>
      <c r="AO59" s="68">
        <v>37.200000000000003</v>
      </c>
      <c r="AP59" s="68">
        <v>0</v>
      </c>
      <c r="AQ59" s="68">
        <v>0</v>
      </c>
      <c r="AR59" s="68">
        <v>0</v>
      </c>
    </row>
    <row r="60" spans="1:44" x14ac:dyDescent="0.2">
      <c r="A60" s="56" t="s">
        <v>281</v>
      </c>
      <c r="B60" s="56" t="s">
        <v>12</v>
      </c>
      <c r="C60" s="56" t="s">
        <v>1217</v>
      </c>
      <c r="D60" s="56" t="s">
        <v>235</v>
      </c>
      <c r="E60" s="68">
        <f>IF(B60="","",VLOOKUP(B60,dagsoorttabel1,2,FALSE))</f>
        <v>0.4</v>
      </c>
      <c r="F60" s="68">
        <v>1</v>
      </c>
      <c r="G60" s="68">
        <f>IF(prodnorm105&gt;0,1/ROUND(prodnorm105,4),0)</f>
        <v>0</v>
      </c>
      <c r="H60" s="60">
        <f>ROUND(uurtarief105,2)</f>
        <v>0</v>
      </c>
      <c r="I60" s="68">
        <v>0</v>
      </c>
      <c r="J60" s="68">
        <v>0</v>
      </c>
      <c r="K60" s="68">
        <v>0</v>
      </c>
      <c r="L60" s="68">
        <v>0</v>
      </c>
      <c r="M60" s="68">
        <v>52.5</v>
      </c>
      <c r="N60" s="68">
        <v>0</v>
      </c>
      <c r="O60" s="68">
        <v>0</v>
      </c>
      <c r="P60" s="68">
        <v>0</v>
      </c>
      <c r="Q60" s="68">
        <v>0</v>
      </c>
      <c r="R60" s="68">
        <v>0</v>
      </c>
      <c r="S60" s="68">
        <v>0</v>
      </c>
      <c r="T60" s="68">
        <v>0</v>
      </c>
      <c r="U60" s="68">
        <v>0</v>
      </c>
      <c r="V60" s="68">
        <v>0</v>
      </c>
      <c r="W60" s="68">
        <v>0</v>
      </c>
      <c r="X60" s="68">
        <v>0</v>
      </c>
      <c r="Y60" s="68">
        <v>0</v>
      </c>
      <c r="Z60" s="68">
        <v>0</v>
      </c>
      <c r="AA60" s="68">
        <v>0</v>
      </c>
      <c r="AB60" s="68">
        <v>0</v>
      </c>
      <c r="AC60" s="68">
        <v>0</v>
      </c>
      <c r="AD60" s="68">
        <v>0</v>
      </c>
      <c r="AE60" s="68">
        <v>0</v>
      </c>
      <c r="AF60" s="68">
        <v>0</v>
      </c>
      <c r="AG60" s="68">
        <v>0</v>
      </c>
      <c r="AH60" s="68">
        <v>0</v>
      </c>
      <c r="AI60" s="68">
        <v>0</v>
      </c>
      <c r="AJ60" s="68">
        <v>0</v>
      </c>
      <c r="AK60" s="68">
        <v>0</v>
      </c>
      <c r="AL60" s="68">
        <v>0</v>
      </c>
      <c r="AM60" s="68">
        <v>0</v>
      </c>
      <c r="AN60" s="68">
        <v>0</v>
      </c>
      <c r="AO60" s="68">
        <v>0</v>
      </c>
      <c r="AP60" s="68">
        <v>0</v>
      </c>
      <c r="AQ60" s="68">
        <v>0</v>
      </c>
      <c r="AR60" s="68">
        <v>0</v>
      </c>
    </row>
    <row r="61" spans="1:44" x14ac:dyDescent="0.2">
      <c r="A61" s="56" t="s">
        <v>283</v>
      </c>
      <c r="B61" s="56" t="s">
        <v>13</v>
      </c>
      <c r="C61" s="56" t="s">
        <v>1217</v>
      </c>
      <c r="D61" s="56" t="s">
        <v>235</v>
      </c>
      <c r="E61" s="68">
        <f>IF(B61="","",VLOOKUP(B61,dagsoorttabel1,2,FALSE))</f>
        <v>0.2</v>
      </c>
      <c r="F61" s="68">
        <v>1</v>
      </c>
      <c r="G61" s="68">
        <f>IF(prodnorm106&gt;0,1/ROUND(prodnorm106,4),0)</f>
        <v>0</v>
      </c>
      <c r="H61" s="60">
        <f>ROUND(uurtarief106,2)</f>
        <v>0</v>
      </c>
      <c r="I61" s="68">
        <v>25.299999999999997</v>
      </c>
      <c r="J61" s="68">
        <v>51.019999999999996</v>
      </c>
      <c r="K61" s="68">
        <v>85.31</v>
      </c>
      <c r="L61" s="68">
        <v>172.14999999999998</v>
      </c>
      <c r="M61" s="68">
        <v>2.7600000000000002</v>
      </c>
      <c r="N61" s="68">
        <v>74.75</v>
      </c>
      <c r="O61" s="68">
        <v>44.5</v>
      </c>
      <c r="P61" s="68">
        <v>0</v>
      </c>
      <c r="Q61" s="68">
        <v>10.3</v>
      </c>
      <c r="R61" s="68">
        <v>0</v>
      </c>
      <c r="S61" s="68">
        <v>18.95</v>
      </c>
      <c r="T61" s="68">
        <v>15.2</v>
      </c>
      <c r="U61" s="68">
        <v>58.8</v>
      </c>
      <c r="V61" s="68">
        <v>12.870000000000001</v>
      </c>
      <c r="W61" s="68">
        <v>75</v>
      </c>
      <c r="X61" s="68">
        <v>0</v>
      </c>
      <c r="Y61" s="68">
        <v>20.5</v>
      </c>
      <c r="Z61" s="68">
        <v>4.1499999999999995</v>
      </c>
      <c r="AA61" s="68">
        <v>23.5</v>
      </c>
      <c r="AB61" s="68">
        <v>6.3</v>
      </c>
      <c r="AC61" s="68">
        <v>36.6</v>
      </c>
      <c r="AD61" s="68">
        <v>8</v>
      </c>
      <c r="AE61" s="68">
        <v>37.5</v>
      </c>
      <c r="AF61" s="68">
        <v>181.82999999999998</v>
      </c>
      <c r="AG61" s="68">
        <v>0</v>
      </c>
      <c r="AH61" s="68">
        <v>8.6999999999999993</v>
      </c>
      <c r="AI61" s="68">
        <v>0</v>
      </c>
      <c r="AJ61" s="68">
        <v>18.700000000000003</v>
      </c>
      <c r="AK61" s="68">
        <v>0</v>
      </c>
      <c r="AL61" s="68">
        <v>16.649999999999999</v>
      </c>
      <c r="AM61" s="68">
        <v>10.9</v>
      </c>
      <c r="AN61" s="68">
        <v>18.810000000000002</v>
      </c>
      <c r="AO61" s="68">
        <v>60.83</v>
      </c>
      <c r="AP61" s="68">
        <v>55.029999999999994</v>
      </c>
      <c r="AQ61" s="68">
        <v>3.94</v>
      </c>
      <c r="AR61" s="68">
        <v>17.39</v>
      </c>
    </row>
    <row r="62" spans="1:44" x14ac:dyDescent="0.2">
      <c r="A62" s="56" t="s">
        <v>283</v>
      </c>
      <c r="B62" s="56" t="s">
        <v>12</v>
      </c>
      <c r="C62" s="56" t="s">
        <v>1217</v>
      </c>
      <c r="D62" s="56" t="s">
        <v>235</v>
      </c>
      <c r="E62" s="68">
        <f>IF(B62="","",VLOOKUP(B62,dagsoorttabel1,2,FALSE))</f>
        <v>0.4</v>
      </c>
      <c r="F62" s="68">
        <v>1</v>
      </c>
      <c r="G62" s="68">
        <f>IF(prodnorm107&gt;0,1/ROUND(prodnorm107,4),0)</f>
        <v>0</v>
      </c>
      <c r="H62" s="60">
        <f>ROUND(uurtarief107,2)</f>
        <v>0</v>
      </c>
      <c r="I62" s="68">
        <v>0</v>
      </c>
      <c r="J62" s="68">
        <v>0</v>
      </c>
      <c r="K62" s="68">
        <v>0</v>
      </c>
      <c r="L62" s="68">
        <v>0</v>
      </c>
      <c r="M62" s="68">
        <v>10.199999999999999</v>
      </c>
      <c r="N62" s="68">
        <v>0</v>
      </c>
      <c r="O62" s="68">
        <v>0</v>
      </c>
      <c r="P62" s="68">
        <v>82.4</v>
      </c>
      <c r="Q62" s="68">
        <v>0</v>
      </c>
      <c r="R62" s="68">
        <v>0</v>
      </c>
      <c r="S62" s="68">
        <v>0</v>
      </c>
      <c r="T62" s="68">
        <v>0</v>
      </c>
      <c r="U62" s="68">
        <v>0</v>
      </c>
      <c r="V62" s="68">
        <v>0</v>
      </c>
      <c r="W62" s="68">
        <v>0</v>
      </c>
      <c r="X62" s="68">
        <v>105.2</v>
      </c>
      <c r="Y62" s="68">
        <v>0</v>
      </c>
      <c r="Z62" s="68">
        <v>0</v>
      </c>
      <c r="AA62" s="68">
        <v>0</v>
      </c>
      <c r="AB62" s="68">
        <v>0</v>
      </c>
      <c r="AC62" s="68">
        <v>0</v>
      </c>
      <c r="AD62" s="68">
        <v>0</v>
      </c>
      <c r="AE62" s="68">
        <v>0</v>
      </c>
      <c r="AF62" s="68">
        <v>0</v>
      </c>
      <c r="AG62" s="68">
        <v>61.599999999999994</v>
      </c>
      <c r="AH62" s="68">
        <v>94.72</v>
      </c>
      <c r="AI62" s="68">
        <v>87.56</v>
      </c>
      <c r="AJ62" s="68">
        <v>0</v>
      </c>
      <c r="AK62" s="68">
        <v>64.599999999999994</v>
      </c>
      <c r="AL62" s="68">
        <v>0</v>
      </c>
      <c r="AM62" s="68">
        <v>0</v>
      </c>
      <c r="AN62" s="68">
        <v>0</v>
      </c>
      <c r="AO62" s="68">
        <v>0</v>
      </c>
      <c r="AP62" s="68">
        <v>0</v>
      </c>
      <c r="AQ62" s="68">
        <v>0</v>
      </c>
      <c r="AR62" s="68">
        <v>0</v>
      </c>
    </row>
    <row r="63" spans="1:44" x14ac:dyDescent="0.2">
      <c r="A63" s="56" t="s">
        <v>283</v>
      </c>
      <c r="B63" s="56" t="s">
        <v>9</v>
      </c>
      <c r="C63" s="56" t="s">
        <v>1217</v>
      </c>
      <c r="D63" s="56" t="s">
        <v>235</v>
      </c>
      <c r="E63" s="68">
        <f>IF(B63="","",VLOOKUP(B63,dagsoorttabel1,2,FALSE))</f>
        <v>1</v>
      </c>
      <c r="F63" s="68">
        <v>1</v>
      </c>
      <c r="G63" s="68">
        <f>IF(prodnorm108&gt;0,1/ROUND(prodnorm108,4),0)</f>
        <v>0</v>
      </c>
      <c r="H63" s="60">
        <f>ROUND(uurtarief108,2)</f>
        <v>0</v>
      </c>
      <c r="I63" s="68">
        <v>0</v>
      </c>
      <c r="J63" s="68">
        <v>0</v>
      </c>
      <c r="K63" s="68">
        <v>0</v>
      </c>
      <c r="L63" s="68">
        <v>0</v>
      </c>
      <c r="M63" s="68">
        <v>0</v>
      </c>
      <c r="N63" s="68">
        <v>0</v>
      </c>
      <c r="O63" s="68">
        <v>0</v>
      </c>
      <c r="P63" s="68">
        <v>0</v>
      </c>
      <c r="Q63" s="68">
        <v>0</v>
      </c>
      <c r="R63" s="68">
        <v>0</v>
      </c>
      <c r="S63" s="68">
        <v>0</v>
      </c>
      <c r="T63" s="68">
        <v>0</v>
      </c>
      <c r="U63" s="68">
        <v>820.8</v>
      </c>
      <c r="V63" s="68">
        <v>0</v>
      </c>
      <c r="W63" s="68">
        <v>0</v>
      </c>
      <c r="X63" s="68">
        <v>0</v>
      </c>
      <c r="Y63" s="68">
        <v>0</v>
      </c>
      <c r="Z63" s="68">
        <v>0</v>
      </c>
      <c r="AA63" s="68">
        <v>0</v>
      </c>
      <c r="AB63" s="68">
        <v>0</v>
      </c>
      <c r="AC63" s="68">
        <v>0</v>
      </c>
      <c r="AD63" s="68">
        <v>0</v>
      </c>
      <c r="AE63" s="68">
        <v>0</v>
      </c>
      <c r="AF63" s="68">
        <v>258.86</v>
      </c>
      <c r="AG63" s="68">
        <v>0</v>
      </c>
      <c r="AH63" s="68">
        <v>0</v>
      </c>
      <c r="AI63" s="68">
        <v>0</v>
      </c>
      <c r="AJ63" s="68">
        <v>0</v>
      </c>
      <c r="AK63" s="68">
        <v>0</v>
      </c>
      <c r="AL63" s="68">
        <v>0</v>
      </c>
      <c r="AM63" s="68">
        <v>0</v>
      </c>
      <c r="AN63" s="68">
        <v>0</v>
      </c>
      <c r="AO63" s="68">
        <v>0</v>
      </c>
      <c r="AP63" s="68">
        <v>0</v>
      </c>
      <c r="AQ63" s="68">
        <v>0</v>
      </c>
      <c r="AR63" s="68">
        <v>0</v>
      </c>
    </row>
    <row r="64" spans="1:44" x14ac:dyDescent="0.2">
      <c r="A64" s="56" t="s">
        <v>285</v>
      </c>
      <c r="B64" s="56" t="s">
        <v>13</v>
      </c>
      <c r="C64" s="56" t="s">
        <v>1217</v>
      </c>
      <c r="D64" s="56" t="s">
        <v>235</v>
      </c>
      <c r="E64" s="68">
        <f>IF(B64="","",VLOOKUP(B64,dagsoorttabel1,2,FALSE))</f>
        <v>0.2</v>
      </c>
      <c r="F64" s="68">
        <v>1</v>
      </c>
      <c r="G64" s="68">
        <f>IF(prodnorm109&gt;0,1/ROUND(prodnorm109,4),0)</f>
        <v>0</v>
      </c>
      <c r="H64" s="60">
        <f>ROUND(uurtarief109,2)</f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8">
        <v>0</v>
      </c>
      <c r="T64" s="68">
        <v>0</v>
      </c>
      <c r="U64" s="68">
        <v>0</v>
      </c>
      <c r="V64" s="68">
        <v>0</v>
      </c>
      <c r="W64" s="68">
        <v>0</v>
      </c>
      <c r="X64" s="68">
        <v>0</v>
      </c>
      <c r="Y64" s="68">
        <v>0</v>
      </c>
      <c r="Z64" s="68">
        <v>14.55</v>
      </c>
      <c r="AA64" s="68">
        <v>0</v>
      </c>
      <c r="AB64" s="68">
        <v>0</v>
      </c>
      <c r="AC64" s="68">
        <v>0</v>
      </c>
      <c r="AD64" s="68">
        <v>0</v>
      </c>
      <c r="AE64" s="68">
        <v>7.13</v>
      </c>
      <c r="AF64" s="68">
        <v>0</v>
      </c>
      <c r="AG64" s="68">
        <v>0</v>
      </c>
      <c r="AH64" s="68">
        <v>0</v>
      </c>
      <c r="AI64" s="68">
        <v>0</v>
      </c>
      <c r="AJ64" s="68">
        <v>0</v>
      </c>
      <c r="AK64" s="68">
        <v>0</v>
      </c>
      <c r="AL64" s="68">
        <v>0</v>
      </c>
      <c r="AM64" s="68">
        <v>0</v>
      </c>
      <c r="AN64" s="68">
        <v>0</v>
      </c>
      <c r="AO64" s="68">
        <v>0</v>
      </c>
      <c r="AP64" s="68">
        <v>20.7</v>
      </c>
      <c r="AQ64" s="68">
        <v>4.8499999999999996</v>
      </c>
      <c r="AR64" s="68">
        <v>0</v>
      </c>
    </row>
    <row r="65" spans="1:44" x14ac:dyDescent="0.2">
      <c r="A65" s="56" t="s">
        <v>285</v>
      </c>
      <c r="B65" s="56" t="s">
        <v>12</v>
      </c>
      <c r="C65" s="56" t="s">
        <v>1217</v>
      </c>
      <c r="D65" s="56" t="s">
        <v>235</v>
      </c>
      <c r="E65" s="68">
        <f>IF(B65="","",VLOOKUP(B65,dagsoorttabel1,2,FALSE))</f>
        <v>0.4</v>
      </c>
      <c r="F65" s="68">
        <v>1</v>
      </c>
      <c r="G65" s="68">
        <f>IF(prodnorm110&gt;0,1/ROUND(prodnorm110,4),0)</f>
        <v>0</v>
      </c>
      <c r="H65" s="60">
        <f>ROUND(uurtarief110,2)</f>
        <v>0</v>
      </c>
      <c r="I65" s="68">
        <v>0</v>
      </c>
      <c r="J65" s="68">
        <v>0</v>
      </c>
      <c r="K65" s="68">
        <v>0</v>
      </c>
      <c r="L65" s="68">
        <v>0</v>
      </c>
      <c r="M65" s="68">
        <v>22.55</v>
      </c>
      <c r="N65" s="68">
        <v>0</v>
      </c>
      <c r="O65" s="68">
        <v>0</v>
      </c>
      <c r="P65" s="68">
        <v>4</v>
      </c>
      <c r="Q65" s="68">
        <v>0</v>
      </c>
      <c r="R65" s="68">
        <v>0</v>
      </c>
      <c r="S65" s="68">
        <v>0</v>
      </c>
      <c r="T65" s="68">
        <v>0</v>
      </c>
      <c r="U65" s="68">
        <v>0</v>
      </c>
      <c r="V65" s="68">
        <v>0</v>
      </c>
      <c r="W65" s="68">
        <v>0</v>
      </c>
      <c r="X65" s="68">
        <v>0</v>
      </c>
      <c r="Y65" s="68">
        <v>0</v>
      </c>
      <c r="Z65" s="68">
        <v>0</v>
      </c>
      <c r="AA65" s="68">
        <v>0</v>
      </c>
      <c r="AB65" s="68">
        <v>0</v>
      </c>
      <c r="AC65" s="68">
        <v>0</v>
      </c>
      <c r="AD65" s="68">
        <v>0</v>
      </c>
      <c r="AE65" s="68">
        <v>0</v>
      </c>
      <c r="AF65" s="68">
        <v>0</v>
      </c>
      <c r="AG65" s="68">
        <v>0</v>
      </c>
      <c r="AH65" s="68">
        <v>0</v>
      </c>
      <c r="AI65" s="68">
        <v>36.520000000000003</v>
      </c>
      <c r="AJ65" s="68">
        <v>0</v>
      </c>
      <c r="AK65" s="68">
        <v>0</v>
      </c>
      <c r="AL65" s="68">
        <v>0</v>
      </c>
      <c r="AM65" s="68">
        <v>0</v>
      </c>
      <c r="AN65" s="68">
        <v>0</v>
      </c>
      <c r="AO65" s="68">
        <v>0</v>
      </c>
      <c r="AP65" s="68">
        <v>0</v>
      </c>
      <c r="AQ65" s="68">
        <v>0</v>
      </c>
      <c r="AR65" s="68">
        <v>0</v>
      </c>
    </row>
    <row r="66" spans="1:44" x14ac:dyDescent="0.2">
      <c r="A66" s="56" t="s">
        <v>285</v>
      </c>
      <c r="B66" s="56" t="s">
        <v>9</v>
      </c>
      <c r="C66" s="56" t="s">
        <v>1217</v>
      </c>
      <c r="D66" s="56" t="s">
        <v>235</v>
      </c>
      <c r="E66" s="68">
        <f>IF(B66="","",VLOOKUP(B66,dagsoorttabel1,2,FALSE))</f>
        <v>1</v>
      </c>
      <c r="F66" s="68">
        <v>1</v>
      </c>
      <c r="G66" s="68">
        <f>IF(prodnorm111&gt;0,1/ROUND(prodnorm111,4),0)</f>
        <v>0</v>
      </c>
      <c r="H66" s="60">
        <f>ROUND(uurtarief111,2)</f>
        <v>0</v>
      </c>
      <c r="I66" s="68">
        <v>0</v>
      </c>
      <c r="J66" s="68">
        <v>0</v>
      </c>
      <c r="K66" s="68">
        <v>0</v>
      </c>
      <c r="L66" s="68">
        <v>0</v>
      </c>
      <c r="M66" s="68">
        <v>0</v>
      </c>
      <c r="N66" s="68">
        <v>0</v>
      </c>
      <c r="O66" s="68">
        <v>0</v>
      </c>
      <c r="P66" s="68">
        <v>0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  <c r="V66" s="68">
        <v>0</v>
      </c>
      <c r="W66" s="68">
        <v>0</v>
      </c>
      <c r="X66" s="68">
        <v>0</v>
      </c>
      <c r="Y66" s="68">
        <v>0</v>
      </c>
      <c r="Z66" s="68">
        <v>0</v>
      </c>
      <c r="AA66" s="68">
        <v>0</v>
      </c>
      <c r="AB66" s="68">
        <v>0</v>
      </c>
      <c r="AC66" s="68">
        <v>0</v>
      </c>
      <c r="AD66" s="68">
        <v>0</v>
      </c>
      <c r="AE66" s="68">
        <v>0</v>
      </c>
      <c r="AF66" s="68">
        <v>32.94</v>
      </c>
      <c r="AG66" s="68">
        <v>0</v>
      </c>
      <c r="AH66" s="68">
        <v>0</v>
      </c>
      <c r="AI66" s="68">
        <v>0</v>
      </c>
      <c r="AJ66" s="68">
        <v>0</v>
      </c>
      <c r="AK66" s="68">
        <v>0</v>
      </c>
      <c r="AL66" s="68">
        <v>0</v>
      </c>
      <c r="AM66" s="68">
        <v>0</v>
      </c>
      <c r="AN66" s="68">
        <v>0</v>
      </c>
      <c r="AO66" s="68">
        <v>0</v>
      </c>
      <c r="AP66" s="68">
        <v>0</v>
      </c>
      <c r="AQ66" s="68">
        <v>0</v>
      </c>
      <c r="AR66" s="68">
        <v>0</v>
      </c>
    </row>
    <row r="67" spans="1:44" x14ac:dyDescent="0.2">
      <c r="A67" s="56" t="s">
        <v>287</v>
      </c>
      <c r="B67" s="56" t="s">
        <v>13</v>
      </c>
      <c r="C67" s="56" t="s">
        <v>1217</v>
      </c>
      <c r="D67" s="56" t="s">
        <v>235</v>
      </c>
      <c r="E67" s="68">
        <f>IF(B67="","",VLOOKUP(B67,dagsoorttabel1,2,FALSE))</f>
        <v>0.2</v>
      </c>
      <c r="F67" s="68">
        <v>1</v>
      </c>
      <c r="G67" s="68">
        <f>IF(prodnorm112&gt;0,1/ROUND(prodnorm112,4),0)</f>
        <v>0</v>
      </c>
      <c r="H67" s="60">
        <f>ROUND(uurtarief112,2)</f>
        <v>0</v>
      </c>
      <c r="I67" s="68">
        <v>13.8</v>
      </c>
      <c r="J67" s="68">
        <v>8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15.2</v>
      </c>
      <c r="R67" s="68">
        <v>0</v>
      </c>
      <c r="S67" s="68">
        <v>11.8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27.9</v>
      </c>
      <c r="AA67" s="68">
        <v>20</v>
      </c>
      <c r="AB67" s="68">
        <v>19.399999999999999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8">
        <v>22.6</v>
      </c>
      <c r="AK67" s="68">
        <v>0</v>
      </c>
      <c r="AL67" s="68">
        <v>0</v>
      </c>
      <c r="AM67" s="68">
        <v>0</v>
      </c>
      <c r="AN67" s="68">
        <v>0</v>
      </c>
      <c r="AO67" s="68">
        <v>0</v>
      </c>
      <c r="AP67" s="68">
        <v>4.8</v>
      </c>
      <c r="AQ67" s="68">
        <v>0</v>
      </c>
      <c r="AR67" s="68">
        <v>0</v>
      </c>
    </row>
    <row r="68" spans="1:44" x14ac:dyDescent="0.2">
      <c r="A68" s="56" t="s">
        <v>289</v>
      </c>
      <c r="B68" s="56" t="s">
        <v>13</v>
      </c>
      <c r="C68" s="56" t="s">
        <v>1217</v>
      </c>
      <c r="D68" s="56" t="s">
        <v>235</v>
      </c>
      <c r="E68" s="68">
        <f>IF(B68="","",VLOOKUP(B68,dagsoorttabel1,2,FALSE))</f>
        <v>0.2</v>
      </c>
      <c r="F68" s="68">
        <v>1</v>
      </c>
      <c r="G68" s="68">
        <f>IF(prodnorm113&gt;0,1/ROUND(prodnorm113,4),0)</f>
        <v>0</v>
      </c>
      <c r="H68" s="60">
        <f>ROUND(uurtarief113,2)</f>
        <v>0</v>
      </c>
      <c r="I68" s="68">
        <v>0</v>
      </c>
      <c r="J68" s="68">
        <v>0</v>
      </c>
      <c r="K68" s="68">
        <v>0</v>
      </c>
      <c r="L68" s="68">
        <v>23.3</v>
      </c>
      <c r="M68" s="68">
        <v>0</v>
      </c>
      <c r="N68" s="68">
        <v>23.2</v>
      </c>
      <c r="O68" s="68">
        <v>6.7</v>
      </c>
      <c r="P68" s="68">
        <v>0</v>
      </c>
      <c r="Q68" s="68">
        <v>4</v>
      </c>
      <c r="R68" s="68">
        <v>5</v>
      </c>
      <c r="S68" s="68">
        <v>2.5</v>
      </c>
      <c r="T68" s="68">
        <v>6</v>
      </c>
      <c r="U68" s="68">
        <v>0</v>
      </c>
      <c r="V68" s="68">
        <v>0</v>
      </c>
      <c r="W68" s="68">
        <v>0</v>
      </c>
      <c r="X68" s="68">
        <v>0</v>
      </c>
      <c r="Y68" s="68">
        <v>3.9</v>
      </c>
      <c r="Z68" s="68">
        <v>4</v>
      </c>
      <c r="AA68" s="68">
        <v>5.55</v>
      </c>
      <c r="AB68" s="68">
        <v>19.399999999999999</v>
      </c>
      <c r="AC68" s="68">
        <v>4</v>
      </c>
      <c r="AD68" s="68">
        <v>6.5</v>
      </c>
      <c r="AE68" s="68">
        <v>0</v>
      </c>
      <c r="AF68" s="68">
        <v>7</v>
      </c>
      <c r="AG68" s="68">
        <v>0</v>
      </c>
      <c r="AH68" s="68">
        <v>0</v>
      </c>
      <c r="AI68" s="68">
        <v>0</v>
      </c>
      <c r="AJ68" s="68">
        <v>0</v>
      </c>
      <c r="AK68" s="68">
        <v>0</v>
      </c>
      <c r="AL68" s="68">
        <v>20.869999999999997</v>
      </c>
      <c r="AM68" s="68">
        <v>11</v>
      </c>
      <c r="AN68" s="68">
        <v>0</v>
      </c>
      <c r="AO68" s="68">
        <v>0</v>
      </c>
      <c r="AP68" s="68">
        <v>2</v>
      </c>
      <c r="AQ68" s="68">
        <v>2</v>
      </c>
      <c r="AR68" s="68">
        <v>3</v>
      </c>
    </row>
    <row r="69" spans="1:44" x14ac:dyDescent="0.2">
      <c r="A69" s="56" t="s">
        <v>289</v>
      </c>
      <c r="B69" s="56" t="s">
        <v>12</v>
      </c>
      <c r="C69" s="56" t="s">
        <v>1217</v>
      </c>
      <c r="D69" s="56" t="s">
        <v>235</v>
      </c>
      <c r="E69" s="68">
        <f>IF(B69="","",VLOOKUP(B69,dagsoorttabel1,2,FALSE))</f>
        <v>0.4</v>
      </c>
      <c r="F69" s="68">
        <v>1</v>
      </c>
      <c r="G69" s="68">
        <f>IF(prodnorm114&gt;0,1/ROUND(prodnorm114,4),0)</f>
        <v>0</v>
      </c>
      <c r="H69" s="60">
        <f>ROUND(uurtarief114,2)</f>
        <v>0</v>
      </c>
      <c r="I69" s="68">
        <v>0</v>
      </c>
      <c r="J69" s="68">
        <v>0</v>
      </c>
      <c r="K69" s="68">
        <v>0</v>
      </c>
      <c r="L69" s="68">
        <v>0</v>
      </c>
      <c r="M69" s="68">
        <v>6.44</v>
      </c>
      <c r="N69" s="68">
        <v>0</v>
      </c>
      <c r="O69" s="68">
        <v>0</v>
      </c>
      <c r="P69" s="68">
        <v>45.4</v>
      </c>
      <c r="Q69" s="68">
        <v>0</v>
      </c>
      <c r="R69" s="68">
        <v>0</v>
      </c>
      <c r="S69" s="68">
        <v>0</v>
      </c>
      <c r="T69" s="68">
        <v>0</v>
      </c>
      <c r="U69" s="68">
        <v>0</v>
      </c>
      <c r="V69" s="68">
        <v>0</v>
      </c>
      <c r="W69" s="68">
        <v>0</v>
      </c>
      <c r="X69" s="68">
        <v>33.299999999999997</v>
      </c>
      <c r="Y69" s="68">
        <v>0</v>
      </c>
      <c r="Z69" s="68">
        <v>0</v>
      </c>
      <c r="AA69" s="68">
        <v>0</v>
      </c>
      <c r="AB69" s="68">
        <v>0</v>
      </c>
      <c r="AC69" s="68">
        <v>0</v>
      </c>
      <c r="AD69" s="68">
        <v>0</v>
      </c>
      <c r="AE69" s="68">
        <v>0</v>
      </c>
      <c r="AF69" s="68">
        <v>0</v>
      </c>
      <c r="AG69" s="68">
        <v>0</v>
      </c>
      <c r="AH69" s="68">
        <v>0</v>
      </c>
      <c r="AI69" s="68">
        <v>24.67</v>
      </c>
      <c r="AJ69" s="68">
        <v>0</v>
      </c>
      <c r="AK69" s="68">
        <v>0</v>
      </c>
      <c r="AL69" s="68">
        <v>0</v>
      </c>
      <c r="AM69" s="68">
        <v>0</v>
      </c>
      <c r="AN69" s="68">
        <v>0</v>
      </c>
      <c r="AO69" s="68">
        <v>0</v>
      </c>
      <c r="AP69" s="68">
        <v>0</v>
      </c>
      <c r="AQ69" s="68">
        <v>0</v>
      </c>
      <c r="AR69" s="68">
        <v>0</v>
      </c>
    </row>
    <row r="70" spans="1:44" x14ac:dyDescent="0.2">
      <c r="A70" s="56" t="s">
        <v>289</v>
      </c>
      <c r="B70" s="56" t="s">
        <v>9</v>
      </c>
      <c r="C70" s="56" t="s">
        <v>1217</v>
      </c>
      <c r="D70" s="56" t="s">
        <v>235</v>
      </c>
      <c r="E70" s="68">
        <f>IF(B70="","",VLOOKUP(B70,dagsoorttabel1,2,FALSE))</f>
        <v>1</v>
      </c>
      <c r="F70" s="68">
        <v>1</v>
      </c>
      <c r="G70" s="68">
        <f>IF(prodnorm115&gt;0,1/ROUND(prodnorm115,4),0)</f>
        <v>0</v>
      </c>
      <c r="H70" s="60">
        <f>ROUND(uurtarief115,2)</f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0</v>
      </c>
      <c r="R70" s="68">
        <v>0</v>
      </c>
      <c r="S70" s="68">
        <v>0</v>
      </c>
      <c r="T70" s="68">
        <v>0</v>
      </c>
      <c r="U70" s="68">
        <v>40.5</v>
      </c>
      <c r="V70" s="68">
        <v>0</v>
      </c>
      <c r="W70" s="68">
        <v>0</v>
      </c>
      <c r="X70" s="68">
        <v>0</v>
      </c>
      <c r="Y70" s="68">
        <v>0</v>
      </c>
      <c r="Z70" s="68">
        <v>0</v>
      </c>
      <c r="AA70" s="68">
        <v>0</v>
      </c>
      <c r="AB70" s="68">
        <v>0</v>
      </c>
      <c r="AC70" s="68">
        <v>0</v>
      </c>
      <c r="AD70" s="68">
        <v>0</v>
      </c>
      <c r="AE70" s="68">
        <v>0</v>
      </c>
      <c r="AF70" s="68">
        <v>9.9499999999999993</v>
      </c>
      <c r="AG70" s="68">
        <v>0</v>
      </c>
      <c r="AH70" s="68">
        <v>0</v>
      </c>
      <c r="AI70" s="68">
        <v>0</v>
      </c>
      <c r="AJ70" s="68">
        <v>0</v>
      </c>
      <c r="AK70" s="68">
        <v>0</v>
      </c>
      <c r="AL70" s="68">
        <v>0</v>
      </c>
      <c r="AM70" s="68">
        <v>0</v>
      </c>
      <c r="AN70" s="68">
        <v>0</v>
      </c>
      <c r="AO70" s="68">
        <v>0</v>
      </c>
      <c r="AP70" s="68">
        <v>0</v>
      </c>
      <c r="AQ70" s="68">
        <v>0</v>
      </c>
      <c r="AR70" s="68">
        <v>0</v>
      </c>
    </row>
    <row r="71" spans="1:44" x14ac:dyDescent="0.2">
      <c r="A71" s="56" t="s">
        <v>291</v>
      </c>
      <c r="B71" s="56" t="s">
        <v>13</v>
      </c>
      <c r="C71" s="56" t="s">
        <v>1217</v>
      </c>
      <c r="D71" s="56" t="s">
        <v>235</v>
      </c>
      <c r="E71" s="68">
        <f>IF(B71="","",VLOOKUP(B71,dagsoorttabel1,2,FALSE))</f>
        <v>0.2</v>
      </c>
      <c r="F71" s="68">
        <v>1</v>
      </c>
      <c r="G71" s="68">
        <f>IF(prodnorm116&gt;0,1/ROUND(prodnorm116,4),0)</f>
        <v>0</v>
      </c>
      <c r="H71" s="60">
        <f>ROUND(uurtarief116,2)</f>
        <v>0</v>
      </c>
      <c r="I71" s="68">
        <v>0</v>
      </c>
      <c r="J71" s="68">
        <v>0</v>
      </c>
      <c r="K71" s="68">
        <v>6</v>
      </c>
      <c r="L71" s="68">
        <v>2.25</v>
      </c>
      <c r="M71" s="68">
        <v>0</v>
      </c>
      <c r="N71" s="68">
        <v>0</v>
      </c>
      <c r="O71" s="68">
        <v>0</v>
      </c>
      <c r="P71" s="68">
        <v>1.75</v>
      </c>
      <c r="Q71" s="68">
        <v>0</v>
      </c>
      <c r="R71" s="68">
        <v>0</v>
      </c>
      <c r="S71" s="68">
        <v>0</v>
      </c>
      <c r="T71" s="68">
        <v>0</v>
      </c>
      <c r="U71" s="68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8">
        <v>0</v>
      </c>
      <c r="AE71" s="68">
        <v>2.17</v>
      </c>
      <c r="AF71" s="68">
        <v>0</v>
      </c>
      <c r="AG71" s="68">
        <v>0</v>
      </c>
      <c r="AH71" s="68">
        <v>1.44</v>
      </c>
      <c r="AI71" s="68">
        <v>1.55</v>
      </c>
      <c r="AJ71" s="68">
        <v>0</v>
      </c>
      <c r="AK71" s="68">
        <v>1.55</v>
      </c>
      <c r="AL71" s="68">
        <v>0</v>
      </c>
      <c r="AM71" s="68">
        <v>0</v>
      </c>
      <c r="AN71" s="68">
        <v>0</v>
      </c>
      <c r="AO71" s="68">
        <v>0</v>
      </c>
      <c r="AP71" s="68">
        <v>0</v>
      </c>
      <c r="AQ71" s="68">
        <v>0</v>
      </c>
      <c r="AR71" s="68">
        <v>0</v>
      </c>
    </row>
    <row r="72" spans="1:44" x14ac:dyDescent="0.2">
      <c r="A72" s="56" t="s">
        <v>291</v>
      </c>
      <c r="B72" s="56" t="s">
        <v>9</v>
      </c>
      <c r="C72" s="56" t="s">
        <v>1217</v>
      </c>
      <c r="D72" s="56" t="s">
        <v>235</v>
      </c>
      <c r="E72" s="68">
        <f>IF(B72="","",VLOOKUP(B72,dagsoorttabel1,2,FALSE))</f>
        <v>1</v>
      </c>
      <c r="F72" s="68">
        <v>1</v>
      </c>
      <c r="G72" s="68">
        <f>IF(prodnorm117&gt;0,1/ROUND(prodnorm117,4),0)</f>
        <v>0</v>
      </c>
      <c r="H72" s="60">
        <f>ROUND(uurtarief117,2)</f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0</v>
      </c>
      <c r="P72" s="68">
        <v>0</v>
      </c>
      <c r="Q72" s="68">
        <v>0</v>
      </c>
      <c r="R72" s="68">
        <v>0</v>
      </c>
      <c r="S72" s="68">
        <v>0</v>
      </c>
      <c r="T72" s="68">
        <v>0</v>
      </c>
      <c r="U72" s="68">
        <v>6.8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0</v>
      </c>
      <c r="AB72" s="68">
        <v>0</v>
      </c>
      <c r="AC72" s="68">
        <v>0</v>
      </c>
      <c r="AD72" s="68">
        <v>0</v>
      </c>
      <c r="AE72" s="68">
        <v>0</v>
      </c>
      <c r="AF72" s="68">
        <v>4.0599999999999996</v>
      </c>
      <c r="AG72" s="68">
        <v>0</v>
      </c>
      <c r="AH72" s="68">
        <v>0</v>
      </c>
      <c r="AI72" s="68">
        <v>0</v>
      </c>
      <c r="AJ72" s="68">
        <v>0</v>
      </c>
      <c r="AK72" s="68">
        <v>0</v>
      </c>
      <c r="AL72" s="68">
        <v>0</v>
      </c>
      <c r="AM72" s="68">
        <v>0</v>
      </c>
      <c r="AN72" s="68">
        <v>0</v>
      </c>
      <c r="AO72" s="68">
        <v>0</v>
      </c>
      <c r="AP72" s="68">
        <v>0</v>
      </c>
      <c r="AQ72" s="68">
        <v>0</v>
      </c>
      <c r="AR72" s="68">
        <v>0</v>
      </c>
    </row>
    <row r="73" spans="1:44" x14ac:dyDescent="0.2">
      <c r="A73" s="56" t="s">
        <v>293</v>
      </c>
      <c r="B73" s="56" t="s">
        <v>21</v>
      </c>
      <c r="C73" s="56" t="s">
        <v>1217</v>
      </c>
      <c r="D73" s="56" t="s">
        <v>235</v>
      </c>
      <c r="E73" s="68">
        <f>IF(B73="","",VLOOKUP(B73,dagsoorttabel1,2,FALSE))</f>
        <v>3.8461538461538464E-3</v>
      </c>
      <c r="F73" s="68">
        <v>1</v>
      </c>
      <c r="G73" s="68">
        <f>IF(prodnorm118&gt;0,1/ROUND(prodnorm118,4),0)</f>
        <v>0</v>
      </c>
      <c r="H73" s="60">
        <f>ROUND(uurtarief118,2)</f>
        <v>0</v>
      </c>
      <c r="I73" s="68">
        <v>0</v>
      </c>
      <c r="J73" s="68">
        <v>24.259999999999998</v>
      </c>
      <c r="K73" s="68">
        <v>10.6</v>
      </c>
      <c r="L73" s="68">
        <v>14</v>
      </c>
      <c r="M73" s="68">
        <v>13.4</v>
      </c>
      <c r="N73" s="68">
        <v>11</v>
      </c>
      <c r="O73" s="68">
        <v>0</v>
      </c>
      <c r="P73" s="68">
        <v>13.4</v>
      </c>
      <c r="Q73" s="68">
        <v>0</v>
      </c>
      <c r="R73" s="68">
        <v>0</v>
      </c>
      <c r="S73" s="68">
        <v>0</v>
      </c>
      <c r="T73" s="68">
        <v>0</v>
      </c>
      <c r="U73" s="68">
        <v>0</v>
      </c>
      <c r="V73" s="68">
        <v>18.77</v>
      </c>
      <c r="W73" s="68">
        <v>0</v>
      </c>
      <c r="X73" s="68">
        <v>7.9</v>
      </c>
      <c r="Y73" s="68">
        <v>0</v>
      </c>
      <c r="Z73" s="68">
        <v>25.7</v>
      </c>
      <c r="AA73" s="68">
        <v>0</v>
      </c>
      <c r="AB73" s="68">
        <v>0</v>
      </c>
      <c r="AC73" s="68">
        <v>0</v>
      </c>
      <c r="AD73" s="68">
        <v>0</v>
      </c>
      <c r="AE73" s="68">
        <v>38.49</v>
      </c>
      <c r="AF73" s="68">
        <v>122.16000000000001</v>
      </c>
      <c r="AG73" s="68">
        <v>0</v>
      </c>
      <c r="AH73" s="68">
        <v>20.45</v>
      </c>
      <c r="AI73" s="68">
        <v>19.88</v>
      </c>
      <c r="AJ73" s="68">
        <v>23.6</v>
      </c>
      <c r="AK73" s="68">
        <v>0</v>
      </c>
      <c r="AL73" s="68">
        <v>0</v>
      </c>
      <c r="AM73" s="68">
        <v>0</v>
      </c>
      <c r="AN73" s="68">
        <v>0</v>
      </c>
      <c r="AO73" s="68">
        <v>0</v>
      </c>
      <c r="AP73" s="68">
        <v>0</v>
      </c>
      <c r="AQ73" s="68">
        <v>0</v>
      </c>
      <c r="AR73" s="68">
        <v>0</v>
      </c>
    </row>
    <row r="74" spans="1:44" x14ac:dyDescent="0.2">
      <c r="A74" s="56" t="s">
        <v>293</v>
      </c>
      <c r="B74" s="56" t="s">
        <v>13</v>
      </c>
      <c r="C74" s="56" t="s">
        <v>1217</v>
      </c>
      <c r="D74" s="56" t="s">
        <v>235</v>
      </c>
      <c r="E74" s="68">
        <f>IF(B74="","",VLOOKUP(B74,dagsoorttabel1,2,FALSE))</f>
        <v>0.2</v>
      </c>
      <c r="F74" s="68">
        <v>1</v>
      </c>
      <c r="G74" s="68">
        <f>IF(prodnorm119&gt;0,1/ROUND(prodnorm119,4),0)</f>
        <v>0</v>
      </c>
      <c r="H74" s="60">
        <f>ROUND(uurtarief119,2)</f>
        <v>0</v>
      </c>
      <c r="I74" s="68">
        <v>0</v>
      </c>
      <c r="J74" s="68">
        <v>23.64</v>
      </c>
      <c r="K74" s="68">
        <v>0</v>
      </c>
      <c r="L74" s="68">
        <v>0</v>
      </c>
      <c r="M74" s="68">
        <v>0</v>
      </c>
      <c r="N74" s="68">
        <v>0</v>
      </c>
      <c r="O74" s="68">
        <v>20.3</v>
      </c>
      <c r="P74" s="68">
        <v>0</v>
      </c>
      <c r="Q74" s="68">
        <v>31.8</v>
      </c>
      <c r="R74" s="68">
        <v>0</v>
      </c>
      <c r="S74" s="68">
        <v>0</v>
      </c>
      <c r="T74" s="68">
        <v>0</v>
      </c>
      <c r="U74" s="68">
        <v>280.10000000000002</v>
      </c>
      <c r="V74" s="68">
        <v>0</v>
      </c>
      <c r="W74" s="68">
        <v>0</v>
      </c>
      <c r="X74" s="68">
        <v>0</v>
      </c>
      <c r="Y74" s="68">
        <v>0</v>
      </c>
      <c r="Z74" s="68">
        <v>0</v>
      </c>
      <c r="AA74" s="68">
        <v>0</v>
      </c>
      <c r="AB74" s="68">
        <v>0</v>
      </c>
      <c r="AC74" s="68">
        <v>4</v>
      </c>
      <c r="AD74" s="68">
        <v>0</v>
      </c>
      <c r="AE74" s="68">
        <v>0</v>
      </c>
      <c r="AF74" s="68">
        <v>430.66</v>
      </c>
      <c r="AG74" s="68">
        <v>0</v>
      </c>
      <c r="AH74" s="68">
        <v>4.5</v>
      </c>
      <c r="AI74" s="68">
        <v>6.05</v>
      </c>
      <c r="AJ74" s="68">
        <v>0</v>
      </c>
      <c r="AK74" s="68">
        <v>10.199999999999999</v>
      </c>
      <c r="AL74" s="68">
        <v>2.5</v>
      </c>
      <c r="AM74" s="68">
        <v>0</v>
      </c>
      <c r="AN74" s="68">
        <v>0</v>
      </c>
      <c r="AO74" s="68">
        <v>116.51</v>
      </c>
      <c r="AP74" s="68">
        <v>0</v>
      </c>
      <c r="AQ74" s="68">
        <v>0</v>
      </c>
      <c r="AR74" s="68">
        <v>0</v>
      </c>
    </row>
    <row r="75" spans="1:44" x14ac:dyDescent="0.2">
      <c r="A75" s="56" t="s">
        <v>293</v>
      </c>
      <c r="B75" s="56" t="s">
        <v>9</v>
      </c>
      <c r="C75" s="56" t="s">
        <v>1217</v>
      </c>
      <c r="D75" s="56" t="s">
        <v>235</v>
      </c>
      <c r="E75" s="68">
        <f>IF(B75="","",VLOOKUP(B75,dagsoorttabel1,2,FALSE))</f>
        <v>1</v>
      </c>
      <c r="F75" s="68">
        <v>1</v>
      </c>
      <c r="G75" s="68">
        <f>IF(prodnorm120&gt;0,1/ROUND(prodnorm120,4),0)</f>
        <v>0</v>
      </c>
      <c r="H75" s="60">
        <f>ROUND(uurtarief120,2)</f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0</v>
      </c>
      <c r="R75" s="68">
        <v>0</v>
      </c>
      <c r="S75" s="68">
        <v>0</v>
      </c>
      <c r="T75" s="68">
        <v>0</v>
      </c>
      <c r="U75" s="68">
        <v>20.100000000000001</v>
      </c>
      <c r="V75" s="68">
        <v>0</v>
      </c>
      <c r="W75" s="68">
        <v>0</v>
      </c>
      <c r="X75" s="68">
        <v>0</v>
      </c>
      <c r="Y75" s="68">
        <v>0</v>
      </c>
      <c r="Z75" s="68">
        <v>0</v>
      </c>
      <c r="AA75" s="68">
        <v>0</v>
      </c>
      <c r="AB75" s="68">
        <v>0</v>
      </c>
      <c r="AC75" s="68">
        <v>0</v>
      </c>
      <c r="AD75" s="68">
        <v>0</v>
      </c>
      <c r="AE75" s="68">
        <v>0</v>
      </c>
      <c r="AF75" s="68">
        <v>0</v>
      </c>
      <c r="AG75" s="68">
        <v>0</v>
      </c>
      <c r="AH75" s="68">
        <v>0</v>
      </c>
      <c r="AI75" s="68">
        <v>0</v>
      </c>
      <c r="AJ75" s="68">
        <v>0</v>
      </c>
      <c r="AK75" s="68">
        <v>0</v>
      </c>
      <c r="AL75" s="68">
        <v>0</v>
      </c>
      <c r="AM75" s="68">
        <v>0</v>
      </c>
      <c r="AN75" s="68">
        <v>0</v>
      </c>
      <c r="AO75" s="68">
        <v>0</v>
      </c>
      <c r="AP75" s="68">
        <v>0</v>
      </c>
      <c r="AQ75" s="68">
        <v>0</v>
      </c>
      <c r="AR75" s="68">
        <v>0</v>
      </c>
    </row>
    <row r="76" spans="1:44" x14ac:dyDescent="0.2">
      <c r="A76" s="56" t="s">
        <v>295</v>
      </c>
      <c r="B76" s="56" t="s">
        <v>13</v>
      </c>
      <c r="C76" s="56" t="s">
        <v>1217</v>
      </c>
      <c r="D76" s="56" t="s">
        <v>235</v>
      </c>
      <c r="E76" s="68">
        <f>IF(B76="","",VLOOKUP(B76,dagsoorttabel1,2,FALSE))</f>
        <v>0.2</v>
      </c>
      <c r="F76" s="68">
        <v>1</v>
      </c>
      <c r="G76" s="68">
        <f>IF(prodnorm121&gt;0,1/ROUND(prodnorm121,4),0)</f>
        <v>0</v>
      </c>
      <c r="H76" s="60">
        <f>ROUND(uurtarief121,2)</f>
        <v>0</v>
      </c>
      <c r="I76" s="68">
        <v>0</v>
      </c>
      <c r="J76" s="68">
        <v>0</v>
      </c>
      <c r="K76" s="68">
        <v>0</v>
      </c>
      <c r="L76" s="68">
        <v>0</v>
      </c>
      <c r="M76" s="68">
        <v>0</v>
      </c>
      <c r="N76" s="68">
        <v>0</v>
      </c>
      <c r="O76" s="68">
        <v>0</v>
      </c>
      <c r="P76" s="68">
        <v>0</v>
      </c>
      <c r="Q76" s="68">
        <v>0</v>
      </c>
      <c r="R76" s="68">
        <v>0</v>
      </c>
      <c r="S76" s="68">
        <v>0</v>
      </c>
      <c r="T76" s="68">
        <v>0</v>
      </c>
      <c r="U76" s="68">
        <v>0</v>
      </c>
      <c r="V76" s="68">
        <v>0</v>
      </c>
      <c r="W76" s="68">
        <v>0</v>
      </c>
      <c r="X76" s="68">
        <v>0</v>
      </c>
      <c r="Y76" s="68">
        <v>0</v>
      </c>
      <c r="Z76" s="68">
        <v>0</v>
      </c>
      <c r="AA76" s="68">
        <v>0</v>
      </c>
      <c r="AB76" s="68">
        <v>0</v>
      </c>
      <c r="AC76" s="68">
        <v>0</v>
      </c>
      <c r="AD76" s="68">
        <v>0</v>
      </c>
      <c r="AE76" s="68">
        <v>0</v>
      </c>
      <c r="AF76" s="68">
        <v>0</v>
      </c>
      <c r="AG76" s="68">
        <v>0</v>
      </c>
      <c r="AH76" s="68">
        <v>0</v>
      </c>
      <c r="AI76" s="68">
        <v>0</v>
      </c>
      <c r="AJ76" s="68">
        <v>0</v>
      </c>
      <c r="AK76" s="68">
        <v>0</v>
      </c>
      <c r="AL76" s="68">
        <v>0</v>
      </c>
      <c r="AM76" s="68">
        <v>0</v>
      </c>
      <c r="AN76" s="68">
        <v>0</v>
      </c>
      <c r="AO76" s="68">
        <v>0</v>
      </c>
      <c r="AP76" s="68">
        <v>0</v>
      </c>
      <c r="AQ76" s="68">
        <v>0</v>
      </c>
      <c r="AR76" s="68">
        <v>13.67</v>
      </c>
    </row>
    <row r="77" spans="1:44" x14ac:dyDescent="0.2">
      <c r="A77" s="56" t="s">
        <v>296</v>
      </c>
      <c r="B77" s="56" t="s">
        <v>13</v>
      </c>
      <c r="C77" s="56" t="s">
        <v>1217</v>
      </c>
      <c r="D77" s="56" t="s">
        <v>235</v>
      </c>
      <c r="E77" s="68">
        <f>IF(B77="","",VLOOKUP(B77,dagsoorttabel1,2,FALSE))</f>
        <v>0.2</v>
      </c>
      <c r="F77" s="68">
        <v>1</v>
      </c>
      <c r="G77" s="68">
        <f>IF(prodnorm122&gt;0,1/ROUND(prodnorm122,4),0)</f>
        <v>0</v>
      </c>
      <c r="H77" s="60">
        <f>ROUND(uurtarief122,2)</f>
        <v>0</v>
      </c>
      <c r="I77" s="68">
        <v>0</v>
      </c>
      <c r="J77" s="68">
        <v>0</v>
      </c>
      <c r="K77" s="68">
        <v>0</v>
      </c>
      <c r="L77" s="68">
        <v>0</v>
      </c>
      <c r="M77" s="68">
        <v>0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170.6</v>
      </c>
      <c r="V77" s="68">
        <v>0</v>
      </c>
      <c r="W77" s="68">
        <v>0</v>
      </c>
      <c r="X77" s="68">
        <v>0</v>
      </c>
      <c r="Y77" s="68">
        <v>0</v>
      </c>
      <c r="Z77" s="68">
        <v>0</v>
      </c>
      <c r="AA77" s="68">
        <v>0</v>
      </c>
      <c r="AB77" s="68">
        <v>0</v>
      </c>
      <c r="AC77" s="68">
        <v>0</v>
      </c>
      <c r="AD77" s="68">
        <v>0</v>
      </c>
      <c r="AE77" s="68">
        <v>0</v>
      </c>
      <c r="AF77" s="68">
        <v>0</v>
      </c>
      <c r="AG77" s="68">
        <v>0</v>
      </c>
      <c r="AH77" s="68">
        <v>0</v>
      </c>
      <c r="AI77" s="68">
        <v>0</v>
      </c>
      <c r="AJ77" s="68">
        <v>0</v>
      </c>
      <c r="AK77" s="68">
        <v>0</v>
      </c>
      <c r="AL77" s="68">
        <v>0</v>
      </c>
      <c r="AM77" s="68">
        <v>0</v>
      </c>
      <c r="AN77" s="68">
        <v>0</v>
      </c>
      <c r="AO77" s="68">
        <v>0</v>
      </c>
      <c r="AP77" s="68">
        <v>0</v>
      </c>
      <c r="AQ77" s="68">
        <v>0</v>
      </c>
      <c r="AR77" s="68">
        <v>0</v>
      </c>
    </row>
    <row r="78" spans="1:44" x14ac:dyDescent="0.2">
      <c r="A78" s="56" t="s">
        <v>298</v>
      </c>
      <c r="B78" s="56" t="s">
        <v>21</v>
      </c>
      <c r="C78" s="56" t="s">
        <v>1217</v>
      </c>
      <c r="D78" s="56" t="s">
        <v>235</v>
      </c>
      <c r="E78" s="68">
        <f>IF(B78="","",VLOOKUP(B78,dagsoorttabel1,2,FALSE))</f>
        <v>3.8461538461538464E-3</v>
      </c>
      <c r="F78" s="68">
        <v>1</v>
      </c>
      <c r="G78" s="68">
        <f>IF(prodnorm123&gt;0,1/ROUND(prodnorm123,4),0)</f>
        <v>0</v>
      </c>
      <c r="H78" s="60">
        <f>ROUND(uurtarief123,2)</f>
        <v>0</v>
      </c>
      <c r="I78" s="68">
        <v>0</v>
      </c>
      <c r="J78" s="68">
        <v>0</v>
      </c>
      <c r="K78" s="68">
        <v>0</v>
      </c>
      <c r="L78" s="68">
        <v>0</v>
      </c>
      <c r="M78" s="68">
        <v>0</v>
      </c>
      <c r="N78" s="68">
        <v>0</v>
      </c>
      <c r="O78" s="68">
        <v>0</v>
      </c>
      <c r="P78" s="68">
        <v>0</v>
      </c>
      <c r="Q78" s="68">
        <v>0</v>
      </c>
      <c r="R78" s="68">
        <v>0</v>
      </c>
      <c r="S78" s="68">
        <v>0</v>
      </c>
      <c r="T78" s="68">
        <v>0</v>
      </c>
      <c r="U78" s="68">
        <v>67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8">
        <v>0</v>
      </c>
      <c r="AE78" s="68">
        <v>0</v>
      </c>
      <c r="AF78" s="68">
        <v>0</v>
      </c>
      <c r="AG78" s="68">
        <v>0</v>
      </c>
      <c r="AH78" s="68">
        <v>0</v>
      </c>
      <c r="AI78" s="68">
        <v>0</v>
      </c>
      <c r="AJ78" s="68">
        <v>0</v>
      </c>
      <c r="AK78" s="68">
        <v>0</v>
      </c>
      <c r="AL78" s="68">
        <v>0</v>
      </c>
      <c r="AM78" s="68">
        <v>0</v>
      </c>
      <c r="AN78" s="68">
        <v>0</v>
      </c>
      <c r="AO78" s="68">
        <v>0</v>
      </c>
      <c r="AP78" s="68">
        <v>0</v>
      </c>
      <c r="AQ78" s="68">
        <v>0</v>
      </c>
      <c r="AR78" s="68">
        <v>0</v>
      </c>
    </row>
    <row r="79" spans="1:44" x14ac:dyDescent="0.2">
      <c r="A79" s="56" t="s">
        <v>298</v>
      </c>
      <c r="B79" s="56" t="s">
        <v>13</v>
      </c>
      <c r="C79" s="56" t="s">
        <v>1217</v>
      </c>
      <c r="D79" s="56" t="s">
        <v>235</v>
      </c>
      <c r="E79" s="68">
        <f>IF(B79="","",VLOOKUP(B79,dagsoorttabel1,2,FALSE))</f>
        <v>0.2</v>
      </c>
      <c r="F79" s="68">
        <v>1</v>
      </c>
      <c r="G79" s="68">
        <f>IF(prodnorm124&gt;0,1/ROUND(prodnorm124,4),0)</f>
        <v>0</v>
      </c>
      <c r="H79" s="60">
        <f>ROUND(uurtarief124,2)</f>
        <v>0</v>
      </c>
      <c r="I79" s="68">
        <v>5.5</v>
      </c>
      <c r="J79" s="68">
        <v>3.75</v>
      </c>
      <c r="K79" s="68">
        <v>26.95</v>
      </c>
      <c r="L79" s="68">
        <v>17.95</v>
      </c>
      <c r="M79" s="68">
        <v>0</v>
      </c>
      <c r="N79" s="68">
        <v>9.6999999999999993</v>
      </c>
      <c r="O79" s="68">
        <v>13.25</v>
      </c>
      <c r="P79" s="68">
        <v>0</v>
      </c>
      <c r="Q79" s="68">
        <v>4.3</v>
      </c>
      <c r="R79" s="68">
        <v>0</v>
      </c>
      <c r="S79" s="68">
        <v>5</v>
      </c>
      <c r="T79" s="68">
        <v>0</v>
      </c>
      <c r="U79" s="68">
        <v>43.1</v>
      </c>
      <c r="V79" s="68">
        <v>0</v>
      </c>
      <c r="W79" s="68">
        <v>7</v>
      </c>
      <c r="X79" s="68">
        <v>0</v>
      </c>
      <c r="Y79" s="68">
        <v>7.75</v>
      </c>
      <c r="Z79" s="68">
        <v>6.25</v>
      </c>
      <c r="AA79" s="68">
        <v>8</v>
      </c>
      <c r="AB79" s="68">
        <v>0</v>
      </c>
      <c r="AC79" s="68">
        <v>3</v>
      </c>
      <c r="AD79" s="68">
        <v>2.4</v>
      </c>
      <c r="AE79" s="68">
        <v>9</v>
      </c>
      <c r="AF79" s="68">
        <v>0</v>
      </c>
      <c r="AG79" s="68">
        <v>0</v>
      </c>
      <c r="AH79" s="68">
        <v>5</v>
      </c>
      <c r="AI79" s="68">
        <v>13.25</v>
      </c>
      <c r="AJ79" s="68">
        <v>12.2</v>
      </c>
      <c r="AK79" s="68">
        <v>0</v>
      </c>
      <c r="AL79" s="68">
        <v>0</v>
      </c>
      <c r="AM79" s="68">
        <v>0</v>
      </c>
      <c r="AN79" s="68">
        <v>11.5</v>
      </c>
      <c r="AO79" s="68">
        <v>0</v>
      </c>
      <c r="AP79" s="68">
        <v>8.5</v>
      </c>
      <c r="AQ79" s="68">
        <v>0</v>
      </c>
      <c r="AR79" s="68">
        <v>7.5</v>
      </c>
    </row>
    <row r="80" spans="1:44" x14ac:dyDescent="0.2">
      <c r="A80" s="56" t="s">
        <v>298</v>
      </c>
      <c r="B80" s="56" t="s">
        <v>12</v>
      </c>
      <c r="C80" s="56" t="s">
        <v>1217</v>
      </c>
      <c r="D80" s="56" t="s">
        <v>235</v>
      </c>
      <c r="E80" s="68">
        <f>IF(B80="","",VLOOKUP(B80,dagsoorttabel1,2,FALSE))</f>
        <v>0.4</v>
      </c>
      <c r="F80" s="68">
        <v>1</v>
      </c>
      <c r="G80" s="68">
        <f>IF(prodnorm125&gt;0,1/ROUND(prodnorm125,4),0)</f>
        <v>0</v>
      </c>
      <c r="H80" s="60">
        <f>ROUND(uurtarief125,2)</f>
        <v>0</v>
      </c>
      <c r="I80" s="68">
        <v>0</v>
      </c>
      <c r="J80" s="68">
        <v>0</v>
      </c>
      <c r="K80" s="68">
        <v>0</v>
      </c>
      <c r="L80" s="68">
        <v>0</v>
      </c>
      <c r="M80" s="68">
        <v>4.75</v>
      </c>
      <c r="N80" s="68">
        <v>0</v>
      </c>
      <c r="O80" s="68">
        <v>0</v>
      </c>
      <c r="P80" s="68">
        <v>8.65</v>
      </c>
      <c r="Q80" s="68">
        <v>0</v>
      </c>
      <c r="R80" s="68">
        <v>0</v>
      </c>
      <c r="S80" s="68">
        <v>0</v>
      </c>
      <c r="T80" s="68">
        <v>0</v>
      </c>
      <c r="U80" s="68">
        <v>0</v>
      </c>
      <c r="V80" s="68">
        <v>0</v>
      </c>
      <c r="W80" s="68">
        <v>0</v>
      </c>
      <c r="X80" s="68">
        <v>21.75</v>
      </c>
      <c r="Y80" s="68">
        <v>0</v>
      </c>
      <c r="Z80" s="68">
        <v>0</v>
      </c>
      <c r="AA80" s="68">
        <v>0</v>
      </c>
      <c r="AB80" s="68">
        <v>0</v>
      </c>
      <c r="AC80" s="68">
        <v>0</v>
      </c>
      <c r="AD80" s="68">
        <v>0</v>
      </c>
      <c r="AE80" s="68">
        <v>0</v>
      </c>
      <c r="AF80" s="68">
        <v>0</v>
      </c>
      <c r="AG80" s="68">
        <v>0</v>
      </c>
      <c r="AH80" s="68">
        <v>5.5</v>
      </c>
      <c r="AI80" s="68">
        <v>0</v>
      </c>
      <c r="AJ80" s="68">
        <v>0</v>
      </c>
      <c r="AK80" s="68">
        <v>7.1499999999999995</v>
      </c>
      <c r="AL80" s="68">
        <v>0</v>
      </c>
      <c r="AM80" s="68">
        <v>0</v>
      </c>
      <c r="AN80" s="68">
        <v>0</v>
      </c>
      <c r="AO80" s="68">
        <v>0</v>
      </c>
      <c r="AP80" s="68">
        <v>0</v>
      </c>
      <c r="AQ80" s="68">
        <v>0</v>
      </c>
      <c r="AR80" s="68">
        <v>0</v>
      </c>
    </row>
    <row r="81" spans="1:44" x14ac:dyDescent="0.2">
      <c r="A81" s="61" t="s">
        <v>298</v>
      </c>
      <c r="B81" s="61" t="s">
        <v>9</v>
      </c>
      <c r="C81" s="61" t="s">
        <v>1217</v>
      </c>
      <c r="D81" s="61" t="s">
        <v>235</v>
      </c>
      <c r="E81" s="70">
        <f>IF(B81="","",VLOOKUP(B81,dagsoorttabel1,2,FALSE))</f>
        <v>1</v>
      </c>
      <c r="F81" s="70">
        <v>1</v>
      </c>
      <c r="G81" s="70">
        <f>IF(prodnorm126&gt;0,1/ROUND(prodnorm126,4),0)</f>
        <v>0</v>
      </c>
      <c r="H81" s="65">
        <f>ROUND(uurtarief126,2)</f>
        <v>0</v>
      </c>
      <c r="I81" s="70">
        <v>0</v>
      </c>
      <c r="J81" s="70">
        <v>0</v>
      </c>
      <c r="K81" s="70">
        <v>0</v>
      </c>
      <c r="L81" s="70">
        <v>0</v>
      </c>
      <c r="M81" s="70">
        <v>0</v>
      </c>
      <c r="N81" s="70">
        <v>0</v>
      </c>
      <c r="O81" s="70">
        <v>0</v>
      </c>
      <c r="P81" s="70">
        <v>0</v>
      </c>
      <c r="Q81" s="70">
        <v>0</v>
      </c>
      <c r="R81" s="70">
        <v>0</v>
      </c>
      <c r="S81" s="70">
        <v>0</v>
      </c>
      <c r="T81" s="70">
        <v>0</v>
      </c>
      <c r="U81" s="70">
        <v>189.4</v>
      </c>
      <c r="V81" s="70">
        <v>0</v>
      </c>
      <c r="W81" s="70">
        <v>0</v>
      </c>
      <c r="X81" s="70">
        <v>0</v>
      </c>
      <c r="Y81" s="70">
        <v>0</v>
      </c>
      <c r="Z81" s="70">
        <v>0</v>
      </c>
      <c r="AA81" s="70">
        <v>0</v>
      </c>
      <c r="AB81" s="70">
        <v>0</v>
      </c>
      <c r="AC81" s="70">
        <v>0</v>
      </c>
      <c r="AD81" s="70">
        <v>0</v>
      </c>
      <c r="AE81" s="70">
        <v>0</v>
      </c>
      <c r="AF81" s="70">
        <v>23.810000000000002</v>
      </c>
      <c r="AG81" s="70">
        <v>0</v>
      </c>
      <c r="AH81" s="70">
        <v>0</v>
      </c>
      <c r="AI81" s="70">
        <v>0</v>
      </c>
      <c r="AJ81" s="70">
        <v>0</v>
      </c>
      <c r="AK81" s="70">
        <v>0</v>
      </c>
      <c r="AL81" s="70">
        <v>0</v>
      </c>
      <c r="AM81" s="70">
        <v>0</v>
      </c>
      <c r="AN81" s="70">
        <v>0</v>
      </c>
      <c r="AO81" s="70">
        <v>0</v>
      </c>
      <c r="AP81" s="70">
        <v>0</v>
      </c>
      <c r="AQ81" s="70">
        <v>0</v>
      </c>
      <c r="AR81" s="70">
        <v>0</v>
      </c>
    </row>
    <row r="82" spans="1:44" x14ac:dyDescent="0.2">
      <c r="A82" s="73" t="s">
        <v>300</v>
      </c>
      <c r="B82" s="74"/>
      <c r="C82" s="74"/>
      <c r="D82" s="74"/>
      <c r="E82" s="74"/>
      <c r="F82" s="74"/>
      <c r="G82" s="74"/>
      <c r="H82" s="74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</row>
  </sheetData>
  <sheetProtection algorithmName="SHA-512" hashValue="qHPAlh8yxySdJ0TtXXjjmYVAeWehFngtssUI8Tii9okGyUo5LO2+CUryg6qA11A3k3p3656SONFR92fOTYIodw==" saltValue="jNUmPcpbFttke6WwbVn6ew==" spinCount="100000" sheet="1" objects="1" scenarios="1" autoFilter="0"/>
  <pageMargins left="0.7" right="0.7" top="0.75" bottom="0.75" header="0.3" footer="0.3"/>
  <pageSetup scale="70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07BC-D26A-434F-B02F-8CD563F05F4A}">
  <dimension ref="A1:O47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12" width="12.1796875" customWidth="1"/>
    <col min="13" max="13" width="12.6328125" customWidth="1"/>
    <col min="14" max="14" width="14.6328125" customWidth="1"/>
    <col min="15" max="15" width="13.6328125" customWidth="1"/>
  </cols>
  <sheetData>
    <row r="1" spans="1:15" x14ac:dyDescent="0.2">
      <c r="A1" s="1" t="str">
        <f>CONCATENATE("Bijlage H  .4: ",tabeltype," objecten")</f>
        <v>Bijlage H  .4: Invultabel objecten</v>
      </c>
    </row>
    <row r="3" spans="1:15" ht="37.799999999999997" x14ac:dyDescent="0.2">
      <c r="A3" s="44" t="s">
        <v>303</v>
      </c>
      <c r="B3" s="44" t="s">
        <v>1218</v>
      </c>
      <c r="C3" s="44" t="s">
        <v>1219</v>
      </c>
      <c r="D3" s="44" t="s">
        <v>1220</v>
      </c>
      <c r="E3" s="44" t="s">
        <v>7</v>
      </c>
      <c r="F3" s="44" t="s">
        <v>1221</v>
      </c>
      <c r="G3" s="44" t="s">
        <v>1222</v>
      </c>
      <c r="H3" s="44" t="s">
        <v>1223</v>
      </c>
      <c r="I3" s="44" t="s">
        <v>1224</v>
      </c>
      <c r="J3" s="44" t="s">
        <v>1225</v>
      </c>
      <c r="K3" s="44" t="s">
        <v>1226</v>
      </c>
      <c r="L3" s="44" t="s">
        <v>1227</v>
      </c>
      <c r="M3" s="44" t="s">
        <v>232</v>
      </c>
      <c r="N3" s="44" t="s">
        <v>233</v>
      </c>
      <c r="O3" s="44" t="s">
        <v>1228</v>
      </c>
    </row>
    <row r="4" spans="1:15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</row>
    <row r="5" spans="1:15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</row>
    <row r="6" spans="1:15" x14ac:dyDescent="0.2">
      <c r="A6" s="51" t="s">
        <v>312</v>
      </c>
      <c r="B6" s="51" t="s">
        <v>1229</v>
      </c>
      <c r="C6" s="51" t="s">
        <v>1230</v>
      </c>
      <c r="D6" s="51" t="s">
        <v>1229</v>
      </c>
      <c r="E6" s="108" t="s">
        <v>13</v>
      </c>
      <c r="F6" s="109">
        <f>gemuurtarief1</f>
        <v>0</v>
      </c>
      <c r="G6" s="66">
        <f>SUMPRODUCT(taakfreqtabel1,uurfactortabel1,kengetaltabel1,object1_opptabel1)*(1/VLOOKUP(E6,dagsoorttabel1,2,FALSE))</f>
        <v>0</v>
      </c>
      <c r="H6" s="53"/>
      <c r="I6" s="66">
        <f>G6+H6</f>
        <v>0</v>
      </c>
      <c r="J6" s="55">
        <f>SUMPRODUCT(taakfreqtabel1,kengetaltabel1,tarieftabel1,object1_opptabel1)*(1/VLOOKUP(E6,dagsoorttabel1,2,FALSE))</f>
        <v>0</v>
      </c>
      <c r="K6" s="55">
        <f>F6*H6</f>
        <v>0</v>
      </c>
      <c r="L6" s="55">
        <f>SUM(J6:K6)</f>
        <v>0</v>
      </c>
      <c r="M6" s="66">
        <f>I6*dagenperjaar1*VLOOKUP(E6,dagsoorttabel1,2,FALSE)</f>
        <v>0</v>
      </c>
      <c r="N6" s="55">
        <f>L6*dagenperjaar1*VLOOKUP(E6,dagsoorttabel1,2,FALSE)</f>
        <v>0</v>
      </c>
      <c r="O6" s="55">
        <f>N6/12</f>
        <v>0</v>
      </c>
    </row>
    <row r="7" spans="1:15" x14ac:dyDescent="0.2">
      <c r="A7" s="56" t="s">
        <v>358</v>
      </c>
      <c r="B7" s="56" t="s">
        <v>1231</v>
      </c>
      <c r="C7" s="56" t="s">
        <v>1232</v>
      </c>
      <c r="D7" s="56" t="s">
        <v>1231</v>
      </c>
      <c r="E7" s="110" t="s">
        <v>13</v>
      </c>
      <c r="F7" s="111">
        <f>gemuurtarief1</f>
        <v>0</v>
      </c>
      <c r="G7" s="68">
        <f>SUMPRODUCT(taakfreqtabel1,uurfactortabel1,kengetaltabel1,object2_opptabel1)*(1/VLOOKUP(E7,dagsoorttabel1,2,FALSE))</f>
        <v>0</v>
      </c>
      <c r="H7" s="58"/>
      <c r="I7" s="68">
        <f>G7+H7</f>
        <v>0</v>
      </c>
      <c r="J7" s="60">
        <f>SUMPRODUCT(taakfreqtabel1,kengetaltabel1,tarieftabel1,object2_opptabel1)*(1/VLOOKUP(E7,dagsoorttabel1,2,FALSE))</f>
        <v>0</v>
      </c>
      <c r="K7" s="60">
        <f>F7*H7</f>
        <v>0</v>
      </c>
      <c r="L7" s="60">
        <f>SUM(J7:K7)</f>
        <v>0</v>
      </c>
      <c r="M7" s="68">
        <f>I7*dagenperjaar1*VLOOKUP(E7,dagsoorttabel1,2,FALSE)</f>
        <v>0</v>
      </c>
      <c r="N7" s="60">
        <f>L7*dagenperjaar1*VLOOKUP(E7,dagsoorttabel1,2,FALSE)</f>
        <v>0</v>
      </c>
      <c r="O7" s="60">
        <f>N7/12</f>
        <v>0</v>
      </c>
    </row>
    <row r="8" spans="1:15" x14ac:dyDescent="0.2">
      <c r="A8" s="56" t="s">
        <v>382</v>
      </c>
      <c r="B8" s="56" t="s">
        <v>1233</v>
      </c>
      <c r="C8" s="56" t="s">
        <v>1234</v>
      </c>
      <c r="D8" s="56" t="s">
        <v>1233</v>
      </c>
      <c r="E8" s="110" t="s">
        <v>13</v>
      </c>
      <c r="F8" s="111">
        <f>gemuurtarief1</f>
        <v>0</v>
      </c>
      <c r="G8" s="68">
        <f>SUMPRODUCT(taakfreqtabel1,uurfactortabel1,kengetaltabel1,object3_opptabel1)*(1/VLOOKUP(E8,dagsoorttabel1,2,FALSE))</f>
        <v>0</v>
      </c>
      <c r="H8" s="58"/>
      <c r="I8" s="68">
        <f>G8+H8</f>
        <v>0</v>
      </c>
      <c r="J8" s="60">
        <f>SUMPRODUCT(taakfreqtabel1,kengetaltabel1,tarieftabel1,object3_opptabel1)*(1/VLOOKUP(E8,dagsoorttabel1,2,FALSE))</f>
        <v>0</v>
      </c>
      <c r="K8" s="60">
        <f>F8*H8</f>
        <v>0</v>
      </c>
      <c r="L8" s="60">
        <f>SUM(J8:K8)</f>
        <v>0</v>
      </c>
      <c r="M8" s="68">
        <f>I8*dagenperjaar1*VLOOKUP(E8,dagsoorttabel1,2,FALSE)</f>
        <v>0</v>
      </c>
      <c r="N8" s="60">
        <f>L8*dagenperjaar1*VLOOKUP(E8,dagsoorttabel1,2,FALSE)</f>
        <v>0</v>
      </c>
      <c r="O8" s="60">
        <f>N8/12</f>
        <v>0</v>
      </c>
    </row>
    <row r="9" spans="1:15" x14ac:dyDescent="0.2">
      <c r="A9" s="56" t="s">
        <v>416</v>
      </c>
      <c r="B9" s="56" t="s">
        <v>1235</v>
      </c>
      <c r="C9" s="56" t="s">
        <v>1236</v>
      </c>
      <c r="D9" s="56" t="s">
        <v>1235</v>
      </c>
      <c r="E9" s="110" t="s">
        <v>13</v>
      </c>
      <c r="F9" s="111">
        <f>gemuurtarief1</f>
        <v>0</v>
      </c>
      <c r="G9" s="68">
        <f>SUMPRODUCT(taakfreqtabel1,uurfactortabel1,kengetaltabel1,object4_opptabel1)*(1/VLOOKUP(E9,dagsoorttabel1,2,FALSE))</f>
        <v>0</v>
      </c>
      <c r="H9" s="58"/>
      <c r="I9" s="68">
        <f>G9+H9</f>
        <v>0</v>
      </c>
      <c r="J9" s="60">
        <f>SUMPRODUCT(taakfreqtabel1,kengetaltabel1,tarieftabel1,object4_opptabel1)*(1/VLOOKUP(E9,dagsoorttabel1,2,FALSE))</f>
        <v>0</v>
      </c>
      <c r="K9" s="60">
        <f>F9*H9</f>
        <v>0</v>
      </c>
      <c r="L9" s="60">
        <f>SUM(J9:K9)</f>
        <v>0</v>
      </c>
      <c r="M9" s="68">
        <f>I9*dagenperjaar1*VLOOKUP(E9,dagsoorttabel1,2,FALSE)</f>
        <v>0</v>
      </c>
      <c r="N9" s="60">
        <f>L9*dagenperjaar1*VLOOKUP(E9,dagsoorttabel1,2,FALSE)</f>
        <v>0</v>
      </c>
      <c r="O9" s="60">
        <f>N9/12</f>
        <v>0</v>
      </c>
    </row>
    <row r="10" spans="1:15" x14ac:dyDescent="0.2">
      <c r="A10" s="56" t="s">
        <v>446</v>
      </c>
      <c r="B10" s="56" t="s">
        <v>1237</v>
      </c>
      <c r="C10" s="56" t="s">
        <v>1238</v>
      </c>
      <c r="D10" s="56" t="s">
        <v>1237</v>
      </c>
      <c r="E10" s="110" t="s">
        <v>12</v>
      </c>
      <c r="F10" s="111">
        <f>gemuurtarief1</f>
        <v>0</v>
      </c>
      <c r="G10" s="68">
        <f>SUMPRODUCT(taakfreqtabel1,uurfactortabel1,kengetaltabel1,object5_opptabel1)*(1/VLOOKUP(E10,dagsoorttabel1,2,FALSE))</f>
        <v>0</v>
      </c>
      <c r="H10" s="58"/>
      <c r="I10" s="68">
        <f>G10+H10</f>
        <v>0</v>
      </c>
      <c r="J10" s="60">
        <f>SUMPRODUCT(taakfreqtabel1,kengetaltabel1,tarieftabel1,object5_opptabel1)*(1/VLOOKUP(E10,dagsoorttabel1,2,FALSE))</f>
        <v>0</v>
      </c>
      <c r="K10" s="60">
        <f>F10*H10</f>
        <v>0</v>
      </c>
      <c r="L10" s="60">
        <f>SUM(J10:K10)</f>
        <v>0</v>
      </c>
      <c r="M10" s="68">
        <f>I10*dagenperjaar1*VLOOKUP(E10,dagsoorttabel1,2,FALSE)</f>
        <v>0</v>
      </c>
      <c r="N10" s="60">
        <f>L10*dagenperjaar1*VLOOKUP(E10,dagsoorttabel1,2,FALSE)</f>
        <v>0</v>
      </c>
      <c r="O10" s="60">
        <f>N10/12</f>
        <v>0</v>
      </c>
    </row>
    <row r="11" spans="1:15" x14ac:dyDescent="0.2">
      <c r="A11" s="56" t="s">
        <v>456</v>
      </c>
      <c r="B11" s="56" t="s">
        <v>1239</v>
      </c>
      <c r="C11" s="56" t="s">
        <v>1240</v>
      </c>
      <c r="D11" s="56" t="s">
        <v>1239</v>
      </c>
      <c r="E11" s="110" t="s">
        <v>13</v>
      </c>
      <c r="F11" s="111">
        <f>gemuurtarief1</f>
        <v>0</v>
      </c>
      <c r="G11" s="68">
        <f>SUMPRODUCT(taakfreqtabel1,uurfactortabel1,kengetaltabel1,object6_opptabel1)*(1/VLOOKUP(E11,dagsoorttabel1,2,FALSE))</f>
        <v>0</v>
      </c>
      <c r="H11" s="58"/>
      <c r="I11" s="68">
        <f>G11+H11</f>
        <v>0</v>
      </c>
      <c r="J11" s="60">
        <f>SUMPRODUCT(taakfreqtabel1,kengetaltabel1,tarieftabel1,object6_opptabel1)*(1/VLOOKUP(E11,dagsoorttabel1,2,FALSE))</f>
        <v>0</v>
      </c>
      <c r="K11" s="60">
        <f>F11*H11</f>
        <v>0</v>
      </c>
      <c r="L11" s="60">
        <f>SUM(J11:K11)</f>
        <v>0</v>
      </c>
      <c r="M11" s="68">
        <f>I11*dagenperjaar1*VLOOKUP(E11,dagsoorttabel1,2,FALSE)</f>
        <v>0</v>
      </c>
      <c r="N11" s="60">
        <f>L11*dagenperjaar1*VLOOKUP(E11,dagsoorttabel1,2,FALSE)</f>
        <v>0</v>
      </c>
      <c r="O11" s="60">
        <f>N11/12</f>
        <v>0</v>
      </c>
    </row>
    <row r="12" spans="1:15" x14ac:dyDescent="0.2">
      <c r="A12" s="56" t="s">
        <v>473</v>
      </c>
      <c r="B12" s="56" t="s">
        <v>1241</v>
      </c>
      <c r="C12" s="56" t="s">
        <v>1242</v>
      </c>
      <c r="D12" s="56" t="s">
        <v>1241</v>
      </c>
      <c r="E12" s="110" t="s">
        <v>13</v>
      </c>
      <c r="F12" s="111">
        <f>gemuurtarief1</f>
        <v>0</v>
      </c>
      <c r="G12" s="68">
        <f>SUMPRODUCT(taakfreqtabel1,uurfactortabel1,kengetaltabel1,object7_opptabel1)*(1/VLOOKUP(E12,dagsoorttabel1,2,FALSE))</f>
        <v>0</v>
      </c>
      <c r="H12" s="58"/>
      <c r="I12" s="68">
        <f>G12+H12</f>
        <v>0</v>
      </c>
      <c r="J12" s="60">
        <f>SUMPRODUCT(taakfreqtabel1,kengetaltabel1,tarieftabel1,object7_opptabel1)*(1/VLOOKUP(E12,dagsoorttabel1,2,FALSE))</f>
        <v>0</v>
      </c>
      <c r="K12" s="60">
        <f>F12*H12</f>
        <v>0</v>
      </c>
      <c r="L12" s="60">
        <f>SUM(J12:K12)</f>
        <v>0</v>
      </c>
      <c r="M12" s="68">
        <f>I12*dagenperjaar1*VLOOKUP(E12,dagsoorttabel1,2,FALSE)</f>
        <v>0</v>
      </c>
      <c r="N12" s="60">
        <f>L12*dagenperjaar1*VLOOKUP(E12,dagsoorttabel1,2,FALSE)</f>
        <v>0</v>
      </c>
      <c r="O12" s="60">
        <f>N12/12</f>
        <v>0</v>
      </c>
    </row>
    <row r="13" spans="1:15" x14ac:dyDescent="0.2">
      <c r="A13" s="56" t="s">
        <v>497</v>
      </c>
      <c r="B13" s="56" t="s">
        <v>1243</v>
      </c>
      <c r="C13" s="56" t="s">
        <v>1244</v>
      </c>
      <c r="D13" s="56" t="s">
        <v>1243</v>
      </c>
      <c r="E13" s="110" t="s">
        <v>12</v>
      </c>
      <c r="F13" s="111">
        <f>gemuurtarief1</f>
        <v>0</v>
      </c>
      <c r="G13" s="68">
        <f>SUMPRODUCT(taakfreqtabel1,uurfactortabel1,kengetaltabel1,object8_opptabel1)*(1/VLOOKUP(E13,dagsoorttabel1,2,FALSE))</f>
        <v>0</v>
      </c>
      <c r="H13" s="58"/>
      <c r="I13" s="68">
        <f>G13+H13</f>
        <v>0</v>
      </c>
      <c r="J13" s="60">
        <f>SUMPRODUCT(taakfreqtabel1,kengetaltabel1,tarieftabel1,object8_opptabel1)*(1/VLOOKUP(E13,dagsoorttabel1,2,FALSE))</f>
        <v>0</v>
      </c>
      <c r="K13" s="60">
        <f>F13*H13</f>
        <v>0</v>
      </c>
      <c r="L13" s="60">
        <f>SUM(J13:K13)</f>
        <v>0</v>
      </c>
      <c r="M13" s="68">
        <f>I13*dagenperjaar1*VLOOKUP(E13,dagsoorttabel1,2,FALSE)</f>
        <v>0</v>
      </c>
      <c r="N13" s="60">
        <f>L13*dagenperjaar1*VLOOKUP(E13,dagsoorttabel1,2,FALSE)</f>
        <v>0</v>
      </c>
      <c r="O13" s="60">
        <f>N13/12</f>
        <v>0</v>
      </c>
    </row>
    <row r="14" spans="1:15" x14ac:dyDescent="0.2">
      <c r="A14" s="56" t="s">
        <v>511</v>
      </c>
      <c r="B14" s="56" t="s">
        <v>1245</v>
      </c>
      <c r="C14" s="56" t="s">
        <v>1246</v>
      </c>
      <c r="D14" s="56" t="s">
        <v>1245</v>
      </c>
      <c r="E14" s="110" t="s">
        <v>13</v>
      </c>
      <c r="F14" s="111">
        <f>gemuurtarief1</f>
        <v>0</v>
      </c>
      <c r="G14" s="68">
        <f>SUMPRODUCT(taakfreqtabel1,uurfactortabel1,kengetaltabel1,object9_opptabel1)*(1/VLOOKUP(E14,dagsoorttabel1,2,FALSE))</f>
        <v>0</v>
      </c>
      <c r="H14" s="58"/>
      <c r="I14" s="68">
        <f>G14+H14</f>
        <v>0</v>
      </c>
      <c r="J14" s="60">
        <f>SUMPRODUCT(taakfreqtabel1,kengetaltabel1,tarieftabel1,object9_opptabel1)*(1/VLOOKUP(E14,dagsoorttabel1,2,FALSE))</f>
        <v>0</v>
      </c>
      <c r="K14" s="60">
        <f>F14*H14</f>
        <v>0</v>
      </c>
      <c r="L14" s="60">
        <f>SUM(J14:K14)</f>
        <v>0</v>
      </c>
      <c r="M14" s="68">
        <f>I14*dagenperjaar1*VLOOKUP(E14,dagsoorttabel1,2,FALSE)</f>
        <v>0</v>
      </c>
      <c r="N14" s="60">
        <f>L14*dagenperjaar1*VLOOKUP(E14,dagsoorttabel1,2,FALSE)</f>
        <v>0</v>
      </c>
      <c r="O14" s="60">
        <f>N14/12</f>
        <v>0</v>
      </c>
    </row>
    <row r="15" spans="1:15" x14ac:dyDescent="0.2">
      <c r="A15" s="56" t="s">
        <v>519</v>
      </c>
      <c r="B15" s="56" t="s">
        <v>1247</v>
      </c>
      <c r="C15" s="56" t="s">
        <v>1248</v>
      </c>
      <c r="D15" s="56" t="s">
        <v>1247</v>
      </c>
      <c r="E15" s="110" t="s">
        <v>13</v>
      </c>
      <c r="F15" s="111">
        <f>gemuurtarief1</f>
        <v>0</v>
      </c>
      <c r="G15" s="68">
        <f>SUMPRODUCT(taakfreqtabel1,uurfactortabel1,kengetaltabel1,object10_opptabel1)*(1/VLOOKUP(E15,dagsoorttabel1,2,FALSE))</f>
        <v>0</v>
      </c>
      <c r="H15" s="58"/>
      <c r="I15" s="68">
        <f>G15+H15</f>
        <v>0</v>
      </c>
      <c r="J15" s="60">
        <f>SUMPRODUCT(taakfreqtabel1,kengetaltabel1,tarieftabel1,object10_opptabel1)*(1/VLOOKUP(E15,dagsoorttabel1,2,FALSE))</f>
        <v>0</v>
      </c>
      <c r="K15" s="60">
        <f>F15*H15</f>
        <v>0</v>
      </c>
      <c r="L15" s="60">
        <f>SUM(J15:K15)</f>
        <v>0</v>
      </c>
      <c r="M15" s="68">
        <f>I15*dagenperjaar1*VLOOKUP(E15,dagsoorttabel1,2,FALSE)</f>
        <v>0</v>
      </c>
      <c r="N15" s="60">
        <f>L15*dagenperjaar1*VLOOKUP(E15,dagsoorttabel1,2,FALSE)</f>
        <v>0</v>
      </c>
      <c r="O15" s="60">
        <f>N15/12</f>
        <v>0</v>
      </c>
    </row>
    <row r="16" spans="1:15" x14ac:dyDescent="0.2">
      <c r="A16" s="56" t="s">
        <v>526</v>
      </c>
      <c r="B16" s="56" t="s">
        <v>1249</v>
      </c>
      <c r="C16" s="56" t="s">
        <v>1250</v>
      </c>
      <c r="D16" s="56" t="s">
        <v>1249</v>
      </c>
      <c r="E16" s="110" t="s">
        <v>13</v>
      </c>
      <c r="F16" s="111">
        <f>gemuurtarief1</f>
        <v>0</v>
      </c>
      <c r="G16" s="68">
        <f>SUMPRODUCT(taakfreqtabel1,uurfactortabel1,kengetaltabel1,object11_opptabel1)*(1/VLOOKUP(E16,dagsoorttabel1,2,FALSE))</f>
        <v>0</v>
      </c>
      <c r="H16" s="58"/>
      <c r="I16" s="68">
        <f>G16+H16</f>
        <v>0</v>
      </c>
      <c r="J16" s="60">
        <f>SUMPRODUCT(taakfreqtabel1,kengetaltabel1,tarieftabel1,object11_opptabel1)*(1/VLOOKUP(E16,dagsoorttabel1,2,FALSE))</f>
        <v>0</v>
      </c>
      <c r="K16" s="60">
        <f>F16*H16</f>
        <v>0</v>
      </c>
      <c r="L16" s="60">
        <f>SUM(J16:K16)</f>
        <v>0</v>
      </c>
      <c r="M16" s="68">
        <f>I16*dagenperjaar1*VLOOKUP(E16,dagsoorttabel1,2,FALSE)</f>
        <v>0</v>
      </c>
      <c r="N16" s="60">
        <f>L16*dagenperjaar1*VLOOKUP(E16,dagsoorttabel1,2,FALSE)</f>
        <v>0</v>
      </c>
      <c r="O16" s="60">
        <f>N16/12</f>
        <v>0</v>
      </c>
    </row>
    <row r="17" spans="1:15" x14ac:dyDescent="0.2">
      <c r="A17" s="56" t="s">
        <v>549</v>
      </c>
      <c r="B17" s="56" t="s">
        <v>1251</v>
      </c>
      <c r="C17" s="56" t="s">
        <v>1252</v>
      </c>
      <c r="D17" s="56" t="s">
        <v>1251</v>
      </c>
      <c r="E17" s="110" t="s">
        <v>13</v>
      </c>
      <c r="F17" s="111">
        <f>gemuurtarief1</f>
        <v>0</v>
      </c>
      <c r="G17" s="68">
        <f>SUMPRODUCT(taakfreqtabel1,uurfactortabel1,kengetaltabel1,object12_opptabel1)*(1/VLOOKUP(E17,dagsoorttabel1,2,FALSE))</f>
        <v>0</v>
      </c>
      <c r="H17" s="58"/>
      <c r="I17" s="68">
        <f>G17+H17</f>
        <v>0</v>
      </c>
      <c r="J17" s="60">
        <f>SUMPRODUCT(taakfreqtabel1,kengetaltabel1,tarieftabel1,object12_opptabel1)*(1/VLOOKUP(E17,dagsoorttabel1,2,FALSE))</f>
        <v>0</v>
      </c>
      <c r="K17" s="60">
        <f>F17*H17</f>
        <v>0</v>
      </c>
      <c r="L17" s="60">
        <f>SUM(J17:K17)</f>
        <v>0</v>
      </c>
      <c r="M17" s="68">
        <f>I17*dagenperjaar1*VLOOKUP(E17,dagsoorttabel1,2,FALSE)</f>
        <v>0</v>
      </c>
      <c r="N17" s="60">
        <f>L17*dagenperjaar1*VLOOKUP(E17,dagsoorttabel1,2,FALSE)</f>
        <v>0</v>
      </c>
      <c r="O17" s="60">
        <f>N17/12</f>
        <v>0</v>
      </c>
    </row>
    <row r="18" spans="1:15" x14ac:dyDescent="0.2">
      <c r="A18" s="56" t="s">
        <v>557</v>
      </c>
      <c r="B18" s="112" t="s">
        <v>1253</v>
      </c>
      <c r="C18" s="56" t="s">
        <v>1254</v>
      </c>
      <c r="D18" s="112" t="s">
        <v>1253</v>
      </c>
      <c r="E18" s="110" t="s">
        <v>9</v>
      </c>
      <c r="F18" s="111">
        <f>gemuurtarief1</f>
        <v>0</v>
      </c>
      <c r="G18" s="68">
        <f>SUMPRODUCT(taakfreqtabel1,uurfactortabel1,kengetaltabel1,object13_opptabel1)*(1/VLOOKUP(E18,dagsoorttabel1,2,FALSE))</f>
        <v>0</v>
      </c>
      <c r="H18" s="58"/>
      <c r="I18" s="68">
        <f>G18+H18</f>
        <v>0</v>
      </c>
      <c r="J18" s="60">
        <f>SUMPRODUCT(taakfreqtabel1,kengetaltabel1,tarieftabel1,object13_opptabel1)*(1/VLOOKUP(E18,dagsoorttabel1,2,FALSE))</f>
        <v>0</v>
      </c>
      <c r="K18" s="60">
        <f>F18*H18</f>
        <v>0</v>
      </c>
      <c r="L18" s="60">
        <f>SUM(J18:K18)</f>
        <v>0</v>
      </c>
      <c r="M18" s="68">
        <f>I18*dagenperjaar1*VLOOKUP(E18,dagsoorttabel1,2,FALSE)</f>
        <v>0</v>
      </c>
      <c r="N18" s="60">
        <f>L18*dagenperjaar1*VLOOKUP(E18,dagsoorttabel1,2,FALSE)</f>
        <v>0</v>
      </c>
      <c r="O18" s="60">
        <f>N18/12</f>
        <v>0</v>
      </c>
    </row>
    <row r="19" spans="1:15" x14ac:dyDescent="0.2">
      <c r="A19" s="56" t="s">
        <v>874</v>
      </c>
      <c r="B19" s="56" t="s">
        <v>1255</v>
      </c>
      <c r="C19" s="56" t="s">
        <v>1256</v>
      </c>
      <c r="D19" s="56" t="s">
        <v>1255</v>
      </c>
      <c r="E19" s="110" t="s">
        <v>13</v>
      </c>
      <c r="F19" s="111">
        <f>gemuurtarief1</f>
        <v>0</v>
      </c>
      <c r="G19" s="68">
        <f>SUMPRODUCT(taakfreqtabel1,uurfactortabel1,kengetaltabel1,object14_opptabel1)*(1/VLOOKUP(E19,dagsoorttabel1,2,FALSE))</f>
        <v>0</v>
      </c>
      <c r="H19" s="58"/>
      <c r="I19" s="68">
        <f>G19+H19</f>
        <v>0</v>
      </c>
      <c r="J19" s="60">
        <f>SUMPRODUCT(taakfreqtabel1,kengetaltabel1,tarieftabel1,object14_opptabel1)*(1/VLOOKUP(E19,dagsoorttabel1,2,FALSE))</f>
        <v>0</v>
      </c>
      <c r="K19" s="60">
        <f>F19*H19</f>
        <v>0</v>
      </c>
      <c r="L19" s="60">
        <f>SUM(J19:K19)</f>
        <v>0</v>
      </c>
      <c r="M19" s="68">
        <f>I19*dagenperjaar1*VLOOKUP(E19,dagsoorttabel1,2,FALSE)</f>
        <v>0</v>
      </c>
      <c r="N19" s="60">
        <f>L19*dagenperjaar1*VLOOKUP(E19,dagsoorttabel1,2,FALSE)</f>
        <v>0</v>
      </c>
      <c r="O19" s="60">
        <f>N19/12</f>
        <v>0</v>
      </c>
    </row>
    <row r="20" spans="1:15" x14ac:dyDescent="0.2">
      <c r="A20" s="56" t="s">
        <v>886</v>
      </c>
      <c r="B20" s="56" t="s">
        <v>1257</v>
      </c>
      <c r="C20" s="56" t="s">
        <v>1258</v>
      </c>
      <c r="D20" s="56" t="s">
        <v>1257</v>
      </c>
      <c r="E20" s="110" t="s">
        <v>13</v>
      </c>
      <c r="F20" s="111">
        <f>gemuurtarief1</f>
        <v>0</v>
      </c>
      <c r="G20" s="68">
        <f>SUMPRODUCT(taakfreqtabel1,uurfactortabel1,kengetaltabel1,object15_opptabel1)*(1/VLOOKUP(E20,dagsoorttabel1,2,FALSE))</f>
        <v>0</v>
      </c>
      <c r="H20" s="58"/>
      <c r="I20" s="68">
        <f>G20+H20</f>
        <v>0</v>
      </c>
      <c r="J20" s="60">
        <f>SUMPRODUCT(taakfreqtabel1,kengetaltabel1,tarieftabel1,object15_opptabel1)*(1/VLOOKUP(E20,dagsoorttabel1,2,FALSE))</f>
        <v>0</v>
      </c>
      <c r="K20" s="60">
        <f>F20*H20</f>
        <v>0</v>
      </c>
      <c r="L20" s="60">
        <f>SUM(J20:K20)</f>
        <v>0</v>
      </c>
      <c r="M20" s="68">
        <f>I20*dagenperjaar1*VLOOKUP(E20,dagsoorttabel1,2,FALSE)</f>
        <v>0</v>
      </c>
      <c r="N20" s="60">
        <f>L20*dagenperjaar1*VLOOKUP(E20,dagsoorttabel1,2,FALSE)</f>
        <v>0</v>
      </c>
      <c r="O20" s="60">
        <f>N20/12</f>
        <v>0</v>
      </c>
    </row>
    <row r="21" spans="1:15" x14ac:dyDescent="0.2">
      <c r="A21" s="56" t="s">
        <v>891</v>
      </c>
      <c r="B21" s="56" t="s">
        <v>1259</v>
      </c>
      <c r="C21" s="56" t="s">
        <v>1260</v>
      </c>
      <c r="D21" s="56" t="s">
        <v>1259</v>
      </c>
      <c r="E21" s="110" t="s">
        <v>12</v>
      </c>
      <c r="F21" s="111">
        <f>gemuurtarief1</f>
        <v>0</v>
      </c>
      <c r="G21" s="68">
        <f>SUMPRODUCT(taakfreqtabel1,uurfactortabel1,kengetaltabel1,object16_opptabel1)*(1/VLOOKUP(E21,dagsoorttabel1,2,FALSE))</f>
        <v>0</v>
      </c>
      <c r="H21" s="58"/>
      <c r="I21" s="68">
        <f>G21+H21</f>
        <v>0</v>
      </c>
      <c r="J21" s="60">
        <f>SUMPRODUCT(taakfreqtabel1,kengetaltabel1,tarieftabel1,object16_opptabel1)*(1/VLOOKUP(E21,dagsoorttabel1,2,FALSE))</f>
        <v>0</v>
      </c>
      <c r="K21" s="60">
        <f>F21*H21</f>
        <v>0</v>
      </c>
      <c r="L21" s="60">
        <f>SUM(J21:K21)</f>
        <v>0</v>
      </c>
      <c r="M21" s="68">
        <f>I21*dagenperjaar1*VLOOKUP(E21,dagsoorttabel1,2,FALSE)</f>
        <v>0</v>
      </c>
      <c r="N21" s="60">
        <f>L21*dagenperjaar1*VLOOKUP(E21,dagsoorttabel1,2,FALSE)</f>
        <v>0</v>
      </c>
      <c r="O21" s="60">
        <f>N21/12</f>
        <v>0</v>
      </c>
    </row>
    <row r="22" spans="1:15" x14ac:dyDescent="0.2">
      <c r="A22" s="56" t="s">
        <v>903</v>
      </c>
      <c r="B22" s="56" t="s">
        <v>1261</v>
      </c>
      <c r="C22" s="56" t="s">
        <v>1262</v>
      </c>
      <c r="D22" s="56" t="s">
        <v>1261</v>
      </c>
      <c r="E22" s="110" t="s">
        <v>13</v>
      </c>
      <c r="F22" s="111">
        <f>gemuurtarief1</f>
        <v>0</v>
      </c>
      <c r="G22" s="68">
        <f>SUMPRODUCT(taakfreqtabel1,uurfactortabel1,kengetaltabel1,object17_opptabel1)*(1/VLOOKUP(E22,dagsoorttabel1,2,FALSE))</f>
        <v>0</v>
      </c>
      <c r="H22" s="58"/>
      <c r="I22" s="68">
        <f>G22+H22</f>
        <v>0</v>
      </c>
      <c r="J22" s="60">
        <f>SUMPRODUCT(taakfreqtabel1,kengetaltabel1,tarieftabel1,object17_opptabel1)*(1/VLOOKUP(E22,dagsoorttabel1,2,FALSE))</f>
        <v>0</v>
      </c>
      <c r="K22" s="60">
        <f>F22*H22</f>
        <v>0</v>
      </c>
      <c r="L22" s="60">
        <f>SUM(J22:K22)</f>
        <v>0</v>
      </c>
      <c r="M22" s="68">
        <f>I22*dagenperjaar1*VLOOKUP(E22,dagsoorttabel1,2,FALSE)</f>
        <v>0</v>
      </c>
      <c r="N22" s="60">
        <f>L22*dagenperjaar1*VLOOKUP(E22,dagsoorttabel1,2,FALSE)</f>
        <v>0</v>
      </c>
      <c r="O22" s="60">
        <f>N22/12</f>
        <v>0</v>
      </c>
    </row>
    <row r="23" spans="1:15" x14ac:dyDescent="0.2">
      <c r="A23" s="56" t="s">
        <v>908</v>
      </c>
      <c r="B23" s="56" t="s">
        <v>1263</v>
      </c>
      <c r="C23" s="56" t="s">
        <v>1264</v>
      </c>
      <c r="D23" s="56" t="s">
        <v>1263</v>
      </c>
      <c r="E23" s="110" t="s">
        <v>13</v>
      </c>
      <c r="F23" s="111">
        <f>gemuurtarief1</f>
        <v>0</v>
      </c>
      <c r="G23" s="68">
        <f>SUMPRODUCT(taakfreqtabel1,uurfactortabel1,kengetaltabel1,object18_opptabel1)*(1/VLOOKUP(E23,dagsoorttabel1,2,FALSE))</f>
        <v>0</v>
      </c>
      <c r="H23" s="58"/>
      <c r="I23" s="68">
        <f>G23+H23</f>
        <v>0</v>
      </c>
      <c r="J23" s="60">
        <f>SUMPRODUCT(taakfreqtabel1,kengetaltabel1,tarieftabel1,object18_opptabel1)*(1/VLOOKUP(E23,dagsoorttabel1,2,FALSE))</f>
        <v>0</v>
      </c>
      <c r="K23" s="60">
        <f>F23*H23</f>
        <v>0</v>
      </c>
      <c r="L23" s="60">
        <f>SUM(J23:K23)</f>
        <v>0</v>
      </c>
      <c r="M23" s="68">
        <f>I23*dagenperjaar1*VLOOKUP(E23,dagsoorttabel1,2,FALSE)</f>
        <v>0</v>
      </c>
      <c r="N23" s="60">
        <f>L23*dagenperjaar1*VLOOKUP(E23,dagsoorttabel1,2,FALSE)</f>
        <v>0</v>
      </c>
      <c r="O23" s="60">
        <f>N23/12</f>
        <v>0</v>
      </c>
    </row>
    <row r="24" spans="1:15" x14ac:dyDescent="0.2">
      <c r="A24" s="56" t="s">
        <v>912</v>
      </c>
      <c r="B24" s="56" t="s">
        <v>1265</v>
      </c>
      <c r="C24" s="56" t="s">
        <v>1266</v>
      </c>
      <c r="D24" s="56" t="s">
        <v>1265</v>
      </c>
      <c r="E24" s="110" t="s">
        <v>13</v>
      </c>
      <c r="F24" s="111">
        <f>gemuurtarief1</f>
        <v>0</v>
      </c>
      <c r="G24" s="68">
        <f>SUMPRODUCT(taakfreqtabel1,uurfactortabel1,kengetaltabel1,object19_opptabel1)*(1/VLOOKUP(E24,dagsoorttabel1,2,FALSE))</f>
        <v>0</v>
      </c>
      <c r="H24" s="58"/>
      <c r="I24" s="68">
        <f>G24+H24</f>
        <v>0</v>
      </c>
      <c r="J24" s="60">
        <f>SUMPRODUCT(taakfreqtabel1,kengetaltabel1,tarieftabel1,object19_opptabel1)*(1/VLOOKUP(E24,dagsoorttabel1,2,FALSE))</f>
        <v>0</v>
      </c>
      <c r="K24" s="60">
        <f>F24*H24</f>
        <v>0</v>
      </c>
      <c r="L24" s="60">
        <f>SUM(J24:K24)</f>
        <v>0</v>
      </c>
      <c r="M24" s="68">
        <f>I24*dagenperjaar1*VLOOKUP(E24,dagsoorttabel1,2,FALSE)</f>
        <v>0</v>
      </c>
      <c r="N24" s="60">
        <f>L24*dagenperjaar1*VLOOKUP(E24,dagsoorttabel1,2,FALSE)</f>
        <v>0</v>
      </c>
      <c r="O24" s="60">
        <f>N24/12</f>
        <v>0</v>
      </c>
    </row>
    <row r="25" spans="1:15" x14ac:dyDescent="0.2">
      <c r="A25" s="56" t="s">
        <v>933</v>
      </c>
      <c r="B25" s="56" t="s">
        <v>1267</v>
      </c>
      <c r="C25" s="56" t="s">
        <v>1268</v>
      </c>
      <c r="D25" s="56" t="s">
        <v>1267</v>
      </c>
      <c r="E25" s="110" t="s">
        <v>13</v>
      </c>
      <c r="F25" s="111">
        <f>gemuurtarief1</f>
        <v>0</v>
      </c>
      <c r="G25" s="68">
        <f>SUMPRODUCT(taakfreqtabel1,uurfactortabel1,kengetaltabel1,object20_opptabel1)*(1/VLOOKUP(E25,dagsoorttabel1,2,FALSE))</f>
        <v>0</v>
      </c>
      <c r="H25" s="58"/>
      <c r="I25" s="68">
        <f>G25+H25</f>
        <v>0</v>
      </c>
      <c r="J25" s="60">
        <f>SUMPRODUCT(taakfreqtabel1,kengetaltabel1,tarieftabel1,object20_opptabel1)*(1/VLOOKUP(E25,dagsoorttabel1,2,FALSE))</f>
        <v>0</v>
      </c>
      <c r="K25" s="60">
        <f>F25*H25</f>
        <v>0</v>
      </c>
      <c r="L25" s="60">
        <f>SUM(J25:K25)</f>
        <v>0</v>
      </c>
      <c r="M25" s="68">
        <f>I25*dagenperjaar1*VLOOKUP(E25,dagsoorttabel1,2,FALSE)</f>
        <v>0</v>
      </c>
      <c r="N25" s="60">
        <f>L25*dagenperjaar1*VLOOKUP(E25,dagsoorttabel1,2,FALSE)</f>
        <v>0</v>
      </c>
      <c r="O25" s="60">
        <f>N25/12</f>
        <v>0</v>
      </c>
    </row>
    <row r="26" spans="1:15" x14ac:dyDescent="0.2">
      <c r="A26" s="56" t="s">
        <v>936</v>
      </c>
      <c r="B26" s="56" t="s">
        <v>1269</v>
      </c>
      <c r="C26" s="56" t="s">
        <v>1270</v>
      </c>
      <c r="D26" s="56" t="s">
        <v>1245</v>
      </c>
      <c r="E26" s="110" t="s">
        <v>13</v>
      </c>
      <c r="F26" s="111">
        <f>gemuurtarief1</f>
        <v>0</v>
      </c>
      <c r="G26" s="68">
        <f>SUMPRODUCT(taakfreqtabel1,uurfactortabel1,kengetaltabel1,object21_opptabel1)*(1/VLOOKUP(E26,dagsoorttabel1,2,FALSE))</f>
        <v>0</v>
      </c>
      <c r="H26" s="58"/>
      <c r="I26" s="68">
        <f>G26+H26</f>
        <v>0</v>
      </c>
      <c r="J26" s="60">
        <f>SUMPRODUCT(taakfreqtabel1,kengetaltabel1,tarieftabel1,object21_opptabel1)*(1/VLOOKUP(E26,dagsoorttabel1,2,FALSE))</f>
        <v>0</v>
      </c>
      <c r="K26" s="60">
        <f>F26*H26</f>
        <v>0</v>
      </c>
      <c r="L26" s="60">
        <f>SUM(J26:K26)</f>
        <v>0</v>
      </c>
      <c r="M26" s="68">
        <f>I26*dagenperjaar1*VLOOKUP(E26,dagsoorttabel1,2,FALSE)</f>
        <v>0</v>
      </c>
      <c r="N26" s="60">
        <f>L26*dagenperjaar1*VLOOKUP(E26,dagsoorttabel1,2,FALSE)</f>
        <v>0</v>
      </c>
      <c r="O26" s="60">
        <f>N26/12</f>
        <v>0</v>
      </c>
    </row>
    <row r="27" spans="1:15" x14ac:dyDescent="0.2">
      <c r="A27" s="56" t="s">
        <v>947</v>
      </c>
      <c r="B27" s="56" t="s">
        <v>1271</v>
      </c>
      <c r="C27" s="56" t="s">
        <v>1272</v>
      </c>
      <c r="D27" s="56" t="s">
        <v>1271</v>
      </c>
      <c r="E27" s="110" t="s">
        <v>13</v>
      </c>
      <c r="F27" s="111">
        <f>gemuurtarief1</f>
        <v>0</v>
      </c>
      <c r="G27" s="68">
        <f>SUMPRODUCT(taakfreqtabel1,uurfactortabel1,kengetaltabel1,object22_opptabel1)*(1/VLOOKUP(E27,dagsoorttabel1,2,FALSE))</f>
        <v>0</v>
      </c>
      <c r="H27" s="58"/>
      <c r="I27" s="68">
        <f>G27+H27</f>
        <v>0</v>
      </c>
      <c r="J27" s="60">
        <f>SUMPRODUCT(taakfreqtabel1,kengetaltabel1,tarieftabel1,object22_opptabel1)*(1/VLOOKUP(E27,dagsoorttabel1,2,FALSE))</f>
        <v>0</v>
      </c>
      <c r="K27" s="60">
        <f>F27*H27</f>
        <v>0</v>
      </c>
      <c r="L27" s="60">
        <f>SUM(J27:K27)</f>
        <v>0</v>
      </c>
      <c r="M27" s="68">
        <f>I27*dagenperjaar1*VLOOKUP(E27,dagsoorttabel1,2,FALSE)</f>
        <v>0</v>
      </c>
      <c r="N27" s="60">
        <f>L27*dagenperjaar1*VLOOKUP(E27,dagsoorttabel1,2,FALSE)</f>
        <v>0</v>
      </c>
      <c r="O27" s="60">
        <f>N27/12</f>
        <v>0</v>
      </c>
    </row>
    <row r="28" spans="1:15" x14ac:dyDescent="0.2">
      <c r="A28" s="56" t="s">
        <v>950</v>
      </c>
      <c r="B28" s="56" t="s">
        <v>1273</v>
      </c>
      <c r="C28" s="56" t="s">
        <v>1274</v>
      </c>
      <c r="D28" s="56" t="s">
        <v>1273</v>
      </c>
      <c r="E28" s="110" t="s">
        <v>13</v>
      </c>
      <c r="F28" s="111">
        <f>gemuurtarief1</f>
        <v>0</v>
      </c>
      <c r="G28" s="68">
        <f>SUMPRODUCT(taakfreqtabel1,uurfactortabel1,kengetaltabel1,object23_opptabel1)*(1/VLOOKUP(E28,dagsoorttabel1,2,FALSE))</f>
        <v>0</v>
      </c>
      <c r="H28" s="58"/>
      <c r="I28" s="68">
        <f>G28+H28</f>
        <v>0</v>
      </c>
      <c r="J28" s="60">
        <f>SUMPRODUCT(taakfreqtabel1,kengetaltabel1,tarieftabel1,object23_opptabel1)*(1/VLOOKUP(E28,dagsoorttabel1,2,FALSE))</f>
        <v>0</v>
      </c>
      <c r="K28" s="60">
        <f>F28*H28</f>
        <v>0</v>
      </c>
      <c r="L28" s="60">
        <f>SUM(J28:K28)</f>
        <v>0</v>
      </c>
      <c r="M28" s="68">
        <f>I28*dagenperjaar1*VLOOKUP(E28,dagsoorttabel1,2,FALSE)</f>
        <v>0</v>
      </c>
      <c r="N28" s="60">
        <f>L28*dagenperjaar1*VLOOKUP(E28,dagsoorttabel1,2,FALSE)</f>
        <v>0</v>
      </c>
      <c r="O28" s="60">
        <f>N28/12</f>
        <v>0</v>
      </c>
    </row>
    <row r="29" spans="1:15" x14ac:dyDescent="0.2">
      <c r="A29" s="56" t="s">
        <v>962</v>
      </c>
      <c r="B29" s="56" t="s">
        <v>1275</v>
      </c>
      <c r="C29" s="56" t="s">
        <v>1276</v>
      </c>
      <c r="D29" s="56" t="s">
        <v>1275</v>
      </c>
      <c r="E29" s="110" t="s">
        <v>9</v>
      </c>
      <c r="F29" s="111">
        <f>gemuurtarief1</f>
        <v>0</v>
      </c>
      <c r="G29" s="68">
        <f>SUMPRODUCT(taakfreqtabel1,uurfactortabel1,kengetaltabel1,object24_opptabel1)*(1/VLOOKUP(E29,dagsoorttabel1,2,FALSE))</f>
        <v>0</v>
      </c>
      <c r="H29" s="58"/>
      <c r="I29" s="68">
        <f>G29+H29</f>
        <v>0</v>
      </c>
      <c r="J29" s="60">
        <f>SUMPRODUCT(taakfreqtabel1,kengetaltabel1,tarieftabel1,object24_opptabel1)*(1/VLOOKUP(E29,dagsoorttabel1,2,FALSE))</f>
        <v>0</v>
      </c>
      <c r="K29" s="60">
        <f>F29*H29</f>
        <v>0</v>
      </c>
      <c r="L29" s="60">
        <f>SUM(J29:K29)</f>
        <v>0</v>
      </c>
      <c r="M29" s="68">
        <f>I29*dagenperjaar1*VLOOKUP(E29,dagsoorttabel1,2,FALSE)</f>
        <v>0</v>
      </c>
      <c r="N29" s="60">
        <f>L29*dagenperjaar1*VLOOKUP(E29,dagsoorttabel1,2,FALSE)</f>
        <v>0</v>
      </c>
      <c r="O29" s="60">
        <f>N29/12</f>
        <v>0</v>
      </c>
    </row>
    <row r="30" spans="1:15" x14ac:dyDescent="0.2">
      <c r="A30" s="56" t="s">
        <v>1057</v>
      </c>
      <c r="B30" s="56" t="s">
        <v>1277</v>
      </c>
      <c r="C30" s="56" t="s">
        <v>1278</v>
      </c>
      <c r="D30" s="56" t="s">
        <v>1277</v>
      </c>
      <c r="E30" s="110" t="s">
        <v>12</v>
      </c>
      <c r="F30" s="111">
        <f>gemuurtarief1</f>
        <v>0</v>
      </c>
      <c r="G30" s="68">
        <f>SUMPRODUCT(taakfreqtabel1,uurfactortabel1,kengetaltabel1,object25_opptabel1)*(1/VLOOKUP(E30,dagsoorttabel1,2,FALSE))</f>
        <v>0</v>
      </c>
      <c r="H30" s="58"/>
      <c r="I30" s="68">
        <f>G30+H30</f>
        <v>0</v>
      </c>
      <c r="J30" s="60">
        <f>SUMPRODUCT(taakfreqtabel1,kengetaltabel1,tarieftabel1,object25_opptabel1)*(1/VLOOKUP(E30,dagsoorttabel1,2,FALSE))</f>
        <v>0</v>
      </c>
      <c r="K30" s="60">
        <f>F30*H30</f>
        <v>0</v>
      </c>
      <c r="L30" s="60">
        <f>SUM(J30:K30)</f>
        <v>0</v>
      </c>
      <c r="M30" s="68">
        <f>I30*dagenperjaar1*VLOOKUP(E30,dagsoorttabel1,2,FALSE)</f>
        <v>0</v>
      </c>
      <c r="N30" s="60">
        <f>L30*dagenperjaar1*VLOOKUP(E30,dagsoorttabel1,2,FALSE)</f>
        <v>0</v>
      </c>
      <c r="O30" s="60">
        <f>N30/12</f>
        <v>0</v>
      </c>
    </row>
    <row r="31" spans="1:15" x14ac:dyDescent="0.2">
      <c r="A31" s="56" t="s">
        <v>1063</v>
      </c>
      <c r="B31" s="56" t="s">
        <v>1279</v>
      </c>
      <c r="C31" s="56" t="s">
        <v>1280</v>
      </c>
      <c r="D31" s="56" t="s">
        <v>1279</v>
      </c>
      <c r="E31" s="110" t="s">
        <v>12</v>
      </c>
      <c r="F31" s="111">
        <f>gemuurtarief1</f>
        <v>0</v>
      </c>
      <c r="G31" s="68">
        <f>SUMPRODUCT(taakfreqtabel1,uurfactortabel1,kengetaltabel1,object26_opptabel1)*(1/VLOOKUP(E31,dagsoorttabel1,2,FALSE))</f>
        <v>0</v>
      </c>
      <c r="H31" s="58"/>
      <c r="I31" s="68">
        <f>G31+H31</f>
        <v>0</v>
      </c>
      <c r="J31" s="60">
        <f>SUMPRODUCT(taakfreqtabel1,kengetaltabel1,tarieftabel1,object26_opptabel1)*(1/VLOOKUP(E31,dagsoorttabel1,2,FALSE))</f>
        <v>0</v>
      </c>
      <c r="K31" s="60">
        <f>F31*H31</f>
        <v>0</v>
      </c>
      <c r="L31" s="60">
        <f>SUM(J31:K31)</f>
        <v>0</v>
      </c>
      <c r="M31" s="68">
        <f>I31*dagenperjaar1*VLOOKUP(E31,dagsoorttabel1,2,FALSE)</f>
        <v>0</v>
      </c>
      <c r="N31" s="60">
        <f>L31*dagenperjaar1*VLOOKUP(E31,dagsoorttabel1,2,FALSE)</f>
        <v>0</v>
      </c>
      <c r="O31" s="60">
        <f>N31/12</f>
        <v>0</v>
      </c>
    </row>
    <row r="32" spans="1:15" x14ac:dyDescent="0.2">
      <c r="A32" s="56" t="s">
        <v>1083</v>
      </c>
      <c r="B32" s="56" t="s">
        <v>1281</v>
      </c>
      <c r="C32" s="56" t="s">
        <v>1282</v>
      </c>
      <c r="D32" s="56" t="s">
        <v>1281</v>
      </c>
      <c r="E32" s="110" t="s">
        <v>12</v>
      </c>
      <c r="F32" s="111">
        <f>gemuurtarief1</f>
        <v>0</v>
      </c>
      <c r="G32" s="68">
        <f>SUMPRODUCT(taakfreqtabel1,uurfactortabel1,kengetaltabel1,object27_opptabel1)*(1/VLOOKUP(E32,dagsoorttabel1,2,FALSE))</f>
        <v>0</v>
      </c>
      <c r="H32" s="58"/>
      <c r="I32" s="68">
        <f>G32+H32</f>
        <v>0</v>
      </c>
      <c r="J32" s="60">
        <f>SUMPRODUCT(taakfreqtabel1,kengetaltabel1,tarieftabel1,object27_opptabel1)*(1/VLOOKUP(E32,dagsoorttabel1,2,FALSE))</f>
        <v>0</v>
      </c>
      <c r="K32" s="60">
        <f>F32*H32</f>
        <v>0</v>
      </c>
      <c r="L32" s="60">
        <f>SUM(J32:K32)</f>
        <v>0</v>
      </c>
      <c r="M32" s="68">
        <f>I32*dagenperjaar1*VLOOKUP(E32,dagsoorttabel1,2,FALSE)</f>
        <v>0</v>
      </c>
      <c r="N32" s="60">
        <f>L32*dagenperjaar1*VLOOKUP(E32,dagsoorttabel1,2,FALSE)</f>
        <v>0</v>
      </c>
      <c r="O32" s="60">
        <f>N32/12</f>
        <v>0</v>
      </c>
    </row>
    <row r="33" spans="1:15" x14ac:dyDescent="0.2">
      <c r="A33" s="56" t="s">
        <v>1101</v>
      </c>
      <c r="B33" s="56" t="s">
        <v>1283</v>
      </c>
      <c r="C33" s="56" t="s">
        <v>1284</v>
      </c>
      <c r="D33" s="56" t="s">
        <v>1283</v>
      </c>
      <c r="E33" s="110" t="s">
        <v>13</v>
      </c>
      <c r="F33" s="111">
        <f>gemuurtarief1</f>
        <v>0</v>
      </c>
      <c r="G33" s="68">
        <f>SUMPRODUCT(taakfreqtabel1,uurfactortabel1,kengetaltabel1,object28_opptabel1)*(1/VLOOKUP(E33,dagsoorttabel1,2,FALSE))</f>
        <v>0</v>
      </c>
      <c r="H33" s="58"/>
      <c r="I33" s="68">
        <f>G33+H33</f>
        <v>0</v>
      </c>
      <c r="J33" s="60">
        <f>SUMPRODUCT(taakfreqtabel1,kengetaltabel1,tarieftabel1,object28_opptabel1)*(1/VLOOKUP(E33,dagsoorttabel1,2,FALSE))</f>
        <v>0</v>
      </c>
      <c r="K33" s="60">
        <f>F33*H33</f>
        <v>0</v>
      </c>
      <c r="L33" s="60">
        <f>SUM(J33:K33)</f>
        <v>0</v>
      </c>
      <c r="M33" s="68">
        <f>I33*dagenperjaar1*VLOOKUP(E33,dagsoorttabel1,2,FALSE)</f>
        <v>0</v>
      </c>
      <c r="N33" s="60">
        <f>L33*dagenperjaar1*VLOOKUP(E33,dagsoorttabel1,2,FALSE)</f>
        <v>0</v>
      </c>
      <c r="O33" s="60">
        <f>N33/12</f>
        <v>0</v>
      </c>
    </row>
    <row r="34" spans="1:15" x14ac:dyDescent="0.2">
      <c r="A34" s="56" t="s">
        <v>1108</v>
      </c>
      <c r="B34" s="56" t="s">
        <v>1285</v>
      </c>
      <c r="C34" s="56" t="s">
        <v>1286</v>
      </c>
      <c r="D34" s="56" t="s">
        <v>1285</v>
      </c>
      <c r="E34" s="110" t="s">
        <v>12</v>
      </c>
      <c r="F34" s="111">
        <f>gemuurtarief1</f>
        <v>0</v>
      </c>
      <c r="G34" s="68">
        <f>SUMPRODUCT(taakfreqtabel1,uurfactortabel1,kengetaltabel1,object29_opptabel1)*(1/VLOOKUP(E34,dagsoorttabel1,2,FALSE))</f>
        <v>0</v>
      </c>
      <c r="H34" s="58"/>
      <c r="I34" s="68">
        <f>G34+H34</f>
        <v>0</v>
      </c>
      <c r="J34" s="60">
        <f>SUMPRODUCT(taakfreqtabel1,kengetaltabel1,tarieftabel1,object29_opptabel1)*(1/VLOOKUP(E34,dagsoorttabel1,2,FALSE))</f>
        <v>0</v>
      </c>
      <c r="K34" s="60">
        <f>F34*H34</f>
        <v>0</v>
      </c>
      <c r="L34" s="60">
        <f>SUM(J34:K34)</f>
        <v>0</v>
      </c>
      <c r="M34" s="68">
        <f>I34*dagenperjaar1*VLOOKUP(E34,dagsoorttabel1,2,FALSE)</f>
        <v>0</v>
      </c>
      <c r="N34" s="60">
        <f>L34*dagenperjaar1*VLOOKUP(E34,dagsoorttabel1,2,FALSE)</f>
        <v>0</v>
      </c>
      <c r="O34" s="60">
        <f>N34/12</f>
        <v>0</v>
      </c>
    </row>
    <row r="35" spans="1:15" x14ac:dyDescent="0.2">
      <c r="A35" s="56" t="s">
        <v>1118</v>
      </c>
      <c r="B35" s="56" t="s">
        <v>1287</v>
      </c>
      <c r="C35" s="56" t="s">
        <v>1288</v>
      </c>
      <c r="D35" s="56" t="s">
        <v>1287</v>
      </c>
      <c r="E35" s="110" t="s">
        <v>13</v>
      </c>
      <c r="F35" s="111">
        <f>gemuurtarief1</f>
        <v>0</v>
      </c>
      <c r="G35" s="68">
        <f>SUMPRODUCT(taakfreqtabel1,uurfactortabel1,kengetaltabel1,object30_opptabel1)*(1/VLOOKUP(E35,dagsoorttabel1,2,FALSE))</f>
        <v>0</v>
      </c>
      <c r="H35" s="58"/>
      <c r="I35" s="68">
        <f>G35+H35</f>
        <v>0</v>
      </c>
      <c r="J35" s="60">
        <f>SUMPRODUCT(taakfreqtabel1,kengetaltabel1,tarieftabel1,object30_opptabel1)*(1/VLOOKUP(E35,dagsoorttabel1,2,FALSE))</f>
        <v>0</v>
      </c>
      <c r="K35" s="60">
        <f>F35*H35</f>
        <v>0</v>
      </c>
      <c r="L35" s="60">
        <f>SUM(J35:K35)</f>
        <v>0</v>
      </c>
      <c r="M35" s="68">
        <f>I35*dagenperjaar1*VLOOKUP(E35,dagsoorttabel1,2,FALSE)</f>
        <v>0</v>
      </c>
      <c r="N35" s="60">
        <f>L35*dagenperjaar1*VLOOKUP(E35,dagsoorttabel1,2,FALSE)</f>
        <v>0</v>
      </c>
      <c r="O35" s="60">
        <f>N35/12</f>
        <v>0</v>
      </c>
    </row>
    <row r="36" spans="1:15" x14ac:dyDescent="0.2">
      <c r="A36" s="56" t="s">
        <v>1127</v>
      </c>
      <c r="B36" s="56" t="s">
        <v>1289</v>
      </c>
      <c r="C36" s="56" t="s">
        <v>1290</v>
      </c>
      <c r="D36" s="56" t="s">
        <v>1289</v>
      </c>
      <c r="E36" s="110" t="s">
        <v>13</v>
      </c>
      <c r="F36" s="111">
        <f>gemuurtarief1</f>
        <v>0</v>
      </c>
      <c r="G36" s="68">
        <f>SUMPRODUCT(taakfreqtabel1,uurfactortabel1,kengetaltabel1,object31_opptabel1)*(1/VLOOKUP(E36,dagsoorttabel1,2,FALSE))</f>
        <v>0</v>
      </c>
      <c r="H36" s="58"/>
      <c r="I36" s="68">
        <f>G36+H36</f>
        <v>0</v>
      </c>
      <c r="J36" s="60">
        <f>SUMPRODUCT(taakfreqtabel1,kengetaltabel1,tarieftabel1,object31_opptabel1)*(1/VLOOKUP(E36,dagsoorttabel1,2,FALSE))</f>
        <v>0</v>
      </c>
      <c r="K36" s="60">
        <f>F36*H36</f>
        <v>0</v>
      </c>
      <c r="L36" s="60">
        <f>SUM(J36:K36)</f>
        <v>0</v>
      </c>
      <c r="M36" s="68">
        <f>I36*dagenperjaar1*VLOOKUP(E36,dagsoorttabel1,2,FALSE)</f>
        <v>0</v>
      </c>
      <c r="N36" s="60">
        <f>L36*dagenperjaar1*VLOOKUP(E36,dagsoorttabel1,2,FALSE)</f>
        <v>0</v>
      </c>
      <c r="O36" s="60">
        <f>N36/12</f>
        <v>0</v>
      </c>
    </row>
    <row r="37" spans="1:15" x14ac:dyDescent="0.2">
      <c r="A37" s="56" t="s">
        <v>1130</v>
      </c>
      <c r="B37" s="56" t="s">
        <v>1291</v>
      </c>
      <c r="C37" s="56" t="s">
        <v>1292</v>
      </c>
      <c r="D37" s="56" t="s">
        <v>1291</v>
      </c>
      <c r="E37" s="110" t="s">
        <v>13</v>
      </c>
      <c r="F37" s="111">
        <f>gemuurtarief1</f>
        <v>0</v>
      </c>
      <c r="G37" s="68">
        <f>SUMPRODUCT(taakfreqtabel1,uurfactortabel1,kengetaltabel1,object32_opptabel1)*(1/VLOOKUP(E37,dagsoorttabel1,2,FALSE))</f>
        <v>0</v>
      </c>
      <c r="H37" s="58"/>
      <c r="I37" s="68">
        <f>G37+H37</f>
        <v>0</v>
      </c>
      <c r="J37" s="60">
        <f>SUMPRODUCT(taakfreqtabel1,kengetaltabel1,tarieftabel1,object32_opptabel1)*(1/VLOOKUP(E37,dagsoorttabel1,2,FALSE))</f>
        <v>0</v>
      </c>
      <c r="K37" s="60">
        <f>F37*H37</f>
        <v>0</v>
      </c>
      <c r="L37" s="60">
        <f>SUM(J37:K37)</f>
        <v>0</v>
      </c>
      <c r="M37" s="68">
        <f>I37*dagenperjaar1*VLOOKUP(E37,dagsoorttabel1,2,FALSE)</f>
        <v>0</v>
      </c>
      <c r="N37" s="60">
        <f>L37*dagenperjaar1*VLOOKUP(E37,dagsoorttabel1,2,FALSE)</f>
        <v>0</v>
      </c>
      <c r="O37" s="60">
        <f>N37/12</f>
        <v>0</v>
      </c>
    </row>
    <row r="38" spans="1:15" x14ac:dyDescent="0.2">
      <c r="A38" s="56" t="s">
        <v>1136</v>
      </c>
      <c r="B38" s="56" t="s">
        <v>1293</v>
      </c>
      <c r="C38" s="56" t="s">
        <v>1294</v>
      </c>
      <c r="D38" s="56" t="s">
        <v>1295</v>
      </c>
      <c r="E38" s="110" t="s">
        <v>13</v>
      </c>
      <c r="F38" s="111">
        <f>gemuurtarief1</f>
        <v>0</v>
      </c>
      <c r="G38" s="68">
        <f>SUMPRODUCT(taakfreqtabel1,uurfactortabel1,kengetaltabel1,object33_opptabel1)*(1/VLOOKUP(E38,dagsoorttabel1,2,FALSE))</f>
        <v>0</v>
      </c>
      <c r="H38" s="58"/>
      <c r="I38" s="68">
        <f>G38+H38</f>
        <v>0</v>
      </c>
      <c r="J38" s="60">
        <f>SUMPRODUCT(taakfreqtabel1,kengetaltabel1,tarieftabel1,object33_opptabel1)*(1/VLOOKUP(E38,dagsoorttabel1,2,FALSE))</f>
        <v>0</v>
      </c>
      <c r="K38" s="60">
        <f>F38*H38</f>
        <v>0</v>
      </c>
      <c r="L38" s="60">
        <f>SUM(J38:K38)</f>
        <v>0</v>
      </c>
      <c r="M38" s="68">
        <f>I38*dagenperjaar1*VLOOKUP(E38,dagsoorttabel1,2,FALSE)</f>
        <v>0</v>
      </c>
      <c r="N38" s="60">
        <f>L38*dagenperjaar1*VLOOKUP(E38,dagsoorttabel1,2,FALSE)</f>
        <v>0</v>
      </c>
      <c r="O38" s="60">
        <f>N38/12</f>
        <v>0</v>
      </c>
    </row>
    <row r="39" spans="1:15" x14ac:dyDescent="0.2">
      <c r="A39" s="56" t="s">
        <v>1155</v>
      </c>
      <c r="B39" s="56" t="s">
        <v>1296</v>
      </c>
      <c r="C39" s="56" t="s">
        <v>1297</v>
      </c>
      <c r="D39" s="56" t="s">
        <v>1296</v>
      </c>
      <c r="E39" s="110" t="s">
        <v>13</v>
      </c>
      <c r="F39" s="111">
        <f>gemuurtarief1</f>
        <v>0</v>
      </c>
      <c r="G39" s="68">
        <f>SUMPRODUCT(taakfreqtabel1,uurfactortabel1,kengetaltabel1,object34_opptabel1)*(1/VLOOKUP(E39,dagsoorttabel1,2,FALSE))</f>
        <v>0</v>
      </c>
      <c r="H39" s="58"/>
      <c r="I39" s="68">
        <f>G39+H39</f>
        <v>0</v>
      </c>
      <c r="J39" s="60">
        <f>SUMPRODUCT(taakfreqtabel1,kengetaltabel1,tarieftabel1,object34_opptabel1)*(1/VLOOKUP(E39,dagsoorttabel1,2,FALSE))</f>
        <v>0</v>
      </c>
      <c r="K39" s="60">
        <f>F39*H39</f>
        <v>0</v>
      </c>
      <c r="L39" s="60">
        <f>SUM(J39:K39)</f>
        <v>0</v>
      </c>
      <c r="M39" s="68">
        <f>I39*dagenperjaar1*VLOOKUP(E39,dagsoorttabel1,2,FALSE)</f>
        <v>0</v>
      </c>
      <c r="N39" s="60">
        <f>L39*dagenperjaar1*VLOOKUP(E39,dagsoorttabel1,2,FALSE)</f>
        <v>0</v>
      </c>
      <c r="O39" s="60">
        <f>N39/12</f>
        <v>0</v>
      </c>
    </row>
    <row r="40" spans="1:15" x14ac:dyDescent="0.2">
      <c r="A40" s="56" t="s">
        <v>1164</v>
      </c>
      <c r="B40" s="56" t="s">
        <v>1298</v>
      </c>
      <c r="C40" s="56" t="s">
        <v>1299</v>
      </c>
      <c r="D40" s="56" t="s">
        <v>1298</v>
      </c>
      <c r="E40" s="110" t="s">
        <v>13</v>
      </c>
      <c r="F40" s="111">
        <f>gemuurtarief1</f>
        <v>0</v>
      </c>
      <c r="G40" s="68">
        <f>SUMPRODUCT(taakfreqtabel1,uurfactortabel1,kengetaltabel1,object35_opptabel1)*(1/VLOOKUP(E40,dagsoorttabel1,2,FALSE))</f>
        <v>0</v>
      </c>
      <c r="H40" s="58"/>
      <c r="I40" s="68">
        <f>G40+H40</f>
        <v>0</v>
      </c>
      <c r="J40" s="60">
        <f>SUMPRODUCT(taakfreqtabel1,kengetaltabel1,tarieftabel1,object35_opptabel1)*(1/VLOOKUP(E40,dagsoorttabel1,2,FALSE))</f>
        <v>0</v>
      </c>
      <c r="K40" s="60">
        <f>F40*H40</f>
        <v>0</v>
      </c>
      <c r="L40" s="60">
        <f>SUM(J40:K40)</f>
        <v>0</v>
      </c>
      <c r="M40" s="68">
        <f>I40*dagenperjaar1*VLOOKUP(E40,dagsoorttabel1,2,FALSE)</f>
        <v>0</v>
      </c>
      <c r="N40" s="60">
        <f>L40*dagenperjaar1*VLOOKUP(E40,dagsoorttabel1,2,FALSE)</f>
        <v>0</v>
      </c>
      <c r="O40" s="60">
        <f>N40/12</f>
        <v>0</v>
      </c>
    </row>
    <row r="41" spans="1:15" x14ac:dyDescent="0.2">
      <c r="A41" s="61" t="s">
        <v>1168</v>
      </c>
      <c r="B41" s="61" t="s">
        <v>1300</v>
      </c>
      <c r="C41" s="61" t="s">
        <v>1301</v>
      </c>
      <c r="D41" s="61" t="s">
        <v>1300</v>
      </c>
      <c r="E41" s="113" t="s">
        <v>13</v>
      </c>
      <c r="F41" s="114">
        <f>gemuurtarief1</f>
        <v>0</v>
      </c>
      <c r="G41" s="70">
        <f>SUMPRODUCT(taakfreqtabel1,uurfactortabel1,kengetaltabel1,object36_opptabel1)*(1/VLOOKUP(E41,dagsoorttabel1,2,FALSE))</f>
        <v>0</v>
      </c>
      <c r="H41" s="63"/>
      <c r="I41" s="70">
        <f>G41+H41</f>
        <v>0</v>
      </c>
      <c r="J41" s="65">
        <f>SUMPRODUCT(taakfreqtabel1,kengetaltabel1,tarieftabel1,object36_opptabel1)*(1/VLOOKUP(E41,dagsoorttabel1,2,FALSE))</f>
        <v>0</v>
      </c>
      <c r="K41" s="65">
        <f>F41*H41</f>
        <v>0</v>
      </c>
      <c r="L41" s="65">
        <f>SUM(J41:K41)</f>
        <v>0</v>
      </c>
      <c r="M41" s="70">
        <f>I41*dagenperjaar1*VLOOKUP(E41,dagsoorttabel1,2,FALSE)</f>
        <v>0</v>
      </c>
      <c r="N41" s="65">
        <f>L41*dagenperjaar1*VLOOKUP(E41,dagsoorttabel1,2,FALSE)</f>
        <v>0</v>
      </c>
      <c r="O41" s="65">
        <f>N41/12</f>
        <v>0</v>
      </c>
    </row>
    <row r="42" spans="1:15" x14ac:dyDescent="0.2">
      <c r="A42" s="73" t="s">
        <v>300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5">
        <f>SUM(M6:M41)</f>
        <v>0</v>
      </c>
      <c r="N42" s="76">
        <f>SUM(N6:N41)</f>
        <v>0</v>
      </c>
      <c r="O42" s="77">
        <f>SUM(O6:O41)</f>
        <v>0</v>
      </c>
    </row>
    <row r="43" spans="1:15" x14ac:dyDescent="0.2">
      <c r="A43" s="78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9"/>
    </row>
    <row r="45" spans="1:15" x14ac:dyDescent="0.2">
      <c r="A45" s="73" t="s">
        <v>1302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5">
        <f>urenjaartotaal1</f>
        <v>0</v>
      </c>
      <c r="N45" s="76">
        <f>prijsjaartotaal1</f>
        <v>0</v>
      </c>
      <c r="O45" s="76">
        <f>prijsmaandtotaal1</f>
        <v>0</v>
      </c>
    </row>
    <row r="47" spans="1:15" x14ac:dyDescent="0.2">
      <c r="A47" s="73" t="s">
        <v>1303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6">
        <f>N45*1.21</f>
        <v>0</v>
      </c>
      <c r="O47" s="76">
        <f>O45*1.21</f>
        <v>0</v>
      </c>
    </row>
  </sheetData>
  <sheetProtection algorithmName="SHA-512" hashValue="oUrswR7No/TfcN4TJLQvxHjUYhIbWoiI+bG/EKiU51oaXcD569qMP2w71mRRHr5d5yPh90QRsOZKEKSCI87ipQ==" saltValue="AjT7RPUL09D82zOKYUbRdg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BB1A-8589-4E10-A03A-A558CE3C7376}">
  <dimension ref="A1:H41"/>
  <sheetViews>
    <sheetView workbookViewId="0"/>
  </sheetViews>
  <sheetFormatPr defaultRowHeight="12.6" x14ac:dyDescent="0.2"/>
  <cols>
    <col min="1" max="1" width="8.6328125" customWidth="1"/>
    <col min="2" max="2" width="32.6328125" customWidth="1"/>
    <col min="3" max="3" width="20.6328125" customWidth="1"/>
    <col min="4" max="4" width="18.6328125" customWidth="1"/>
    <col min="5" max="5" width="12.6328125" customWidth="1"/>
    <col min="6" max="6" width="14.6328125" customWidth="1"/>
    <col min="7" max="8" width="13.6328125" customWidth="1"/>
  </cols>
  <sheetData>
    <row r="1" spans="1:8" x14ac:dyDescent="0.2">
      <c r="A1" s="1" t="str">
        <f>CONCATENATE("Bijlage H  .5: ",tabeltype," totaalblad objecten")</f>
        <v>Bijlage H  .5: Invultabel totaalblad objecten</v>
      </c>
    </row>
    <row r="3" spans="1:8" ht="25.2" x14ac:dyDescent="0.2">
      <c r="A3" s="44" t="s">
        <v>303</v>
      </c>
      <c r="B3" s="44" t="s">
        <v>1218</v>
      </c>
      <c r="C3" s="44" t="s">
        <v>1219</v>
      </c>
      <c r="D3" s="44" t="s">
        <v>1220</v>
      </c>
      <c r="E3" s="44" t="s">
        <v>232</v>
      </c>
      <c r="F3" s="44" t="s">
        <v>233</v>
      </c>
      <c r="G3" s="44" t="s">
        <v>1304</v>
      </c>
      <c r="H3" s="44" t="s">
        <v>1305</v>
      </c>
    </row>
    <row r="4" spans="1:8" x14ac:dyDescent="0.2">
      <c r="A4" s="51" t="s">
        <v>312</v>
      </c>
      <c r="B4" s="51" t="s">
        <v>1229</v>
      </c>
      <c r="C4" s="51" t="s">
        <v>1230</v>
      </c>
      <c r="D4" s="51" t="s">
        <v>1229</v>
      </c>
      <c r="E4" s="66">
        <f>objecturen1_1</f>
        <v>0</v>
      </c>
      <c r="F4" s="55">
        <f>objectprijs1_1</f>
        <v>0</v>
      </c>
      <c r="G4" s="55">
        <f>F4/12</f>
        <v>0</v>
      </c>
      <c r="H4" s="55">
        <f>G4*1.21</f>
        <v>0</v>
      </c>
    </row>
    <row r="5" spans="1:8" x14ac:dyDescent="0.2">
      <c r="A5" s="56" t="s">
        <v>358</v>
      </c>
      <c r="B5" s="56" t="s">
        <v>1231</v>
      </c>
      <c r="C5" s="56" t="s">
        <v>1232</v>
      </c>
      <c r="D5" s="56" t="s">
        <v>1231</v>
      </c>
      <c r="E5" s="68">
        <f>objecturen2_1</f>
        <v>0</v>
      </c>
      <c r="F5" s="60">
        <f>objectprijs2_1</f>
        <v>0</v>
      </c>
      <c r="G5" s="60">
        <f>F5/12</f>
        <v>0</v>
      </c>
      <c r="H5" s="60">
        <f>G5*1.21</f>
        <v>0</v>
      </c>
    </row>
    <row r="6" spans="1:8" x14ac:dyDescent="0.2">
      <c r="A6" s="56" t="s">
        <v>382</v>
      </c>
      <c r="B6" s="56" t="s">
        <v>1233</v>
      </c>
      <c r="C6" s="56" t="s">
        <v>1234</v>
      </c>
      <c r="D6" s="56" t="s">
        <v>1233</v>
      </c>
      <c r="E6" s="68">
        <f>objecturen3_1</f>
        <v>0</v>
      </c>
      <c r="F6" s="60">
        <f>objectprijs3_1</f>
        <v>0</v>
      </c>
      <c r="G6" s="60">
        <f>F6/12</f>
        <v>0</v>
      </c>
      <c r="H6" s="60">
        <f>G6*1.21</f>
        <v>0</v>
      </c>
    </row>
    <row r="7" spans="1:8" x14ac:dyDescent="0.2">
      <c r="A7" s="56" t="s">
        <v>416</v>
      </c>
      <c r="B7" s="56" t="s">
        <v>1235</v>
      </c>
      <c r="C7" s="56" t="s">
        <v>1236</v>
      </c>
      <c r="D7" s="56" t="s">
        <v>1235</v>
      </c>
      <c r="E7" s="68">
        <f>objecturen4_1</f>
        <v>0</v>
      </c>
      <c r="F7" s="60">
        <f>objectprijs4_1</f>
        <v>0</v>
      </c>
      <c r="G7" s="60">
        <f>F7/12</f>
        <v>0</v>
      </c>
      <c r="H7" s="60">
        <f>G7*1.21</f>
        <v>0</v>
      </c>
    </row>
    <row r="8" spans="1:8" x14ac:dyDescent="0.2">
      <c r="A8" s="56" t="s">
        <v>446</v>
      </c>
      <c r="B8" s="56" t="s">
        <v>1237</v>
      </c>
      <c r="C8" s="56" t="s">
        <v>1238</v>
      </c>
      <c r="D8" s="56" t="s">
        <v>1237</v>
      </c>
      <c r="E8" s="68">
        <f>objecturen5_1</f>
        <v>0</v>
      </c>
      <c r="F8" s="60">
        <f>objectprijs5_1</f>
        <v>0</v>
      </c>
      <c r="G8" s="60">
        <f>F8/12</f>
        <v>0</v>
      </c>
      <c r="H8" s="60">
        <f>G8*1.21</f>
        <v>0</v>
      </c>
    </row>
    <row r="9" spans="1:8" x14ac:dyDescent="0.2">
      <c r="A9" s="56" t="s">
        <v>456</v>
      </c>
      <c r="B9" s="56" t="s">
        <v>1239</v>
      </c>
      <c r="C9" s="56" t="s">
        <v>1240</v>
      </c>
      <c r="D9" s="56" t="s">
        <v>1239</v>
      </c>
      <c r="E9" s="68">
        <f>objecturen6_1</f>
        <v>0</v>
      </c>
      <c r="F9" s="60">
        <f>objectprijs6_1</f>
        <v>0</v>
      </c>
      <c r="G9" s="60">
        <f>F9/12</f>
        <v>0</v>
      </c>
      <c r="H9" s="60">
        <f>G9*1.21</f>
        <v>0</v>
      </c>
    </row>
    <row r="10" spans="1:8" x14ac:dyDescent="0.2">
      <c r="A10" s="56" t="s">
        <v>473</v>
      </c>
      <c r="B10" s="56" t="s">
        <v>1241</v>
      </c>
      <c r="C10" s="56" t="s">
        <v>1242</v>
      </c>
      <c r="D10" s="56" t="s">
        <v>1241</v>
      </c>
      <c r="E10" s="68">
        <f>objecturen7_1</f>
        <v>0</v>
      </c>
      <c r="F10" s="60">
        <f>objectprijs7_1</f>
        <v>0</v>
      </c>
      <c r="G10" s="60">
        <f>F10/12</f>
        <v>0</v>
      </c>
      <c r="H10" s="60">
        <f>G10*1.21</f>
        <v>0</v>
      </c>
    </row>
    <row r="11" spans="1:8" x14ac:dyDescent="0.2">
      <c r="A11" s="56" t="s">
        <v>497</v>
      </c>
      <c r="B11" s="56" t="s">
        <v>1243</v>
      </c>
      <c r="C11" s="56" t="s">
        <v>1244</v>
      </c>
      <c r="D11" s="56" t="s">
        <v>1243</v>
      </c>
      <c r="E11" s="68">
        <f>objecturen8_1</f>
        <v>0</v>
      </c>
      <c r="F11" s="60">
        <f>objectprijs8_1</f>
        <v>0</v>
      </c>
      <c r="G11" s="60">
        <f>F11/12</f>
        <v>0</v>
      </c>
      <c r="H11" s="60">
        <f>G11*1.21</f>
        <v>0</v>
      </c>
    </row>
    <row r="12" spans="1:8" x14ac:dyDescent="0.2">
      <c r="A12" s="56" t="s">
        <v>511</v>
      </c>
      <c r="B12" s="56" t="s">
        <v>1245</v>
      </c>
      <c r="C12" s="56" t="s">
        <v>1246</v>
      </c>
      <c r="D12" s="56" t="s">
        <v>1245</v>
      </c>
      <c r="E12" s="68">
        <f>objecturen9_1</f>
        <v>0</v>
      </c>
      <c r="F12" s="60">
        <f>objectprijs9_1</f>
        <v>0</v>
      </c>
      <c r="G12" s="60">
        <f>F12/12</f>
        <v>0</v>
      </c>
      <c r="H12" s="60">
        <f>G12*1.21</f>
        <v>0</v>
      </c>
    </row>
    <row r="13" spans="1:8" x14ac:dyDescent="0.2">
      <c r="A13" s="56" t="s">
        <v>519</v>
      </c>
      <c r="B13" s="56" t="s">
        <v>1247</v>
      </c>
      <c r="C13" s="56" t="s">
        <v>1248</v>
      </c>
      <c r="D13" s="56" t="s">
        <v>1247</v>
      </c>
      <c r="E13" s="68">
        <f>objecturen10_1</f>
        <v>0</v>
      </c>
      <c r="F13" s="60">
        <f>objectprijs10_1</f>
        <v>0</v>
      </c>
      <c r="G13" s="60">
        <f>F13/12</f>
        <v>0</v>
      </c>
      <c r="H13" s="60">
        <f>G13*1.21</f>
        <v>0</v>
      </c>
    </row>
    <row r="14" spans="1:8" x14ac:dyDescent="0.2">
      <c r="A14" s="56" t="s">
        <v>526</v>
      </c>
      <c r="B14" s="56" t="s">
        <v>1249</v>
      </c>
      <c r="C14" s="56" t="s">
        <v>1250</v>
      </c>
      <c r="D14" s="56" t="s">
        <v>1249</v>
      </c>
      <c r="E14" s="68">
        <f>objecturen11_1</f>
        <v>0</v>
      </c>
      <c r="F14" s="60">
        <f>objectprijs11_1</f>
        <v>0</v>
      </c>
      <c r="G14" s="60">
        <f>F14/12</f>
        <v>0</v>
      </c>
      <c r="H14" s="60">
        <f>G14*1.21</f>
        <v>0</v>
      </c>
    </row>
    <row r="15" spans="1:8" x14ac:dyDescent="0.2">
      <c r="A15" s="56" t="s">
        <v>549</v>
      </c>
      <c r="B15" s="56" t="s">
        <v>1251</v>
      </c>
      <c r="C15" s="56" t="s">
        <v>1252</v>
      </c>
      <c r="D15" s="56" t="s">
        <v>1251</v>
      </c>
      <c r="E15" s="68">
        <f>objecturen12_1</f>
        <v>0</v>
      </c>
      <c r="F15" s="60">
        <f>objectprijs12_1</f>
        <v>0</v>
      </c>
      <c r="G15" s="60">
        <f>F15/12</f>
        <v>0</v>
      </c>
      <c r="H15" s="60">
        <f>G15*1.21</f>
        <v>0</v>
      </c>
    </row>
    <row r="16" spans="1:8" x14ac:dyDescent="0.2">
      <c r="A16" s="56" t="s">
        <v>557</v>
      </c>
      <c r="B16" s="112" t="s">
        <v>1253</v>
      </c>
      <c r="C16" s="56" t="s">
        <v>1254</v>
      </c>
      <c r="D16" s="112" t="s">
        <v>1253</v>
      </c>
      <c r="E16" s="68">
        <f>objecturen13_1</f>
        <v>0</v>
      </c>
      <c r="F16" s="60">
        <f>objectprijs13_1</f>
        <v>0</v>
      </c>
      <c r="G16" s="60">
        <f>F16/12</f>
        <v>0</v>
      </c>
      <c r="H16" s="60">
        <f>G16*1.21</f>
        <v>0</v>
      </c>
    </row>
    <row r="17" spans="1:8" x14ac:dyDescent="0.2">
      <c r="A17" s="56" t="s">
        <v>874</v>
      </c>
      <c r="B17" s="56" t="s">
        <v>1255</v>
      </c>
      <c r="C17" s="56" t="s">
        <v>1256</v>
      </c>
      <c r="D17" s="56" t="s">
        <v>1255</v>
      </c>
      <c r="E17" s="68">
        <f>objecturen14_1</f>
        <v>0</v>
      </c>
      <c r="F17" s="60">
        <f>objectprijs14_1</f>
        <v>0</v>
      </c>
      <c r="G17" s="60">
        <f>F17/12</f>
        <v>0</v>
      </c>
      <c r="H17" s="60">
        <f>G17*1.21</f>
        <v>0</v>
      </c>
    </row>
    <row r="18" spans="1:8" x14ac:dyDescent="0.2">
      <c r="A18" s="56" t="s">
        <v>886</v>
      </c>
      <c r="B18" s="56" t="s">
        <v>1257</v>
      </c>
      <c r="C18" s="56" t="s">
        <v>1258</v>
      </c>
      <c r="D18" s="56" t="s">
        <v>1257</v>
      </c>
      <c r="E18" s="68">
        <f>objecturen15_1</f>
        <v>0</v>
      </c>
      <c r="F18" s="60">
        <f>objectprijs15_1</f>
        <v>0</v>
      </c>
      <c r="G18" s="60">
        <f>F18/12</f>
        <v>0</v>
      </c>
      <c r="H18" s="60">
        <f>G18*1.21</f>
        <v>0</v>
      </c>
    </row>
    <row r="19" spans="1:8" x14ac:dyDescent="0.2">
      <c r="A19" s="56" t="s">
        <v>891</v>
      </c>
      <c r="B19" s="56" t="s">
        <v>1259</v>
      </c>
      <c r="C19" s="56" t="s">
        <v>1260</v>
      </c>
      <c r="D19" s="56" t="s">
        <v>1259</v>
      </c>
      <c r="E19" s="68">
        <f>objecturen16_1</f>
        <v>0</v>
      </c>
      <c r="F19" s="60">
        <f>objectprijs16_1</f>
        <v>0</v>
      </c>
      <c r="G19" s="60">
        <f>F19/12</f>
        <v>0</v>
      </c>
      <c r="H19" s="60">
        <f>G19*1.21</f>
        <v>0</v>
      </c>
    </row>
    <row r="20" spans="1:8" x14ac:dyDescent="0.2">
      <c r="A20" s="56" t="s">
        <v>903</v>
      </c>
      <c r="B20" s="56" t="s">
        <v>1261</v>
      </c>
      <c r="C20" s="56" t="s">
        <v>1262</v>
      </c>
      <c r="D20" s="56" t="s">
        <v>1261</v>
      </c>
      <c r="E20" s="68">
        <f>objecturen17_1</f>
        <v>0</v>
      </c>
      <c r="F20" s="60">
        <f>objectprijs17_1</f>
        <v>0</v>
      </c>
      <c r="G20" s="60">
        <f>F20/12</f>
        <v>0</v>
      </c>
      <c r="H20" s="60">
        <f>G20*1.21</f>
        <v>0</v>
      </c>
    </row>
    <row r="21" spans="1:8" x14ac:dyDescent="0.2">
      <c r="A21" s="56" t="s">
        <v>908</v>
      </c>
      <c r="B21" s="56" t="s">
        <v>1263</v>
      </c>
      <c r="C21" s="56" t="s">
        <v>1264</v>
      </c>
      <c r="D21" s="56" t="s">
        <v>1263</v>
      </c>
      <c r="E21" s="68">
        <f>objecturen18_1</f>
        <v>0</v>
      </c>
      <c r="F21" s="60">
        <f>objectprijs18_1</f>
        <v>0</v>
      </c>
      <c r="G21" s="60">
        <f>F21/12</f>
        <v>0</v>
      </c>
      <c r="H21" s="60">
        <f>G21*1.21</f>
        <v>0</v>
      </c>
    </row>
    <row r="22" spans="1:8" x14ac:dyDescent="0.2">
      <c r="A22" s="56" t="s">
        <v>912</v>
      </c>
      <c r="B22" s="56" t="s">
        <v>1265</v>
      </c>
      <c r="C22" s="56" t="s">
        <v>1266</v>
      </c>
      <c r="D22" s="56" t="s">
        <v>1265</v>
      </c>
      <c r="E22" s="68">
        <f>objecturen19_1</f>
        <v>0</v>
      </c>
      <c r="F22" s="60">
        <f>objectprijs19_1</f>
        <v>0</v>
      </c>
      <c r="G22" s="60">
        <f>F22/12</f>
        <v>0</v>
      </c>
      <c r="H22" s="60">
        <f>G22*1.21</f>
        <v>0</v>
      </c>
    </row>
    <row r="23" spans="1:8" x14ac:dyDescent="0.2">
      <c r="A23" s="56" t="s">
        <v>933</v>
      </c>
      <c r="B23" s="56" t="s">
        <v>1267</v>
      </c>
      <c r="C23" s="56" t="s">
        <v>1268</v>
      </c>
      <c r="D23" s="56" t="s">
        <v>1267</v>
      </c>
      <c r="E23" s="68">
        <f>objecturen20_1</f>
        <v>0</v>
      </c>
      <c r="F23" s="60">
        <f>objectprijs20_1</f>
        <v>0</v>
      </c>
      <c r="G23" s="60">
        <f>F23/12</f>
        <v>0</v>
      </c>
      <c r="H23" s="60">
        <f>G23*1.21</f>
        <v>0</v>
      </c>
    </row>
    <row r="24" spans="1:8" x14ac:dyDescent="0.2">
      <c r="A24" s="56" t="s">
        <v>936</v>
      </c>
      <c r="B24" s="56" t="s">
        <v>1269</v>
      </c>
      <c r="C24" s="56" t="s">
        <v>1270</v>
      </c>
      <c r="D24" s="56" t="s">
        <v>1245</v>
      </c>
      <c r="E24" s="68">
        <f>objecturen21_1</f>
        <v>0</v>
      </c>
      <c r="F24" s="60">
        <f>objectprijs21_1</f>
        <v>0</v>
      </c>
      <c r="G24" s="60">
        <f>F24/12</f>
        <v>0</v>
      </c>
      <c r="H24" s="60">
        <f>G24*1.21</f>
        <v>0</v>
      </c>
    </row>
    <row r="25" spans="1:8" x14ac:dyDescent="0.2">
      <c r="A25" s="56" t="s">
        <v>947</v>
      </c>
      <c r="B25" s="56" t="s">
        <v>1271</v>
      </c>
      <c r="C25" s="56" t="s">
        <v>1272</v>
      </c>
      <c r="D25" s="56" t="s">
        <v>1271</v>
      </c>
      <c r="E25" s="68">
        <f>objecturen22_1</f>
        <v>0</v>
      </c>
      <c r="F25" s="60">
        <f>objectprijs22_1</f>
        <v>0</v>
      </c>
      <c r="G25" s="60">
        <f>F25/12</f>
        <v>0</v>
      </c>
      <c r="H25" s="60">
        <f>G25*1.21</f>
        <v>0</v>
      </c>
    </row>
    <row r="26" spans="1:8" x14ac:dyDescent="0.2">
      <c r="A26" s="56" t="s">
        <v>950</v>
      </c>
      <c r="B26" s="56" t="s">
        <v>1273</v>
      </c>
      <c r="C26" s="56" t="s">
        <v>1274</v>
      </c>
      <c r="D26" s="56" t="s">
        <v>1273</v>
      </c>
      <c r="E26" s="68">
        <f>objecturen23_1</f>
        <v>0</v>
      </c>
      <c r="F26" s="60">
        <f>objectprijs23_1</f>
        <v>0</v>
      </c>
      <c r="G26" s="60">
        <f>F26/12</f>
        <v>0</v>
      </c>
      <c r="H26" s="60">
        <f>G26*1.21</f>
        <v>0</v>
      </c>
    </row>
    <row r="27" spans="1:8" x14ac:dyDescent="0.2">
      <c r="A27" s="56" t="s">
        <v>962</v>
      </c>
      <c r="B27" s="56" t="s">
        <v>1275</v>
      </c>
      <c r="C27" s="56" t="s">
        <v>1276</v>
      </c>
      <c r="D27" s="56" t="s">
        <v>1275</v>
      </c>
      <c r="E27" s="68">
        <f>objecturen24_1</f>
        <v>0</v>
      </c>
      <c r="F27" s="60">
        <f>objectprijs24_1</f>
        <v>0</v>
      </c>
      <c r="G27" s="60">
        <f>F27/12</f>
        <v>0</v>
      </c>
      <c r="H27" s="60">
        <f>G27*1.21</f>
        <v>0</v>
      </c>
    </row>
    <row r="28" spans="1:8" x14ac:dyDescent="0.2">
      <c r="A28" s="56" t="s">
        <v>1057</v>
      </c>
      <c r="B28" s="56" t="s">
        <v>1277</v>
      </c>
      <c r="C28" s="56" t="s">
        <v>1278</v>
      </c>
      <c r="D28" s="56" t="s">
        <v>1277</v>
      </c>
      <c r="E28" s="68">
        <f>objecturen25_1</f>
        <v>0</v>
      </c>
      <c r="F28" s="60">
        <f>objectprijs25_1</f>
        <v>0</v>
      </c>
      <c r="G28" s="60">
        <f>F28/12</f>
        <v>0</v>
      </c>
      <c r="H28" s="60">
        <f>G28*1.21</f>
        <v>0</v>
      </c>
    </row>
    <row r="29" spans="1:8" x14ac:dyDescent="0.2">
      <c r="A29" s="56" t="s">
        <v>1063</v>
      </c>
      <c r="B29" s="56" t="s">
        <v>1279</v>
      </c>
      <c r="C29" s="56" t="s">
        <v>1280</v>
      </c>
      <c r="D29" s="56" t="s">
        <v>1279</v>
      </c>
      <c r="E29" s="68">
        <f>objecturen26_1</f>
        <v>0</v>
      </c>
      <c r="F29" s="60">
        <f>objectprijs26_1</f>
        <v>0</v>
      </c>
      <c r="G29" s="60">
        <f>F29/12</f>
        <v>0</v>
      </c>
      <c r="H29" s="60">
        <f>G29*1.21</f>
        <v>0</v>
      </c>
    </row>
    <row r="30" spans="1:8" x14ac:dyDescent="0.2">
      <c r="A30" s="56" t="s">
        <v>1083</v>
      </c>
      <c r="B30" s="56" t="s">
        <v>1281</v>
      </c>
      <c r="C30" s="56" t="s">
        <v>1282</v>
      </c>
      <c r="D30" s="56" t="s">
        <v>1281</v>
      </c>
      <c r="E30" s="68">
        <f>objecturen27_1</f>
        <v>0</v>
      </c>
      <c r="F30" s="60">
        <f>objectprijs27_1</f>
        <v>0</v>
      </c>
      <c r="G30" s="60">
        <f>F30/12</f>
        <v>0</v>
      </c>
      <c r="H30" s="60">
        <f>G30*1.21</f>
        <v>0</v>
      </c>
    </row>
    <row r="31" spans="1:8" x14ac:dyDescent="0.2">
      <c r="A31" s="56" t="s">
        <v>1101</v>
      </c>
      <c r="B31" s="56" t="s">
        <v>1283</v>
      </c>
      <c r="C31" s="56" t="s">
        <v>1284</v>
      </c>
      <c r="D31" s="56" t="s">
        <v>1283</v>
      </c>
      <c r="E31" s="68">
        <f>objecturen28_1</f>
        <v>0</v>
      </c>
      <c r="F31" s="60">
        <f>objectprijs28_1</f>
        <v>0</v>
      </c>
      <c r="G31" s="60">
        <f>F31/12</f>
        <v>0</v>
      </c>
      <c r="H31" s="60">
        <f>G31*1.21</f>
        <v>0</v>
      </c>
    </row>
    <row r="32" spans="1:8" x14ac:dyDescent="0.2">
      <c r="A32" s="56" t="s">
        <v>1108</v>
      </c>
      <c r="B32" s="56" t="s">
        <v>1285</v>
      </c>
      <c r="C32" s="56" t="s">
        <v>1286</v>
      </c>
      <c r="D32" s="56" t="s">
        <v>1285</v>
      </c>
      <c r="E32" s="68">
        <f>objecturen29_1</f>
        <v>0</v>
      </c>
      <c r="F32" s="60">
        <f>objectprijs29_1</f>
        <v>0</v>
      </c>
      <c r="G32" s="60">
        <f>F32/12</f>
        <v>0</v>
      </c>
      <c r="H32" s="60">
        <f>G32*1.21</f>
        <v>0</v>
      </c>
    </row>
    <row r="33" spans="1:8" x14ac:dyDescent="0.2">
      <c r="A33" s="56" t="s">
        <v>1118</v>
      </c>
      <c r="B33" s="56" t="s">
        <v>1287</v>
      </c>
      <c r="C33" s="56" t="s">
        <v>1288</v>
      </c>
      <c r="D33" s="56" t="s">
        <v>1287</v>
      </c>
      <c r="E33" s="68">
        <f>objecturen30_1</f>
        <v>0</v>
      </c>
      <c r="F33" s="60">
        <f>objectprijs30_1</f>
        <v>0</v>
      </c>
      <c r="G33" s="60">
        <f>F33/12</f>
        <v>0</v>
      </c>
      <c r="H33" s="60">
        <f>G33*1.21</f>
        <v>0</v>
      </c>
    </row>
    <row r="34" spans="1:8" x14ac:dyDescent="0.2">
      <c r="A34" s="56" t="s">
        <v>1127</v>
      </c>
      <c r="B34" s="56" t="s">
        <v>1289</v>
      </c>
      <c r="C34" s="56" t="s">
        <v>1290</v>
      </c>
      <c r="D34" s="56" t="s">
        <v>1289</v>
      </c>
      <c r="E34" s="68">
        <f>objecturen31_1</f>
        <v>0</v>
      </c>
      <c r="F34" s="60">
        <f>objectprijs31_1</f>
        <v>0</v>
      </c>
      <c r="G34" s="60">
        <f>F34/12</f>
        <v>0</v>
      </c>
      <c r="H34" s="60">
        <f>G34*1.21</f>
        <v>0</v>
      </c>
    </row>
    <row r="35" spans="1:8" x14ac:dyDescent="0.2">
      <c r="A35" s="56" t="s">
        <v>1130</v>
      </c>
      <c r="B35" s="56" t="s">
        <v>1291</v>
      </c>
      <c r="C35" s="56" t="s">
        <v>1292</v>
      </c>
      <c r="D35" s="56" t="s">
        <v>1291</v>
      </c>
      <c r="E35" s="68">
        <f>objecturen32_1</f>
        <v>0</v>
      </c>
      <c r="F35" s="60">
        <f>objectprijs32_1</f>
        <v>0</v>
      </c>
      <c r="G35" s="60">
        <f>F35/12</f>
        <v>0</v>
      </c>
      <c r="H35" s="60">
        <f>G35*1.21</f>
        <v>0</v>
      </c>
    </row>
    <row r="36" spans="1:8" x14ac:dyDescent="0.2">
      <c r="A36" s="56" t="s">
        <v>1136</v>
      </c>
      <c r="B36" s="56" t="s">
        <v>1293</v>
      </c>
      <c r="C36" s="56" t="s">
        <v>1294</v>
      </c>
      <c r="D36" s="56" t="s">
        <v>1295</v>
      </c>
      <c r="E36" s="68">
        <f>objecturen33_1</f>
        <v>0</v>
      </c>
      <c r="F36" s="60">
        <f>objectprijs33_1</f>
        <v>0</v>
      </c>
      <c r="G36" s="60">
        <f>F36/12</f>
        <v>0</v>
      </c>
      <c r="H36" s="60">
        <f>G36*1.21</f>
        <v>0</v>
      </c>
    </row>
    <row r="37" spans="1:8" x14ac:dyDescent="0.2">
      <c r="A37" s="56" t="s">
        <v>1155</v>
      </c>
      <c r="B37" s="56" t="s">
        <v>1296</v>
      </c>
      <c r="C37" s="56" t="s">
        <v>1297</v>
      </c>
      <c r="D37" s="56" t="s">
        <v>1296</v>
      </c>
      <c r="E37" s="68">
        <f>objecturen34_1</f>
        <v>0</v>
      </c>
      <c r="F37" s="60">
        <f>objectprijs34_1</f>
        <v>0</v>
      </c>
      <c r="G37" s="60">
        <f>F37/12</f>
        <v>0</v>
      </c>
      <c r="H37" s="60">
        <f>G37*1.21</f>
        <v>0</v>
      </c>
    </row>
    <row r="38" spans="1:8" x14ac:dyDescent="0.2">
      <c r="A38" s="56" t="s">
        <v>1164</v>
      </c>
      <c r="B38" s="56" t="s">
        <v>1298</v>
      </c>
      <c r="C38" s="56" t="s">
        <v>1299</v>
      </c>
      <c r="D38" s="56" t="s">
        <v>1298</v>
      </c>
      <c r="E38" s="68">
        <f>objecturen35_1</f>
        <v>0</v>
      </c>
      <c r="F38" s="60">
        <f>objectprijs35_1</f>
        <v>0</v>
      </c>
      <c r="G38" s="60">
        <f>F38/12</f>
        <v>0</v>
      </c>
      <c r="H38" s="60">
        <f>G38*1.21</f>
        <v>0</v>
      </c>
    </row>
    <row r="39" spans="1:8" x14ac:dyDescent="0.2">
      <c r="A39" s="61" t="s">
        <v>1168</v>
      </c>
      <c r="B39" s="61" t="s">
        <v>1300</v>
      </c>
      <c r="C39" s="61" t="s">
        <v>1301</v>
      </c>
      <c r="D39" s="61" t="s">
        <v>1300</v>
      </c>
      <c r="E39" s="70">
        <f>objecturen36_1</f>
        <v>0</v>
      </c>
      <c r="F39" s="65">
        <f>objectprijs36_1</f>
        <v>0</v>
      </c>
      <c r="G39" s="65">
        <f>F39/12</f>
        <v>0</v>
      </c>
      <c r="H39" s="65">
        <f>G39*1.21</f>
        <v>0</v>
      </c>
    </row>
    <row r="41" spans="1:8" x14ac:dyDescent="0.2">
      <c r="A41" s="73" t="s">
        <v>1306</v>
      </c>
      <c r="B41" s="74"/>
      <c r="C41" s="74"/>
      <c r="D41" s="74"/>
      <c r="E41" s="75">
        <f>SUM(E4:E39)</f>
        <v>0</v>
      </c>
      <c r="F41" s="76">
        <f>SUM(F4:F39)</f>
        <v>0</v>
      </c>
      <c r="G41" s="76">
        <f>SUM(G4:G39)</f>
        <v>0</v>
      </c>
      <c r="H41" s="76">
        <f>SUM(H4:H39)</f>
        <v>0</v>
      </c>
    </row>
  </sheetData>
  <sheetProtection algorithmName="SHA-512" hashValue="t81et04ID3xuSLojOxCgDUGQRurWnm4Ih1WCv5TDpHNZzIN6iRQ4I7ZjYuey/VIzBFUCgeHpsgAFPXQRaNMPHA==" saltValue="Lw7P16i2qcSaiSZXPr+0sg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6B14-AA48-4A3A-86F9-12EDFED100F4}">
  <dimension ref="A1:L9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H  .6: ",tabeltype," additioneel werk")</f>
        <v>Bijlage H  .6: Invultabel additioneel werk</v>
      </c>
    </row>
    <row r="3" spans="1:12" ht="37.799999999999997" x14ac:dyDescent="0.2">
      <c r="A3" s="44" t="s">
        <v>1307</v>
      </c>
      <c r="B3" s="44" t="s">
        <v>7</v>
      </c>
      <c r="C3" s="44" t="s">
        <v>1308</v>
      </c>
      <c r="D3" s="44" t="s">
        <v>92</v>
      </c>
      <c r="E3" s="44" t="s">
        <v>95</v>
      </c>
      <c r="F3" s="44" t="s">
        <v>1309</v>
      </c>
      <c r="G3" s="44" t="s">
        <v>1310</v>
      </c>
      <c r="H3" s="44" t="s">
        <v>1311</v>
      </c>
      <c r="I3" s="44" t="s">
        <v>1312</v>
      </c>
      <c r="J3" s="44" t="s">
        <v>1313</v>
      </c>
      <c r="K3" s="44" t="s">
        <v>233</v>
      </c>
      <c r="L3" s="44" t="s">
        <v>1228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115" t="s">
        <v>1314</v>
      </c>
      <c r="B6" s="115" t="s">
        <v>21</v>
      </c>
      <c r="C6" s="116">
        <f>IF(ISBLANK(B6),0,IF(ISERROR(VALUE(B6)),VLOOKUP(B6,dagsoorttabel1,2,FALSE)*dagenperjaar1,VALUE(B6)))</f>
        <v>1</v>
      </c>
      <c r="D6" s="115" t="s">
        <v>1315</v>
      </c>
      <c r="E6" s="115" t="s">
        <v>1316</v>
      </c>
      <c r="F6" s="117">
        <v>3763.33</v>
      </c>
      <c r="G6" s="118">
        <f>Tariefopbouw5</f>
        <v>0</v>
      </c>
      <c r="H6" s="119"/>
      <c r="I6" s="120"/>
      <c r="J6" s="121">
        <f>IF(ISBLANK(H6),0,F6 / ROUND(H6,4) * ROUND(G6,2))</f>
        <v>0</v>
      </c>
      <c r="K6" s="121">
        <f>C6*J6</f>
        <v>0</v>
      </c>
      <c r="L6" s="121">
        <f>K6/12</f>
        <v>0</v>
      </c>
    </row>
    <row r="7" spans="1:12" x14ac:dyDescent="0.2">
      <c r="A7" s="73" t="s">
        <v>300</v>
      </c>
      <c r="B7" s="74"/>
      <c r="C7" s="74"/>
      <c r="D7" s="74"/>
      <c r="E7" s="74"/>
      <c r="F7" s="74"/>
      <c r="G7" s="74"/>
      <c r="H7" s="74"/>
      <c r="I7" s="74"/>
      <c r="J7" s="74"/>
      <c r="K7" s="76">
        <f>SUM(K6:K6)</f>
        <v>0</v>
      </c>
      <c r="L7" s="122">
        <f>K7/12</f>
        <v>0</v>
      </c>
    </row>
    <row r="9" spans="1:12" x14ac:dyDescent="0.2">
      <c r="A9" s="73" t="s">
        <v>1317</v>
      </c>
      <c r="B9" s="74"/>
      <c r="C9" s="74"/>
      <c r="D9" s="74"/>
      <c r="E9" s="74"/>
      <c r="F9" s="74"/>
      <c r="G9" s="74"/>
      <c r="H9" s="74"/>
      <c r="I9" s="74"/>
      <c r="J9" s="74"/>
      <c r="K9" s="76">
        <f>prijsjaaradditioneel1</f>
        <v>0</v>
      </c>
      <c r="L9" s="122">
        <f>K9/12</f>
        <v>0</v>
      </c>
    </row>
  </sheetData>
  <sheetProtection algorithmName="SHA-512" hashValue="MGtNRievXPWr9KgKru9BQpNwm7kbHTURR9e6FtLuYNzbSlVx7k+0X3xM3ViayaarilQ8RiuJMR+OyE3Ot6l/nw==" saltValue="o+g5R9GT3hXT64kPkCsO6g==" spinCount="100000" sheet="1" objects="1" scenarios="1" autoFilter="0"/>
  <pageMargins left="0.7" right="0.7" top="0.75" bottom="0.75" header="0.3" footer="0.3"/>
  <pageSetup scale="65" orientation="landscape" horizontalDpi="4294967295" verticalDpi="4294967295" r:id="rId1"/>
  <headerFooter>
    <oddFooter>&amp;LVeiligheidsregio Brabant Noord                              &amp;ROpmaakdatum: 02-06-2026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957</vt:i4>
      </vt:variant>
    </vt:vector>
  </HeadingPairs>
  <TitlesOfParts>
    <vt:vector size="972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'Glas per locatie'!Afdruktitels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catdw_1_BBHB_1</vt:lpstr>
      <vt:lpstr>catdw_1_BBZV_51</vt:lpstr>
      <vt:lpstr>catdw_1_BCZB_1</vt:lpstr>
      <vt:lpstr>catdw_1_BCZV_51</vt:lpstr>
      <vt:lpstr>catdw_1_BKHB_1</vt:lpstr>
      <vt:lpstr>catdw_1_BKHV_51</vt:lpstr>
      <vt:lpstr>catdw_1_BKZB_1</vt:lpstr>
      <vt:lpstr>catdw_1_BKZV_51</vt:lpstr>
      <vt:lpstr>catdw_1_BRHB_1</vt:lpstr>
      <vt:lpstr>catdw_1_BRHV_51</vt:lpstr>
      <vt:lpstr>catdw_1_BRZB_1</vt:lpstr>
      <vt:lpstr>catdw_1_BRZV_51</vt:lpstr>
      <vt:lpstr>catdw_1_BVHB_1</vt:lpstr>
      <vt:lpstr>catdw_1_BVHB_51</vt:lpstr>
      <vt:lpstr>catdw_1_BVZB_1</vt:lpstr>
      <vt:lpstr>catdw_1_BVZV_51</vt:lpstr>
      <vt:lpstr>catdw_1_EAHB_1</vt:lpstr>
      <vt:lpstr>catdw_1_EAHV_51</vt:lpstr>
      <vt:lpstr>catdw_1_ERHB_1</vt:lpstr>
      <vt:lpstr>catdw_1_ERHV_51</vt:lpstr>
      <vt:lpstr>catdw_1_GFHB_1</vt:lpstr>
      <vt:lpstr>catdw_1_GFHV_51</vt:lpstr>
      <vt:lpstr>catdw_1_GSHB_1</vt:lpstr>
      <vt:lpstr>catdw_1_GSHV_51</vt:lpstr>
      <vt:lpstr>catdw_1_LLHB_1</vt:lpstr>
      <vt:lpstr>catdw_1_LLHV_51</vt:lpstr>
      <vt:lpstr>catdw_1_LOHB_1</vt:lpstr>
      <vt:lpstr>catdw_1_LOHV_51</vt:lpstr>
      <vt:lpstr>catdw_1_MAHB_1</vt:lpstr>
      <vt:lpstr>catdw_1_MAHV_51</vt:lpstr>
      <vt:lpstr>catdw_1_RKHB_1</vt:lpstr>
      <vt:lpstr>catdw_1_RKHV_51</vt:lpstr>
      <vt:lpstr>catdw_1_RPHB_1</vt:lpstr>
      <vt:lpstr>catdw_1_RPHV_51</vt:lpstr>
      <vt:lpstr>catdw_1_RRHB_1</vt:lpstr>
      <vt:lpstr>catdw_1_RRHV_51</vt:lpstr>
      <vt:lpstr>catdw_1_RRZB_1</vt:lpstr>
      <vt:lpstr>catdw_1_RRZV_51</vt:lpstr>
      <vt:lpstr>catdw_1_SDHB_1</vt:lpstr>
      <vt:lpstr>catdw_1_SDHV_51</vt:lpstr>
      <vt:lpstr>catdw_1_SKHB_1</vt:lpstr>
      <vt:lpstr>catdw_1_SKHV_51</vt:lpstr>
      <vt:lpstr>catdw_1_STHB_1</vt:lpstr>
      <vt:lpstr>catdw_1_STHV_51</vt:lpstr>
      <vt:lpstr>catdw_1_SWHB_1</vt:lpstr>
      <vt:lpstr>catdw_1_SWHV_51</vt:lpstr>
      <vt:lpstr>catdw_1_VAHB_1</vt:lpstr>
      <vt:lpstr>catdw_1_VAHV_51</vt:lpstr>
      <vt:lpstr>catdw_1_VAZB_1</vt:lpstr>
      <vt:lpstr>catdw_1_VAZV_51</vt:lpstr>
      <vt:lpstr>catdw_1_VEHV_51</vt:lpstr>
      <vt:lpstr>catdw_1_VEZB_1</vt:lpstr>
      <vt:lpstr>catdw_1_VEZV_51</vt:lpstr>
      <vt:lpstr>catdw_1_VLHB_1</vt:lpstr>
      <vt:lpstr>catdw_1_VLHV_51</vt:lpstr>
      <vt:lpstr>catdw_1_VOHB_1</vt:lpstr>
      <vt:lpstr>catdw_1_VOHV_51</vt:lpstr>
      <vt:lpstr>catdw_1_VOZB_1</vt:lpstr>
      <vt:lpstr>catdw_1_VOZV_51</vt:lpstr>
      <vt:lpstr>catdw_1_VSHB_1</vt:lpstr>
      <vt:lpstr>catdw_1_VSHV_51</vt:lpstr>
      <vt:lpstr>catdw_1_VTHB_1</vt:lpstr>
      <vt:lpstr>catdw_1_VTHV_51</vt:lpstr>
      <vt:lpstr>catfd_1_BBHB_1</vt:lpstr>
      <vt:lpstr>catfd_1_BBZV_51</vt:lpstr>
      <vt:lpstr>catfd_1_BCZB_1</vt:lpstr>
      <vt:lpstr>catfd_1_BCZV_51</vt:lpstr>
      <vt:lpstr>catfd_1_BKHB_1</vt:lpstr>
      <vt:lpstr>catfd_1_BKHV_51</vt:lpstr>
      <vt:lpstr>catfd_1_BKZB_1</vt:lpstr>
      <vt:lpstr>catfd_1_BKZV_51</vt:lpstr>
      <vt:lpstr>catfd_1_BRHB_1</vt:lpstr>
      <vt:lpstr>catfd_1_BRHV_51</vt:lpstr>
      <vt:lpstr>catfd_1_BRZB_1</vt:lpstr>
      <vt:lpstr>catfd_1_BRZV_51</vt:lpstr>
      <vt:lpstr>catfd_1_BVHB_1</vt:lpstr>
      <vt:lpstr>catfd_1_BVHB_51</vt:lpstr>
      <vt:lpstr>catfd_1_BVZB_1</vt:lpstr>
      <vt:lpstr>catfd_1_BVZV_51</vt:lpstr>
      <vt:lpstr>catfd_1_EAHB_1</vt:lpstr>
      <vt:lpstr>catfd_1_EAHV_51</vt:lpstr>
      <vt:lpstr>catfd_1_ERHB_1</vt:lpstr>
      <vt:lpstr>catfd_1_ERHV_51</vt:lpstr>
      <vt:lpstr>catfd_1_GFHB_1</vt:lpstr>
      <vt:lpstr>catfd_1_GFHV_51</vt:lpstr>
      <vt:lpstr>catfd_1_GSHB_1</vt:lpstr>
      <vt:lpstr>catfd_1_GSHV_51</vt:lpstr>
      <vt:lpstr>catfd_1_LLHB_1</vt:lpstr>
      <vt:lpstr>catfd_1_LLHV_51</vt:lpstr>
      <vt:lpstr>catfd_1_LOHB_1</vt:lpstr>
      <vt:lpstr>catfd_1_LOHV_51</vt:lpstr>
      <vt:lpstr>catfd_1_MAHB_1</vt:lpstr>
      <vt:lpstr>catfd_1_MAHV_51</vt:lpstr>
      <vt:lpstr>catfd_1_RKHB_1</vt:lpstr>
      <vt:lpstr>catfd_1_RKHV_51</vt:lpstr>
      <vt:lpstr>catfd_1_RPHB_1</vt:lpstr>
      <vt:lpstr>catfd_1_RPHV_51</vt:lpstr>
      <vt:lpstr>catfd_1_RRHB_1</vt:lpstr>
      <vt:lpstr>catfd_1_RRHV_51</vt:lpstr>
      <vt:lpstr>catfd_1_RRZB_1</vt:lpstr>
      <vt:lpstr>catfd_1_RRZV_51</vt:lpstr>
      <vt:lpstr>catfd_1_SDHB_1</vt:lpstr>
      <vt:lpstr>catfd_1_SDHV_51</vt:lpstr>
      <vt:lpstr>catfd_1_SKHB_1</vt:lpstr>
      <vt:lpstr>catfd_1_SKHV_51</vt:lpstr>
      <vt:lpstr>catfd_1_STHB_1</vt:lpstr>
      <vt:lpstr>catfd_1_STHV_51</vt:lpstr>
      <vt:lpstr>catfd_1_SWHB_1</vt:lpstr>
      <vt:lpstr>catfd_1_SWHV_51</vt:lpstr>
      <vt:lpstr>catfd_1_VAHB_1</vt:lpstr>
      <vt:lpstr>catfd_1_VAHV_51</vt:lpstr>
      <vt:lpstr>catfd_1_VAZB_1</vt:lpstr>
      <vt:lpstr>catfd_1_VAZV_51</vt:lpstr>
      <vt:lpstr>catfd_1_VEHV_51</vt:lpstr>
      <vt:lpstr>catfd_1_VEZB_1</vt:lpstr>
      <vt:lpstr>catfd_1_VEZV_51</vt:lpstr>
      <vt:lpstr>catfd_1_VLHB_1</vt:lpstr>
      <vt:lpstr>catfd_1_VLHV_51</vt:lpstr>
      <vt:lpstr>catfd_1_VOHB_1</vt:lpstr>
      <vt:lpstr>catfd_1_VOHV_51</vt:lpstr>
      <vt:lpstr>catfd_1_VOZB_1</vt:lpstr>
      <vt:lpstr>catfd_1_VOZV_51</vt:lpstr>
      <vt:lpstr>catfd_1_VSHB_1</vt:lpstr>
      <vt:lpstr>catfd_1_VSHV_51</vt:lpstr>
      <vt:lpstr>catfd_1_VTHB_1</vt:lpstr>
      <vt:lpstr>catfd_1_VTHV_51</vt:lpstr>
      <vt:lpstr>catpn_1_BBHB_1</vt:lpstr>
      <vt:lpstr>catpn_1_BBZV_51</vt:lpstr>
      <vt:lpstr>catpn_1_BCZB_1</vt:lpstr>
      <vt:lpstr>catpn_1_BCZV_51</vt:lpstr>
      <vt:lpstr>catpn_1_BKHB_1</vt:lpstr>
      <vt:lpstr>catpn_1_BKHV_51</vt:lpstr>
      <vt:lpstr>catpn_1_BKZB_1</vt:lpstr>
      <vt:lpstr>catpn_1_BKZV_51</vt:lpstr>
      <vt:lpstr>catpn_1_BRHB_1</vt:lpstr>
      <vt:lpstr>catpn_1_BRHV_51</vt:lpstr>
      <vt:lpstr>catpn_1_BRZB_1</vt:lpstr>
      <vt:lpstr>catpn_1_BRZV_51</vt:lpstr>
      <vt:lpstr>catpn_1_BVHB_1</vt:lpstr>
      <vt:lpstr>catpn_1_BVHB_51</vt:lpstr>
      <vt:lpstr>catpn_1_BVZB_1</vt:lpstr>
      <vt:lpstr>catpn_1_BVZV_51</vt:lpstr>
      <vt:lpstr>catpn_1_EAHB_1</vt:lpstr>
      <vt:lpstr>catpn_1_EAHV_51</vt:lpstr>
      <vt:lpstr>catpn_1_ERHB_1</vt:lpstr>
      <vt:lpstr>catpn_1_ERHV_51</vt:lpstr>
      <vt:lpstr>catpn_1_GFHB_1</vt:lpstr>
      <vt:lpstr>catpn_1_GFHV_51</vt:lpstr>
      <vt:lpstr>catpn_1_GSHB_1</vt:lpstr>
      <vt:lpstr>catpn_1_GSHV_51</vt:lpstr>
      <vt:lpstr>catpn_1_LLHB_1</vt:lpstr>
      <vt:lpstr>catpn_1_LLHV_51</vt:lpstr>
      <vt:lpstr>catpn_1_LOHB_1</vt:lpstr>
      <vt:lpstr>catpn_1_LOHV_51</vt:lpstr>
      <vt:lpstr>catpn_1_MAHB_1</vt:lpstr>
      <vt:lpstr>catpn_1_MAHV_51</vt:lpstr>
      <vt:lpstr>catpn_1_RKHB_1</vt:lpstr>
      <vt:lpstr>catpn_1_RKHV_51</vt:lpstr>
      <vt:lpstr>catpn_1_RPHB_1</vt:lpstr>
      <vt:lpstr>catpn_1_RPHV_51</vt:lpstr>
      <vt:lpstr>catpn_1_RRHB_1</vt:lpstr>
      <vt:lpstr>catpn_1_RRHV_51</vt:lpstr>
      <vt:lpstr>catpn_1_RRZB_1</vt:lpstr>
      <vt:lpstr>catpn_1_RRZV_51</vt:lpstr>
      <vt:lpstr>catpn_1_SDHB_1</vt:lpstr>
      <vt:lpstr>catpn_1_SDHV_51</vt:lpstr>
      <vt:lpstr>catpn_1_SKHB_1</vt:lpstr>
      <vt:lpstr>catpn_1_SKHV_51</vt:lpstr>
      <vt:lpstr>catpn_1_STHB_1</vt:lpstr>
      <vt:lpstr>catpn_1_STHV_51</vt:lpstr>
      <vt:lpstr>catpn_1_SWHB_1</vt:lpstr>
      <vt:lpstr>catpn_1_SWHV_51</vt:lpstr>
      <vt:lpstr>catpn_1_VAHB_1</vt:lpstr>
      <vt:lpstr>catpn_1_VAHV_51</vt:lpstr>
      <vt:lpstr>catpn_1_VAZB_1</vt:lpstr>
      <vt:lpstr>catpn_1_VAZV_51</vt:lpstr>
      <vt:lpstr>catpn_1_VEHV_51</vt:lpstr>
      <vt:lpstr>catpn_1_VEZB_1</vt:lpstr>
      <vt:lpstr>catpn_1_VEZV_51</vt:lpstr>
      <vt:lpstr>catpn_1_VLHB_1</vt:lpstr>
      <vt:lpstr>catpn_1_VLHV_51</vt:lpstr>
      <vt:lpstr>catpn_1_VOHB_1</vt:lpstr>
      <vt:lpstr>catpn_1_VOHV_51</vt:lpstr>
      <vt:lpstr>catpn_1_VOZB_1</vt:lpstr>
      <vt:lpstr>catpn_1_VOZV_51</vt:lpstr>
      <vt:lpstr>catpn_1_VSHB_1</vt:lpstr>
      <vt:lpstr>catpn_1_VSHV_51</vt:lpstr>
      <vt:lpstr>catpn_1_VTHB_1</vt:lpstr>
      <vt:lpstr>catpn_1_VTHV_51</vt:lpstr>
      <vt:lpstr>cattf_1_BBHB_1</vt:lpstr>
      <vt:lpstr>cattf_1_BBZV_51</vt:lpstr>
      <vt:lpstr>cattf_1_BCZB_1</vt:lpstr>
      <vt:lpstr>cattf_1_BCZV_51</vt:lpstr>
      <vt:lpstr>cattf_1_BKHB_1</vt:lpstr>
      <vt:lpstr>cattf_1_BKHV_51</vt:lpstr>
      <vt:lpstr>cattf_1_BKZB_1</vt:lpstr>
      <vt:lpstr>cattf_1_BKZV_51</vt:lpstr>
      <vt:lpstr>cattf_1_BRHB_1</vt:lpstr>
      <vt:lpstr>cattf_1_BRHV_51</vt:lpstr>
      <vt:lpstr>cattf_1_BRZB_1</vt:lpstr>
      <vt:lpstr>cattf_1_BRZV_51</vt:lpstr>
      <vt:lpstr>cattf_1_BVHB_1</vt:lpstr>
      <vt:lpstr>cattf_1_BVHB_51</vt:lpstr>
      <vt:lpstr>cattf_1_BVZB_1</vt:lpstr>
      <vt:lpstr>cattf_1_BVZV_51</vt:lpstr>
      <vt:lpstr>cattf_1_EAHB_1</vt:lpstr>
      <vt:lpstr>cattf_1_EAHV_51</vt:lpstr>
      <vt:lpstr>cattf_1_ERHB_1</vt:lpstr>
      <vt:lpstr>cattf_1_ERHV_51</vt:lpstr>
      <vt:lpstr>cattf_1_GFHB_1</vt:lpstr>
      <vt:lpstr>cattf_1_GFHV_51</vt:lpstr>
      <vt:lpstr>cattf_1_GSHB_1</vt:lpstr>
      <vt:lpstr>cattf_1_GSHV_51</vt:lpstr>
      <vt:lpstr>cattf_1_LLHB_1</vt:lpstr>
      <vt:lpstr>cattf_1_LLHV_51</vt:lpstr>
      <vt:lpstr>cattf_1_LOHB_1</vt:lpstr>
      <vt:lpstr>cattf_1_LOHV_51</vt:lpstr>
      <vt:lpstr>cattf_1_MAHB_1</vt:lpstr>
      <vt:lpstr>cattf_1_MAHV_51</vt:lpstr>
      <vt:lpstr>cattf_1_RKHB_1</vt:lpstr>
      <vt:lpstr>cattf_1_RKHV_51</vt:lpstr>
      <vt:lpstr>cattf_1_RPHB_1</vt:lpstr>
      <vt:lpstr>cattf_1_RPHV_51</vt:lpstr>
      <vt:lpstr>cattf_1_RRHB_1</vt:lpstr>
      <vt:lpstr>cattf_1_RRHV_51</vt:lpstr>
      <vt:lpstr>cattf_1_RRZB_1</vt:lpstr>
      <vt:lpstr>cattf_1_RRZV_51</vt:lpstr>
      <vt:lpstr>cattf_1_SDHB_1</vt:lpstr>
      <vt:lpstr>cattf_1_SDHV_51</vt:lpstr>
      <vt:lpstr>cattf_1_SKHB_1</vt:lpstr>
      <vt:lpstr>cattf_1_SKHV_51</vt:lpstr>
      <vt:lpstr>cattf_1_STHB_1</vt:lpstr>
      <vt:lpstr>cattf_1_STHV_51</vt:lpstr>
      <vt:lpstr>cattf_1_SWHB_1</vt:lpstr>
      <vt:lpstr>cattf_1_SWHV_51</vt:lpstr>
      <vt:lpstr>cattf_1_VAHB_1</vt:lpstr>
      <vt:lpstr>cattf_1_VAHV_51</vt:lpstr>
      <vt:lpstr>cattf_1_VAZB_1</vt:lpstr>
      <vt:lpstr>cattf_1_VAZV_51</vt:lpstr>
      <vt:lpstr>cattf_1_VEHV_51</vt:lpstr>
      <vt:lpstr>cattf_1_VEZB_1</vt:lpstr>
      <vt:lpstr>cattf_1_VEZV_51</vt:lpstr>
      <vt:lpstr>cattf_1_VLHB_1</vt:lpstr>
      <vt:lpstr>cattf_1_VLHV_51</vt:lpstr>
      <vt:lpstr>cattf_1_VOHB_1</vt:lpstr>
      <vt:lpstr>cattf_1_VOHV_51</vt:lpstr>
      <vt:lpstr>cattf_1_VOZB_1</vt:lpstr>
      <vt:lpstr>cattf_1_VOZV_51</vt:lpstr>
      <vt:lpstr>cattf_1_VSHB_1</vt:lpstr>
      <vt:lpstr>cattf_1_VSHV_51</vt:lpstr>
      <vt:lpstr>cattf_1_VTHB_1</vt:lpstr>
      <vt:lpstr>cattf_1_VTHV_51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object10_gemuurtarief1</vt:lpstr>
      <vt:lpstr>object10_opptabel1</vt:lpstr>
      <vt:lpstr>object10_prijsdag1</vt:lpstr>
      <vt:lpstr>object10_prijsjaar1</vt:lpstr>
      <vt:lpstr>object10_urendag1</vt:lpstr>
      <vt:lpstr>object10_urenjaar1</vt:lpstr>
      <vt:lpstr>object11_gemuurtarief1</vt:lpstr>
      <vt:lpstr>object11_opptabel1</vt:lpstr>
      <vt:lpstr>object11_prijsdag1</vt:lpstr>
      <vt:lpstr>object11_prijsjaar1</vt:lpstr>
      <vt:lpstr>object11_urendag1</vt:lpstr>
      <vt:lpstr>object11_urenjaar1</vt:lpstr>
      <vt:lpstr>object12_gemuurtarief1</vt:lpstr>
      <vt:lpstr>object12_opptabel1</vt:lpstr>
      <vt:lpstr>object12_prijsdag1</vt:lpstr>
      <vt:lpstr>object12_prijsjaar1</vt:lpstr>
      <vt:lpstr>object12_urendag1</vt:lpstr>
      <vt:lpstr>object12_urenjaar1</vt:lpstr>
      <vt:lpstr>object13_gemuurtarief1</vt:lpstr>
      <vt:lpstr>object13_opptabel1</vt:lpstr>
      <vt:lpstr>object13_prijsdag1</vt:lpstr>
      <vt:lpstr>object13_prijsjaar1</vt:lpstr>
      <vt:lpstr>object13_urendag1</vt:lpstr>
      <vt:lpstr>object13_urenjaar1</vt:lpstr>
      <vt:lpstr>object14_gemuurtarief1</vt:lpstr>
      <vt:lpstr>object14_opptabel1</vt:lpstr>
      <vt:lpstr>object14_prijsdag1</vt:lpstr>
      <vt:lpstr>object14_prijsjaar1</vt:lpstr>
      <vt:lpstr>object14_urendag1</vt:lpstr>
      <vt:lpstr>object14_urenjaar1</vt:lpstr>
      <vt:lpstr>object15_gemuurtarief1</vt:lpstr>
      <vt:lpstr>object15_opptabel1</vt:lpstr>
      <vt:lpstr>object15_prijsdag1</vt:lpstr>
      <vt:lpstr>object15_prijsjaar1</vt:lpstr>
      <vt:lpstr>object15_urendag1</vt:lpstr>
      <vt:lpstr>object15_urenjaar1</vt:lpstr>
      <vt:lpstr>object16_gemuurtarief1</vt:lpstr>
      <vt:lpstr>object16_opptabel1</vt:lpstr>
      <vt:lpstr>object16_prijsdag1</vt:lpstr>
      <vt:lpstr>object16_prijsjaar1</vt:lpstr>
      <vt:lpstr>object16_urendag1</vt:lpstr>
      <vt:lpstr>object16_urenjaar1</vt:lpstr>
      <vt:lpstr>object17_gemuurtarief1</vt:lpstr>
      <vt:lpstr>object17_opptabel1</vt:lpstr>
      <vt:lpstr>object17_prijsdag1</vt:lpstr>
      <vt:lpstr>object17_prijsjaar1</vt:lpstr>
      <vt:lpstr>object17_urendag1</vt:lpstr>
      <vt:lpstr>object17_urenjaar1</vt:lpstr>
      <vt:lpstr>object18_gemuurtarief1</vt:lpstr>
      <vt:lpstr>object18_opptabel1</vt:lpstr>
      <vt:lpstr>object18_prijsdag1</vt:lpstr>
      <vt:lpstr>object18_prijsjaar1</vt:lpstr>
      <vt:lpstr>object18_urendag1</vt:lpstr>
      <vt:lpstr>object18_urenjaar1</vt:lpstr>
      <vt:lpstr>object19_gemuurtarief1</vt:lpstr>
      <vt:lpstr>object19_opptabel1</vt:lpstr>
      <vt:lpstr>object19_prijsdag1</vt:lpstr>
      <vt:lpstr>object19_prijsjaar1</vt:lpstr>
      <vt:lpstr>object19_urendag1</vt:lpstr>
      <vt:lpstr>object19_urenjaar1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object20_gemuurtarief1</vt:lpstr>
      <vt:lpstr>object20_opptabel1</vt:lpstr>
      <vt:lpstr>object20_prijsdag1</vt:lpstr>
      <vt:lpstr>object20_prijsjaar1</vt:lpstr>
      <vt:lpstr>object20_urendag1</vt:lpstr>
      <vt:lpstr>object20_urenjaar1</vt:lpstr>
      <vt:lpstr>object21_gemuurtarief1</vt:lpstr>
      <vt:lpstr>object21_opptabel1</vt:lpstr>
      <vt:lpstr>object21_prijsdag1</vt:lpstr>
      <vt:lpstr>object21_prijsjaar1</vt:lpstr>
      <vt:lpstr>object21_urendag1</vt:lpstr>
      <vt:lpstr>object21_urenjaar1</vt:lpstr>
      <vt:lpstr>object22_gemuurtarief1</vt:lpstr>
      <vt:lpstr>object22_opptabel1</vt:lpstr>
      <vt:lpstr>object22_prijsdag1</vt:lpstr>
      <vt:lpstr>object22_prijsjaar1</vt:lpstr>
      <vt:lpstr>object22_urendag1</vt:lpstr>
      <vt:lpstr>object22_urenjaar1</vt:lpstr>
      <vt:lpstr>object23_gemuurtarief1</vt:lpstr>
      <vt:lpstr>object23_opptabel1</vt:lpstr>
      <vt:lpstr>object23_prijsdag1</vt:lpstr>
      <vt:lpstr>object23_prijsjaar1</vt:lpstr>
      <vt:lpstr>object23_urendag1</vt:lpstr>
      <vt:lpstr>object23_urenjaar1</vt:lpstr>
      <vt:lpstr>object24_gemuurtarief1</vt:lpstr>
      <vt:lpstr>object24_opptabel1</vt:lpstr>
      <vt:lpstr>object24_prijsdag1</vt:lpstr>
      <vt:lpstr>object24_prijsjaar1</vt:lpstr>
      <vt:lpstr>object24_urendag1</vt:lpstr>
      <vt:lpstr>object24_urenjaar1</vt:lpstr>
      <vt:lpstr>object25_gemuurtarief1</vt:lpstr>
      <vt:lpstr>object25_opptabel1</vt:lpstr>
      <vt:lpstr>object25_prijsdag1</vt:lpstr>
      <vt:lpstr>object25_prijsjaar1</vt:lpstr>
      <vt:lpstr>object25_urendag1</vt:lpstr>
      <vt:lpstr>object25_urenjaar1</vt:lpstr>
      <vt:lpstr>object26_gemuurtarief1</vt:lpstr>
      <vt:lpstr>object26_opptabel1</vt:lpstr>
      <vt:lpstr>object26_prijsdag1</vt:lpstr>
      <vt:lpstr>object26_prijsjaar1</vt:lpstr>
      <vt:lpstr>object26_urendag1</vt:lpstr>
      <vt:lpstr>object26_urenjaar1</vt:lpstr>
      <vt:lpstr>object27_gemuurtarief1</vt:lpstr>
      <vt:lpstr>object27_opptabel1</vt:lpstr>
      <vt:lpstr>object27_prijsdag1</vt:lpstr>
      <vt:lpstr>object27_prijsjaar1</vt:lpstr>
      <vt:lpstr>object27_urendag1</vt:lpstr>
      <vt:lpstr>object27_urenjaar1</vt:lpstr>
      <vt:lpstr>object28_gemuurtarief1</vt:lpstr>
      <vt:lpstr>object28_opptabel1</vt:lpstr>
      <vt:lpstr>object28_prijsdag1</vt:lpstr>
      <vt:lpstr>object28_prijsjaar1</vt:lpstr>
      <vt:lpstr>object28_urendag1</vt:lpstr>
      <vt:lpstr>object28_urenjaar1</vt:lpstr>
      <vt:lpstr>object29_gemuurtarief1</vt:lpstr>
      <vt:lpstr>object29_opptabel1</vt:lpstr>
      <vt:lpstr>object29_prijsdag1</vt:lpstr>
      <vt:lpstr>object29_prijsjaar1</vt:lpstr>
      <vt:lpstr>object29_urendag1</vt:lpstr>
      <vt:lpstr>object29_urenjaar1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object30_gemuurtarief1</vt:lpstr>
      <vt:lpstr>object30_opptabel1</vt:lpstr>
      <vt:lpstr>object30_prijsdag1</vt:lpstr>
      <vt:lpstr>object30_prijsjaar1</vt:lpstr>
      <vt:lpstr>object30_urendag1</vt:lpstr>
      <vt:lpstr>object30_urenjaar1</vt:lpstr>
      <vt:lpstr>object31_gemuurtarief1</vt:lpstr>
      <vt:lpstr>object31_opptabel1</vt:lpstr>
      <vt:lpstr>object31_prijsdag1</vt:lpstr>
      <vt:lpstr>object31_prijsjaar1</vt:lpstr>
      <vt:lpstr>object31_urendag1</vt:lpstr>
      <vt:lpstr>object31_urenjaar1</vt:lpstr>
      <vt:lpstr>object32_gemuurtarief1</vt:lpstr>
      <vt:lpstr>object32_opptabel1</vt:lpstr>
      <vt:lpstr>object32_prijsdag1</vt:lpstr>
      <vt:lpstr>object32_prijsjaar1</vt:lpstr>
      <vt:lpstr>object32_urendag1</vt:lpstr>
      <vt:lpstr>object32_urenjaar1</vt:lpstr>
      <vt:lpstr>object33_gemuurtarief1</vt:lpstr>
      <vt:lpstr>object33_opptabel1</vt:lpstr>
      <vt:lpstr>object33_prijsdag1</vt:lpstr>
      <vt:lpstr>object33_prijsjaar1</vt:lpstr>
      <vt:lpstr>object33_urendag1</vt:lpstr>
      <vt:lpstr>object33_urenjaar1</vt:lpstr>
      <vt:lpstr>object34_gemuurtarief1</vt:lpstr>
      <vt:lpstr>object34_opptabel1</vt:lpstr>
      <vt:lpstr>object34_prijsdag1</vt:lpstr>
      <vt:lpstr>object34_prijsjaar1</vt:lpstr>
      <vt:lpstr>object34_urendag1</vt:lpstr>
      <vt:lpstr>object34_urenjaar1</vt:lpstr>
      <vt:lpstr>object35_gemuurtarief1</vt:lpstr>
      <vt:lpstr>object35_opptabel1</vt:lpstr>
      <vt:lpstr>object35_prijsdag1</vt:lpstr>
      <vt:lpstr>object35_prijsjaar1</vt:lpstr>
      <vt:lpstr>object35_urendag1</vt:lpstr>
      <vt:lpstr>object35_urenjaar1</vt:lpstr>
      <vt:lpstr>object36_gemuurtarief1</vt:lpstr>
      <vt:lpstr>object36_opptabel1</vt:lpstr>
      <vt:lpstr>object36_prijsdag1</vt:lpstr>
      <vt:lpstr>object36_prijsjaar1</vt:lpstr>
      <vt:lpstr>object36_urendag1</vt:lpstr>
      <vt:lpstr>object36_urenjaar1</vt:lpstr>
      <vt:lpstr>object4_gemuurtarief1</vt:lpstr>
      <vt:lpstr>object4_opptabel1</vt:lpstr>
      <vt:lpstr>object4_prijsdag1</vt:lpstr>
      <vt:lpstr>object4_prijsjaar1</vt:lpstr>
      <vt:lpstr>object4_urendag1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object7_urenjaar1</vt:lpstr>
      <vt:lpstr>object8_gemuurtarief1</vt:lpstr>
      <vt:lpstr>object8_opptabel1</vt:lpstr>
      <vt:lpstr>object8_prijsdag1</vt:lpstr>
      <vt:lpstr>object8_prijsjaar1</vt:lpstr>
      <vt:lpstr>object8_urendag1</vt:lpstr>
      <vt:lpstr>object8_urenjaar1</vt:lpstr>
      <vt:lpstr>object9_gemuurtarief1</vt:lpstr>
      <vt:lpstr>object9_opptabel1</vt:lpstr>
      <vt:lpstr>object9_prijsdag1</vt:lpstr>
      <vt:lpstr>object9_prijsjaar1</vt:lpstr>
      <vt:lpstr>object9_urendag1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objectprijs19_1</vt:lpstr>
      <vt:lpstr>objectprijs2_1</vt:lpstr>
      <vt:lpstr>objectprijs20_1</vt:lpstr>
      <vt:lpstr>objectprijs21_1</vt:lpstr>
      <vt:lpstr>objectprijs22_1</vt:lpstr>
      <vt:lpstr>objectprijs23_1</vt:lpstr>
      <vt:lpstr>objectprijs24_1</vt:lpstr>
      <vt:lpstr>objectprijs25_1</vt:lpstr>
      <vt:lpstr>objectprijs26_1</vt:lpstr>
      <vt:lpstr>objectprijs27_1</vt:lpstr>
      <vt:lpstr>objectprijs28_1</vt:lpstr>
      <vt:lpstr>objectprijs29_1</vt:lpstr>
      <vt:lpstr>objectprijs3_1</vt:lpstr>
      <vt:lpstr>objectprijs30_1</vt:lpstr>
      <vt:lpstr>objectprijs31_1</vt:lpstr>
      <vt:lpstr>objectprijs32_1</vt:lpstr>
      <vt:lpstr>objectprijs33_1</vt:lpstr>
      <vt:lpstr>objectprijs34_1</vt:lpstr>
      <vt:lpstr>objectprijs35_1</vt:lpstr>
      <vt:lpstr>objectprijs36_1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objecturen19_1</vt:lpstr>
      <vt:lpstr>objecturen2_1</vt:lpstr>
      <vt:lpstr>objecturen20_1</vt:lpstr>
      <vt:lpstr>objecturen21_1</vt:lpstr>
      <vt:lpstr>objecturen22_1</vt:lpstr>
      <vt:lpstr>objecturen23_1</vt:lpstr>
      <vt:lpstr>objecturen24_1</vt:lpstr>
      <vt:lpstr>objecturen25_1</vt:lpstr>
      <vt:lpstr>objecturen26_1</vt:lpstr>
      <vt:lpstr>objecturen27_1</vt:lpstr>
      <vt:lpstr>objecturen28_1</vt:lpstr>
      <vt:lpstr>objecturen29_1</vt:lpstr>
      <vt:lpstr>objecturen3_1</vt:lpstr>
      <vt:lpstr>objecturen30_1</vt:lpstr>
      <vt:lpstr>objecturen31_1</vt:lpstr>
      <vt:lpstr>objecturen32_1</vt:lpstr>
      <vt:lpstr>objecturen33_1</vt:lpstr>
      <vt:lpstr>objecturen34_1</vt:lpstr>
      <vt:lpstr>objecturen35_1</vt:lpstr>
      <vt:lpstr>objecturen36_1</vt:lpstr>
      <vt:lpstr>objecturen4_1</vt:lpstr>
      <vt:lpstr>objecturen5_1</vt:lpstr>
      <vt:lpstr>objecturen6_1</vt:lpstr>
      <vt:lpstr>objecturen7_1</vt:lpstr>
      <vt:lpstr>objecturen8_1</vt:lpstr>
      <vt:lpstr>objecturen9_1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prodnorm100</vt:lpstr>
      <vt:lpstr>prodnorm101</vt:lpstr>
      <vt:lpstr>prodnorm102</vt:lpstr>
      <vt:lpstr>prodnorm103</vt:lpstr>
      <vt:lpstr>prodnorm104</vt:lpstr>
      <vt:lpstr>prodnorm105</vt:lpstr>
      <vt:lpstr>prodnorm106</vt:lpstr>
      <vt:lpstr>prodnorm107</vt:lpstr>
      <vt:lpstr>prodnorm108</vt:lpstr>
      <vt:lpstr>prodnorm109</vt:lpstr>
      <vt:lpstr>prodnorm110</vt:lpstr>
      <vt:lpstr>prodnorm111</vt:lpstr>
      <vt:lpstr>prodnorm112</vt:lpstr>
      <vt:lpstr>prodnorm113</vt:lpstr>
      <vt:lpstr>prodnorm114</vt:lpstr>
      <vt:lpstr>prodnorm115</vt:lpstr>
      <vt:lpstr>prodnorm116</vt:lpstr>
      <vt:lpstr>prodnorm117</vt:lpstr>
      <vt:lpstr>prodnorm118</vt:lpstr>
      <vt:lpstr>prodnorm119</vt:lpstr>
      <vt:lpstr>prodnorm12</vt:lpstr>
      <vt:lpstr>prodnorm120</vt:lpstr>
      <vt:lpstr>prodnorm121</vt:lpstr>
      <vt:lpstr>prodnorm122</vt:lpstr>
      <vt:lpstr>prodnorm123</vt:lpstr>
      <vt:lpstr>prodnorm124</vt:lpstr>
      <vt:lpstr>prodnorm125</vt:lpstr>
      <vt:lpstr>prodnorm126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prodnorm78</vt:lpstr>
      <vt:lpstr>prodnorm79</vt:lpstr>
      <vt:lpstr>prodnorm8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uurtarief100</vt:lpstr>
      <vt:lpstr>uurtarief101</vt:lpstr>
      <vt:lpstr>uurtarief102</vt:lpstr>
      <vt:lpstr>uurtarief103</vt:lpstr>
      <vt:lpstr>uurtarief104</vt:lpstr>
      <vt:lpstr>uurtarief105</vt:lpstr>
      <vt:lpstr>uurtarief106</vt:lpstr>
      <vt:lpstr>uurtarief107</vt:lpstr>
      <vt:lpstr>uurtarief108</vt:lpstr>
      <vt:lpstr>uurtarief109</vt:lpstr>
      <vt:lpstr>uurtarief110</vt:lpstr>
      <vt:lpstr>uurtarief111</vt:lpstr>
      <vt:lpstr>uurtarief112</vt:lpstr>
      <vt:lpstr>uurtarief113</vt:lpstr>
      <vt:lpstr>uurtarief114</vt:lpstr>
      <vt:lpstr>uurtarief115</vt:lpstr>
      <vt:lpstr>uurtarief116</vt:lpstr>
      <vt:lpstr>uurtarief117</vt:lpstr>
      <vt:lpstr>uurtarief118</vt:lpstr>
      <vt:lpstr>uurtarief119</vt:lpstr>
      <vt:lpstr>uurtarief12</vt:lpstr>
      <vt:lpstr>uurtarief120</vt:lpstr>
      <vt:lpstr>uurtarief121</vt:lpstr>
      <vt:lpstr>uurtarief122</vt:lpstr>
      <vt:lpstr>uurtarief123</vt:lpstr>
      <vt:lpstr>uurtarief124</vt:lpstr>
      <vt:lpstr>uurtarief125</vt:lpstr>
      <vt:lpstr>uurtarief126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uurtarief78</vt:lpstr>
      <vt:lpstr>uurtarief79</vt:lpstr>
      <vt:lpstr>uurtarief8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2026-06-02T09:02:59Z</dcterms:created>
  <dcterms:modified xsi:type="dcterms:W3CDTF">2026-06-02T09:09:19Z</dcterms:modified>
</cp:coreProperties>
</file>