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ggdregioutrecht.sharepoint.com/sites/Inkoopcontracten/Gedeelde documenten/Aanbestedingen/2512 Mobiliteitskaarten/01. Aankondiging van opdracht/"/>
    </mc:Choice>
  </mc:AlternateContent>
  <xr:revisionPtr revIDLastSave="2953" documentId="11_244BEFF6581E33CB3033F7351E6EA931B9FFF78C" xr6:coauthVersionLast="47" xr6:coauthVersionMax="47" xr10:uidLastSave="{AB26364C-7D58-4FF7-976F-C61D52FDCBFF}"/>
  <bookViews>
    <workbookView xWindow="-110" yWindow="-110" windowWidth="19420" windowHeight="11500" xr2:uid="{00000000-000D-0000-FFFF-FFFF00000000}"/>
  </bookViews>
  <sheets>
    <sheet name="Instructies" sheetId="3" r:id="rId1"/>
    <sheet name="Reisdata" sheetId="4" r:id="rId2"/>
    <sheet name="Inschrijfbiljet" sheetId="1" r:id="rId3"/>
    <sheet name="Gebruiker 1 (Uitvoerend)" sheetId="7" r:id="rId4"/>
    <sheet name="Gebruiker 2 (Kantoor)" sheetId="8" r:id="rId5"/>
    <sheet name="Gebruiker 3 (Beleidsmdw)" sheetId="9" r:id="rId6"/>
    <sheet name="Gebruiker 4 (Hybride kantoor)" sheetId="10" r:id="rId7"/>
    <sheet name="Gebruiker 5 (Parttime-flexibel)" sheetId="11" r:id="rId8"/>
    <sheet name="Gebruiker 6 (Regionaal)" sheetId="12" r:id="rId9"/>
    <sheet name="Kortingen" sheetId="13"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8" l="1"/>
  <c r="H2" i="8"/>
  <c r="H3" i="8"/>
  <c r="H4" i="8"/>
  <c r="H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4" i="8"/>
  <c r="H55" i="8"/>
  <c r="H56" i="8"/>
  <c r="H57" i="8"/>
  <c r="H58" i="8"/>
  <c r="H59" i="8"/>
  <c r="H60" i="8"/>
  <c r="H61" i="8"/>
  <c r="H62" i="8"/>
  <c r="H63" i="8"/>
  <c r="H64" i="8"/>
  <c r="H65" i="8"/>
  <c r="H66" i="8"/>
  <c r="H19" i="12" l="1"/>
  <c r="H17" i="12"/>
  <c r="H47" i="7"/>
  <c r="H46" i="7"/>
  <c r="M44" i="7"/>
  <c r="H44" i="7"/>
  <c r="M43" i="7"/>
  <c r="H43" i="7"/>
  <c r="H40" i="7"/>
  <c r="H41" i="7"/>
  <c r="H39" i="7"/>
  <c r="H38" i="7"/>
  <c r="H3" i="12"/>
  <c r="H4" i="12"/>
  <c r="H5" i="12"/>
  <c r="H6" i="12"/>
  <c r="H7" i="12"/>
  <c r="H8" i="12"/>
  <c r="H9" i="12"/>
  <c r="H10" i="12"/>
  <c r="H11" i="12"/>
  <c r="H12" i="12"/>
  <c r="H13" i="12"/>
  <c r="H14" i="12"/>
  <c r="H15" i="12"/>
  <c r="H16" i="12"/>
  <c r="H18" i="12"/>
  <c r="H2" i="12"/>
  <c r="H3" i="11"/>
  <c r="H4" i="11"/>
  <c r="H5" i="11"/>
  <c r="H6" i="11"/>
  <c r="H7" i="11"/>
  <c r="H8" i="11"/>
  <c r="H9" i="11"/>
  <c r="H14" i="11" s="1"/>
  <c r="H10" i="11"/>
  <c r="H11" i="11"/>
  <c r="H12" i="11"/>
  <c r="H13" i="11"/>
  <c r="H2" i="11"/>
  <c r="M66" i="8"/>
  <c r="M65" i="8"/>
  <c r="H3" i="10"/>
  <c r="H4" i="10"/>
  <c r="H5"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2" i="10"/>
  <c r="M20" i="9"/>
  <c r="M23" i="9"/>
  <c r="H10" i="9"/>
  <c r="H3" i="9"/>
  <c r="H4" i="9"/>
  <c r="H5" i="9"/>
  <c r="H6" i="9"/>
  <c r="H7" i="9"/>
  <c r="H8" i="9"/>
  <c r="H9" i="9"/>
  <c r="H11" i="9"/>
  <c r="H12" i="9"/>
  <c r="H13" i="9"/>
  <c r="H14" i="9"/>
  <c r="H15" i="9"/>
  <c r="H16" i="9"/>
  <c r="H17" i="9"/>
  <c r="H18" i="9"/>
  <c r="H21" i="9"/>
  <c r="H22" i="9"/>
  <c r="H19" i="9"/>
  <c r="H23" i="9"/>
  <c r="H20" i="9"/>
  <c r="H2" i="9"/>
  <c r="H36" i="7"/>
  <c r="H42" i="7"/>
  <c r="H14" i="7"/>
  <c r="H37" i="7"/>
  <c r="H5" i="7"/>
  <c r="H22" i="7"/>
  <c r="H28" i="7"/>
  <c r="H45" i="7"/>
  <c r="H3" i="7"/>
  <c r="H23" i="7"/>
  <c r="H6" i="7"/>
  <c r="H15" i="7"/>
  <c r="H24" i="7"/>
  <c r="H7" i="7"/>
  <c r="H29" i="7"/>
  <c r="H25" i="7"/>
  <c r="H16" i="7"/>
  <c r="H4" i="7"/>
  <c r="H8" i="7"/>
  <c r="H30" i="7"/>
  <c r="H17" i="7"/>
  <c r="H9" i="7"/>
  <c r="H26" i="7"/>
  <c r="H34" i="7"/>
  <c r="H18" i="7"/>
  <c r="H48" i="7"/>
  <c r="H27" i="7"/>
  <c r="H51" i="7"/>
  <c r="H10" i="7"/>
  <c r="H49" i="7"/>
  <c r="H11" i="7"/>
  <c r="H50" i="7"/>
  <c r="H12" i="7"/>
  <c r="H19" i="7"/>
  <c r="H31" i="7"/>
  <c r="H35" i="7"/>
  <c r="H20" i="7"/>
  <c r="H32" i="7"/>
  <c r="H33" i="7"/>
  <c r="H21" i="7"/>
  <c r="H13" i="7"/>
  <c r="H2" i="7"/>
  <c r="M43" i="8"/>
  <c r="M44" i="8"/>
  <c r="M22" i="8"/>
  <c r="M51" i="8"/>
  <c r="J52" i="7"/>
  <c r="D18" i="1" s="1"/>
  <c r="M13" i="7"/>
  <c r="M41" i="7"/>
  <c r="B30" i="1"/>
  <c r="J20" i="12"/>
  <c r="D23" i="1" s="1"/>
  <c r="C26" i="12"/>
  <c r="M3" i="12"/>
  <c r="M4" i="12"/>
  <c r="M5" i="12"/>
  <c r="M6" i="12"/>
  <c r="M7" i="12"/>
  <c r="M8" i="12"/>
  <c r="M9" i="12"/>
  <c r="M10" i="12"/>
  <c r="M11" i="12"/>
  <c r="M12" i="12"/>
  <c r="M13" i="12"/>
  <c r="M14" i="12"/>
  <c r="M15" i="12"/>
  <c r="M16" i="12"/>
  <c r="M17" i="12"/>
  <c r="M18" i="12"/>
  <c r="M19" i="12"/>
  <c r="M2" i="12"/>
  <c r="M14" i="11"/>
  <c r="B23" i="11" s="1"/>
  <c r="C22" i="1" s="1"/>
  <c r="C20" i="11"/>
  <c r="J14" i="11"/>
  <c r="D22" i="1" s="1"/>
  <c r="M3" i="11"/>
  <c r="M4" i="11"/>
  <c r="M5" i="11"/>
  <c r="M6" i="11"/>
  <c r="M7" i="11"/>
  <c r="M8" i="11"/>
  <c r="M9" i="11"/>
  <c r="M10" i="11"/>
  <c r="M11" i="11"/>
  <c r="M12" i="11"/>
  <c r="M13" i="11"/>
  <c r="M2" i="11"/>
  <c r="C40" i="10"/>
  <c r="M3" i="10"/>
  <c r="M4" i="10"/>
  <c r="M5" i="10"/>
  <c r="M6" i="10"/>
  <c r="M7" i="10"/>
  <c r="M8" i="10"/>
  <c r="M9" i="10"/>
  <c r="M10" i="10"/>
  <c r="M11" i="10"/>
  <c r="M12" i="10"/>
  <c r="M13" i="10"/>
  <c r="M14" i="10"/>
  <c r="M15" i="10"/>
  <c r="M16" i="10"/>
  <c r="M17" i="10"/>
  <c r="M18" i="10"/>
  <c r="M19" i="10"/>
  <c r="M20" i="10"/>
  <c r="M21" i="10"/>
  <c r="M22" i="10"/>
  <c r="M23" i="10"/>
  <c r="M24" i="10"/>
  <c r="M25" i="10"/>
  <c r="M26" i="10"/>
  <c r="M27" i="10"/>
  <c r="M28" i="10"/>
  <c r="M29" i="10"/>
  <c r="M30" i="10"/>
  <c r="M31" i="10"/>
  <c r="M32" i="10"/>
  <c r="M33" i="10"/>
  <c r="M2" i="10"/>
  <c r="J34" i="10"/>
  <c r="D21" i="1" s="1"/>
  <c r="H34" i="10"/>
  <c r="C30" i="9"/>
  <c r="J24" i="9"/>
  <c r="D20" i="1" s="1"/>
  <c r="M10" i="9"/>
  <c r="M3" i="9"/>
  <c r="M4" i="9"/>
  <c r="M5" i="9"/>
  <c r="M6" i="9"/>
  <c r="M7" i="9"/>
  <c r="M8" i="9"/>
  <c r="M9" i="9"/>
  <c r="M11" i="9"/>
  <c r="M12" i="9"/>
  <c r="M13" i="9"/>
  <c r="M14" i="9"/>
  <c r="M15" i="9"/>
  <c r="M16" i="9"/>
  <c r="M17" i="9"/>
  <c r="M18" i="9"/>
  <c r="M21" i="9"/>
  <c r="M22" i="9"/>
  <c r="M19" i="9"/>
  <c r="M2" i="9"/>
  <c r="C73" i="8"/>
  <c r="J67" i="8"/>
  <c r="D19" i="1" s="1"/>
  <c r="M8" i="8"/>
  <c r="M31" i="8"/>
  <c r="M9" i="8"/>
  <c r="M10" i="8"/>
  <c r="M11" i="8"/>
  <c r="M12" i="8"/>
  <c r="M32" i="8"/>
  <c r="M33" i="8"/>
  <c r="M34" i="8"/>
  <c r="M35" i="8"/>
  <c r="M13" i="8"/>
  <c r="M36" i="8"/>
  <c r="M37" i="8"/>
  <c r="M45" i="8"/>
  <c r="M2" i="8"/>
  <c r="M38" i="8"/>
  <c r="M52" i="8"/>
  <c r="M14" i="8"/>
  <c r="M23" i="8"/>
  <c r="M3" i="8"/>
  <c r="M53" i="8"/>
  <c r="M15" i="8"/>
  <c r="M24" i="8"/>
  <c r="M16" i="8"/>
  <c r="M54" i="8"/>
  <c r="M25" i="8"/>
  <c r="M55" i="8"/>
  <c r="M26" i="8"/>
  <c r="M56" i="8"/>
  <c r="M57" i="8"/>
  <c r="M46" i="8"/>
  <c r="M58" i="8"/>
  <c r="M17" i="8"/>
  <c r="M18" i="8"/>
  <c r="M27" i="8"/>
  <c r="M39" i="8"/>
  <c r="M4" i="8"/>
  <c r="M19" i="8"/>
  <c r="M59" i="8"/>
  <c r="M40" i="8"/>
  <c r="M60" i="8"/>
  <c r="M61" i="8"/>
  <c r="M47" i="8"/>
  <c r="M48" i="8"/>
  <c r="M5" i="8"/>
  <c r="M20" i="8"/>
  <c r="M49" i="8"/>
  <c r="M41" i="8"/>
  <c r="M62" i="8"/>
  <c r="M6" i="8"/>
  <c r="M50" i="8"/>
  <c r="M21" i="8"/>
  <c r="M28" i="8"/>
  <c r="M42" i="8"/>
  <c r="M63" i="8"/>
  <c r="M7" i="8"/>
  <c r="M64" i="8"/>
  <c r="M29" i="8"/>
  <c r="M30" i="8"/>
  <c r="M14" i="7"/>
  <c r="M37" i="7"/>
  <c r="M46" i="7"/>
  <c r="M45" i="7"/>
  <c r="M48" i="7"/>
  <c r="M27" i="7"/>
  <c r="M51" i="7"/>
  <c r="M22" i="7"/>
  <c r="M6" i="7"/>
  <c r="M10" i="7"/>
  <c r="M49" i="7"/>
  <c r="M28" i="7"/>
  <c r="M15" i="7"/>
  <c r="M11" i="7"/>
  <c r="M50" i="7"/>
  <c r="M3" i="7"/>
  <c r="M24" i="7"/>
  <c r="M12" i="7"/>
  <c r="M19" i="7"/>
  <c r="M21" i="7"/>
  <c r="M7" i="7"/>
  <c r="M31" i="7"/>
  <c r="M23" i="7"/>
  <c r="M35" i="7"/>
  <c r="M20" i="7"/>
  <c r="C58" i="7"/>
  <c r="M29" i="7"/>
  <c r="M25" i="7"/>
  <c r="M39" i="7"/>
  <c r="M16" i="7"/>
  <c r="M4" i="7"/>
  <c r="M5" i="7"/>
  <c r="M8" i="7"/>
  <c r="M30" i="7"/>
  <c r="M2" i="7"/>
  <c r="M36" i="7"/>
  <c r="M17" i="7"/>
  <c r="M9" i="7"/>
  <c r="M26" i="7"/>
  <c r="M32" i="7"/>
  <c r="M40" i="7"/>
  <c r="M34" i="7"/>
  <c r="M42" i="7"/>
  <c r="M33" i="7"/>
  <c r="M38" i="7"/>
  <c r="M18" i="7"/>
  <c r="M47" i="7"/>
  <c r="H20" i="12" l="1"/>
  <c r="M20" i="12"/>
  <c r="M34" i="10"/>
  <c r="B43" i="10" s="1"/>
  <c r="C21" i="1" s="1"/>
  <c r="M67" i="8"/>
  <c r="H24" i="9"/>
  <c r="M24" i="9"/>
  <c r="B33" i="9" s="1"/>
  <c r="C20" i="1" s="1"/>
  <c r="H67" i="8"/>
  <c r="H52" i="7"/>
  <c r="M52" i="7"/>
  <c r="B61" i="7" s="1"/>
  <c r="C18" i="1" s="1"/>
  <c r="D24" i="1"/>
  <c r="B29" i="12" l="1"/>
  <c r="C23" i="1" s="1"/>
  <c r="E14" i="1"/>
  <c r="B76" i="8"/>
  <c r="C19" i="1" s="1"/>
  <c r="C24" i="1" l="1"/>
  <c r="C25" i="1" s="1"/>
  <c r="D26" i="1" s="1"/>
  <c r="B31" i="1" s="1"/>
  <c r="B32" i="1" s="1"/>
  <c r="E15" i="1"/>
</calcChain>
</file>

<file path=xl/sharedStrings.xml><?xml version="1.0" encoding="utf-8"?>
<sst xmlns="http://schemas.openxmlformats.org/spreadsheetml/2006/main" count="1916" uniqueCount="235">
  <si>
    <t>Totaalprijs (excl. BTW) in €</t>
  </si>
  <si>
    <t>Indicatieve aantallen</t>
  </si>
  <si>
    <t>1.</t>
  </si>
  <si>
    <t xml:space="preserve">Uitsluitend de groene velden moeten ingevuld worden. Het aanbrengen van wijzigingen in de andere velden is niet toegestaan op straffe van uitsluiting.
</t>
  </si>
  <si>
    <t>2.</t>
  </si>
  <si>
    <t>3.</t>
  </si>
  <si>
    <t xml:space="preserve">De in het prijzenblad opgenomen wegingsfactoren per eenheidsprijs zijn fictief en dienen uitsluitend ter vergelijk van de prijzen in de onderhavige offerteaanvraag. U kunt derhalve nu en in de toekomst geen rechten ontlenen aan die wegingen met het oog op eventueel tijdens de uitvoering van de Raamovereenkomst werkelijk te realiseren hoeveelheden c.q. te realiseren omzet.
</t>
  </si>
  <si>
    <t>4.</t>
  </si>
  <si>
    <t>Onderneming</t>
  </si>
  <si>
    <t>&lt;&lt;hier bedrijfsnaam invullen&gt;&gt;</t>
  </si>
  <si>
    <t xml:space="preserve">Naam </t>
  </si>
  <si>
    <t>&lt;&lt;hier naam ondertekenaar invullen&gt;&gt;</t>
  </si>
  <si>
    <t xml:space="preserve">Functie </t>
  </si>
  <si>
    <t>&lt;&lt;hier functie ondertekenaar invullen&gt;&gt;</t>
  </si>
  <si>
    <t xml:space="preserve">Handtekening </t>
  </si>
  <si>
    <t xml:space="preserve">Plaats en datum </t>
  </si>
  <si>
    <t>&lt;&lt;hier plaats en datum ondertekening invullen&gt;&gt;</t>
  </si>
  <si>
    <t>5.</t>
  </si>
  <si>
    <t xml:space="preserve">De Inschrijver dient alle groene velden naar eerlijkheid in te vullen, zelfs als deze niet van toepassing zijn op de toekomstige dienstverlening. </t>
  </si>
  <si>
    <t>Prijs per stuk (Excl. BTW)</t>
  </si>
  <si>
    <t>Mobiliteitskaart</t>
  </si>
  <si>
    <t>Omschrijving</t>
  </si>
  <si>
    <t>Per gebruiker</t>
  </si>
  <si>
    <t>Jaar</t>
  </si>
  <si>
    <t>Totaalkosten mobiliteitskaart</t>
  </si>
  <si>
    <t>Kostenpost</t>
  </si>
  <si>
    <t>Kosten</t>
  </si>
  <si>
    <t xml:space="preserve">Prijzen zijn in euro's en op maximaal twee decimalen achter de komma. Prijzen zijn exclusief BTW, maar inclusief alle overige bijkomende kosten (zoals, maar dus niet beperkt tot bemiddelingskosten en administratieve kosten). Niet in de tarieven opgenomen kosten komen dus niet voor vergoeding in aanmerking. 
</t>
  </si>
  <si>
    <t xml:space="preserve">Aanbieder mag en zal bij het opstellen van zijn Offerte geen oneigenlijk gebruikmaken van de gunningssystematiek. Op straffe van ongeldigheid van de Offerte dienen de navolgende voorwaarden met betrekking tot de aangeboden prijzen in acht te worden genomen:
• Prijzen worden gegeven tot maximaal twee decimalen achter de komma;
• Een cel waarin een prijs of tarief ingevuld dient te worden, mag niet worden leeg gelaten of voorzien van andere karakters dan cijfers.
</t>
  </si>
  <si>
    <t xml:space="preserve">6. </t>
  </si>
  <si>
    <t xml:space="preserve">U vult de tarieven van de 6 Gebruikers in conform de volgende voorwaarden:						
Het voltarief is overgenomen van 9292 info (april 2026) - u dient deze vooringevulde gegevens als vast gegeven te beschouwen.						
De opgegeven kortingen worden maandelijks op de factuur verrekend en vallen onder regie van de Opdrachtnemer.						
Wanneer kortingen worden aangeboden, dan worden de kosten per maand in de laatste rijen van het tabblad opgenomen (incl btw).						
Voor het inschrijfbiljet gaat u uit van tarieven en kortingen voor volwassenen van 19 t/m 64 jaar.						</t>
  </si>
  <si>
    <t>7.</t>
  </si>
  <si>
    <t xml:space="preserve">In het geval dat het door Inschrijver ingediende inschrijfbiljet niet voldoet aan 1 of meerdere van bovenstaande voorwaarden/punten, is deze ongeldig en heeft dit ter zijde legging van de Inschrijving tot gevolg. 					</t>
  </si>
  <si>
    <t xml:space="preserve">Ook het indienen van een manipulatieve Inschrijving of irreele Inschrijving is niet toegestaan en leidt tot ter zijde legging. </t>
  </si>
  <si>
    <t>8.</t>
  </si>
  <si>
    <t>Periode</t>
  </si>
  <si>
    <t>Trein - Kilometers</t>
  </si>
  <si>
    <t>Bus, tram en metro - Kilometers</t>
  </si>
  <si>
    <t>Deelauto benzine - Kilometers</t>
  </si>
  <si>
    <t>Deelfiets - Kilometers</t>
  </si>
  <si>
    <t>Deelfiets elektrisch - Kilometers</t>
  </si>
  <si>
    <t>Januari 2025</t>
  </si>
  <si>
    <t>0.0</t>
  </si>
  <si>
    <t>Maart 2025</t>
  </si>
  <si>
    <t>Februari 2025</t>
  </si>
  <si>
    <t>April 2025</t>
  </si>
  <si>
    <t>Mei 2025</t>
  </si>
  <si>
    <t>Juni 2025</t>
  </si>
  <si>
    <t>Juli 2025</t>
  </si>
  <si>
    <t>Augustus 2025</t>
  </si>
  <si>
    <t>December 2025</t>
  </si>
  <si>
    <t>September 2025</t>
  </si>
  <si>
    <t>Oktober 2025</t>
  </si>
  <si>
    <t>November 2025</t>
  </si>
  <si>
    <t>Aanschafkosten kaart</t>
  </si>
  <si>
    <t xml:space="preserve">Treinreizen </t>
  </si>
  <si>
    <t>Deur-tot-deur</t>
  </si>
  <si>
    <t>Bus, tram en metro</t>
  </si>
  <si>
    <t>Totaal</t>
  </si>
  <si>
    <t>06:30 - 9:00</t>
  </si>
  <si>
    <t>Dal</t>
  </si>
  <si>
    <t>16:00-18:30</t>
  </si>
  <si>
    <t>1361</t>
  </si>
  <si>
    <t>1347</t>
  </si>
  <si>
    <t>1234</t>
  </si>
  <si>
    <t>1284</t>
  </si>
  <si>
    <t>1322</t>
  </si>
  <si>
    <t>1122</t>
  </si>
  <si>
    <t>1243</t>
  </si>
  <si>
    <t>985</t>
  </si>
  <si>
    <t>1452</t>
  </si>
  <si>
    <t>1526</t>
  </si>
  <si>
    <t>1472</t>
  </si>
  <si>
    <t>1415</t>
  </si>
  <si>
    <t>Trein - Transacties</t>
  </si>
  <si>
    <t>Bus, tram en metro - Transacties</t>
  </si>
  <si>
    <t>1178</t>
  </si>
  <si>
    <t>338</t>
  </si>
  <si>
    <t>1277</t>
  </si>
  <si>
    <t>296</t>
  </si>
  <si>
    <t>1210</t>
  </si>
  <si>
    <t>263</t>
  </si>
  <si>
    <t>1156</t>
  </si>
  <si>
    <t>308</t>
  </si>
  <si>
    <t>1013</t>
  </si>
  <si>
    <t>305</t>
  </si>
  <si>
    <t>1055</t>
  </si>
  <si>
    <t>268</t>
  </si>
  <si>
    <t>929</t>
  </si>
  <si>
    <t>287</t>
  </si>
  <si>
    <t>756</t>
  </si>
  <si>
    <t>208</t>
  </si>
  <si>
    <t>1301</t>
  </si>
  <si>
    <t>300</t>
  </si>
  <si>
    <t>1366</t>
  </si>
  <si>
    <t>328</t>
  </si>
  <si>
    <t>1131</t>
  </si>
  <si>
    <t>235</t>
  </si>
  <si>
    <t>1279</t>
  </si>
  <si>
    <t>310</t>
  </si>
  <si>
    <t>9:00-16:00 &amp; 18:30-6:30</t>
  </si>
  <si>
    <t>De onderstaande tabel betreft de geschatte omvang van de Opdracht conform het Beschrijvend Document</t>
  </si>
  <si>
    <t>Deze tabel bevat de verhouding van reistijden van GGDrU</t>
  </si>
  <si>
    <t>Vervoerder</t>
  </si>
  <si>
    <t>Type vervoer</t>
  </si>
  <si>
    <t>Klasse</t>
  </si>
  <si>
    <t>Dag</t>
  </si>
  <si>
    <t>CI locatie</t>
  </si>
  <si>
    <t>CO locatie</t>
  </si>
  <si>
    <t>Prijs excl. btw</t>
  </si>
  <si>
    <t>BTW %</t>
  </si>
  <si>
    <t>Prijs incl. btw</t>
  </si>
  <si>
    <t>Naam kortingsproduct</t>
  </si>
  <si>
    <t>Korting %</t>
  </si>
  <si>
    <t>Prijs incl. btw -/- korting</t>
  </si>
  <si>
    <t>NS</t>
  </si>
  <si>
    <t>Treinreizen</t>
  </si>
  <si>
    <t>2e klas</t>
  </si>
  <si>
    <t>DO</t>
  </si>
  <si>
    <t>Utrecht Centraal</t>
  </si>
  <si>
    <t>Tiel</t>
  </si>
  <si>
    <t>Keolis</t>
  </si>
  <si>
    <t>Zeist, Jordanlaan</t>
  </si>
  <si>
    <t>DI</t>
  </si>
  <si>
    <t>WO</t>
  </si>
  <si>
    <t>MA</t>
  </si>
  <si>
    <t>VR</t>
  </si>
  <si>
    <t>Maandelijkse kosten kortingsproduct</t>
  </si>
  <si>
    <t>Ochtendspits</t>
  </si>
  <si>
    <t>Avondspits</t>
  </si>
  <si>
    <t>&lt;Naam invullen&gt;</t>
  </si>
  <si>
    <t>Waarde Gebruiker 1:</t>
  </si>
  <si>
    <t>Naam</t>
  </si>
  <si>
    <t>Prijs</t>
  </si>
  <si>
    <t>Kosten Gebruiker 1</t>
  </si>
  <si>
    <t>Waarde Gebruiker 1 + Totaalkosten maandelijks kortingsproduct</t>
  </si>
  <si>
    <t>Amersfoort</t>
  </si>
  <si>
    <t>Arnhem</t>
  </si>
  <si>
    <t>Eindhoven</t>
  </si>
  <si>
    <t>Bus/Tram/Metro</t>
  </si>
  <si>
    <t>Utrecht Science Park</t>
  </si>
  <si>
    <t>Station Amersfoort</t>
  </si>
  <si>
    <t>Gouda</t>
  </si>
  <si>
    <t>Tijd</t>
  </si>
  <si>
    <t>Houten</t>
  </si>
  <si>
    <t>Hilversum</t>
  </si>
  <si>
    <t>Woerden</t>
  </si>
  <si>
    <t>Waarde Gebruiker 5:</t>
  </si>
  <si>
    <t>Waarde Gebruiker 4:</t>
  </si>
  <si>
    <t>Waarde Gebruiker 3:</t>
  </si>
  <si>
    <t>Waarde Gebruiker 2:</t>
  </si>
  <si>
    <t>Waarde Gebruiker 6:</t>
  </si>
  <si>
    <t>Waarde Gebruiker 1 (=som (voltariefprijs -/- korting) + kosten kortingsproduct per maand incl btw)</t>
  </si>
  <si>
    <t>Waarde Gebruiker 2 (=som (voltariefprijs -/- korting) + kosten kortingsproduct per maand incl btw)</t>
  </si>
  <si>
    <t>Waarde Gebruiker 3 (=som (voltariefprijs -/- korting) + kosten kortingsproduct per maand incl btw)</t>
  </si>
  <si>
    <t>Waarde Gebruiker 4 (=som (voltariefprijs -/- korting) + kosten kortingsproduct per maand incl btw)</t>
  </si>
  <si>
    <t>Waarde Gebruiker 5 (=som (voltariefprijs -/- korting) + kosten kortingsproduct per maand incl btw)</t>
  </si>
  <si>
    <t>Waarde Gebruiker 6 (=som (voltariefprijs -/- korting) + kosten kortingsproduct per maand incl btw)</t>
  </si>
  <si>
    <t>Additionele korting over waarde dienstverlening plus waarde gebruikersreissom( percentage invullen. Minimaal is 0,00):</t>
  </si>
  <si>
    <t>Gebruikers</t>
  </si>
  <si>
    <t>Voltarief Reissom inclusief BTW</t>
  </si>
  <si>
    <t>Waarde</t>
  </si>
  <si>
    <t>Kortingen en abonnementsvormen</t>
  </si>
  <si>
    <t>Naam korting- /abonnementsproduct aangeboden in Inschrijfbiljet</t>
  </si>
  <si>
    <t>Korting</t>
  </si>
  <si>
    <t>Prijs per maand ex btw</t>
  </si>
  <si>
    <t>Btw %</t>
  </si>
  <si>
    <t xml:space="preserve">Nadere omschrijving en toelichting bij korting/abonnementsvorm </t>
  </si>
  <si>
    <t>6.</t>
  </si>
  <si>
    <t xml:space="preserve">7. </t>
  </si>
  <si>
    <t>9.</t>
  </si>
  <si>
    <t>*Aanvullende kortingen en/of abonnementsvormen</t>
  </si>
  <si>
    <t>■ U wordt gevraagt hieronder de kortingen en abonnementsvormen die u heeft ingezet bij de diverse Gebruikers op voorgaande tabbladen nader uit een te zetten.</t>
  </si>
  <si>
    <t>■ Aanvullend kunt u ook aanvullende kortingen en/of abonnementsvormen* opnemen welke niet zijn toegepast bij de diverse Gebruikers opgenomen in de Inschrijfbiljet, maar die u wel kunt aanbieden tijdens de uitvoering van de Raamovereenkomst.</t>
  </si>
  <si>
    <t>Totaalkosten Gebruikers voor additionele korting</t>
  </si>
  <si>
    <t>Totaalkosten Gebruikers Na additionele korting</t>
  </si>
  <si>
    <t>Kostenposten</t>
  </si>
  <si>
    <t>Totale fictieve maandelijkse waarde</t>
  </si>
  <si>
    <t>Voor initiele en/of vervangende fysieke kaart (per verbruiker incl. het versturen naar het opgegeven adres)</t>
  </si>
  <si>
    <t>Service en dienstverlening (w.o. klantenservice)</t>
  </si>
  <si>
    <t>Implementatie- en opstartkosten</t>
  </si>
  <si>
    <t xml:space="preserve">De onderstaande tabel bevat reisdata van GGDrU over het afgelopen jaar. Deze data is enkel gedeeld ter ondersteuning voor de marktpartijen om een zo goed mogelijk aanbod te doen. </t>
  </si>
  <si>
    <t>Transdev</t>
  </si>
  <si>
    <t>Zeist</t>
  </si>
  <si>
    <t>OV-fiets</t>
  </si>
  <si>
    <t>GGD locatie Amersfoort</t>
  </si>
  <si>
    <t>Amsterdam Zuid</t>
  </si>
  <si>
    <t>Amsterdam Amstel</t>
  </si>
  <si>
    <t>Rotterdam</t>
  </si>
  <si>
    <t>Driebergen-Zeist</t>
  </si>
  <si>
    <t>Kanaleneiland</t>
  </si>
  <si>
    <t>Stadshuis, Nieuwegein</t>
  </si>
  <si>
    <t>■ Deze kortingen en abonnementsvormen zijn vast gedurende contractperiode en daarmee onderdeel van de Raamovereenkomst. Per Gebruiker kan de korting en abonnementsvorm aangepast worden afhankelijk van gemaakte reizen. Belangrijk onderliggend doel is de optimalisatie van de totale OV-kosten voor AD.</t>
  </si>
  <si>
    <t>Profiel</t>
  </si>
  <si>
    <t>Gebruiker</t>
  </si>
  <si>
    <t>Transacties</t>
  </si>
  <si>
    <t>Aantal kaarthouders naar schatting</t>
  </si>
  <si>
    <t>Gebruiker 1 – Uitvoerend</t>
  </si>
  <si>
    <t>Hoog mobiel</t>
  </si>
  <si>
    <t>30–50</t>
  </si>
  <si>
    <t>Zeer hoog</t>
  </si>
  <si>
    <t>50+</t>
  </si>
  <si>
    <t>Gebruiker 3 – Beleidsmedewerker</t>
  </si>
  <si>
    <t>Middel</t>
  </si>
  <si>
    <t>20–30</t>
  </si>
  <si>
    <t>Gebruiker 4 – Hybride kantoor</t>
  </si>
  <si>
    <t>Middel/hoog</t>
  </si>
  <si>
    <t>30–40</t>
  </si>
  <si>
    <t>Gebruiker 5 – Parttime</t>
  </si>
  <si>
    <t>Laag</t>
  </si>
  <si>
    <t>1–15</t>
  </si>
  <si>
    <t xml:space="preserve">Gebruiker 2 – Kantoor </t>
  </si>
  <si>
    <t xml:space="preserve">Instructie invullen Prijzenblad
</t>
  </si>
  <si>
    <t>Deze tabel toont een schatting van het aantal mobiliteitskaarthouders per gebruikersprofiel van GGDrU</t>
  </si>
  <si>
    <t>Kosten Gebruiker 2</t>
  </si>
  <si>
    <t>Waarde Gebruiker 2 + Totaalkosten maandelijks kortingsproduct</t>
  </si>
  <si>
    <t>Kosten Gebruiker 3</t>
  </si>
  <si>
    <t>Waarde Gebruiker 3 + Totaalkosten maandelijks kortingsproduct</t>
  </si>
  <si>
    <t>Kosten Gebruiker 4</t>
  </si>
  <si>
    <t>Waarde Gebruiker 4 + Totaalkosten maandelijks kortingsproduct</t>
  </si>
  <si>
    <t>Kosten Gebruiker 5</t>
  </si>
  <si>
    <t>Waarde Gebruiker 5 + Totaalkosten maandelijks kortingsproduct</t>
  </si>
  <si>
    <t>Kosten Gebruiker 6</t>
  </si>
  <si>
    <t>Waarde Gebruiker 6 + Totaalkosten maandelijks kortingsproduct</t>
  </si>
  <si>
    <t>Mobiliteitskaarten (voor de 6 uitgevraagde profielen)</t>
  </si>
  <si>
    <t xml:space="preserve">Ondergetekende verklaart namens de Inschrijver de instructies te hebben gelezen en hiermee akkoord te gaan. Aldus rechtsgeldig ondertekend: </t>
  </si>
  <si>
    <t>Mobiliteitskaarten GGDrU</t>
  </si>
  <si>
    <r>
      <t xml:space="preserve">* All-in prijs per actieve </t>
    </r>
    <r>
      <rPr>
        <sz val="10"/>
        <rFont val="Verdana"/>
        <family val="2"/>
      </rPr>
      <t>mobiliteitskaart</t>
    </r>
    <r>
      <rPr>
        <b/>
        <sz val="10"/>
        <rFont val="Verdana"/>
        <family val="2"/>
      </rPr>
      <t xml:space="preserve"> (= Gebruiker), dit is dus inclusief maar niet uitsluitend onderstaande punten:</t>
    </r>
  </si>
  <si>
    <r>
      <t xml:space="preserve">maar </t>
    </r>
    <r>
      <rPr>
        <b/>
        <sz val="10"/>
        <rFont val="Verdana"/>
        <family val="2"/>
      </rPr>
      <t>exclusief</t>
    </r>
    <r>
      <rPr>
        <sz val="10"/>
        <rFont val="Verdana"/>
        <family val="2"/>
      </rPr>
      <t xml:space="preserve"> de daadwerkelijk gemaakte (bruto = voltarief) reiskosten, abonnementen en kortingen op reiskosten.</t>
    </r>
  </si>
  <si>
    <r>
      <rPr>
        <b/>
        <sz val="10"/>
        <rFont val="Verdana"/>
        <family val="2"/>
      </rPr>
      <t>LET OP 1:</t>
    </r>
    <r>
      <rPr>
        <sz val="10"/>
        <rFont val="Verdana"/>
        <family val="2"/>
      </rPr>
      <t xml:space="preserve"> AD accepteert geen andere kosten dan de prijs per mobiliteitskaart, naast uiteraard de daadwerkelijk gemaakte reiskosten.</t>
    </r>
  </si>
  <si>
    <r>
      <rPr>
        <b/>
        <sz val="10"/>
        <rFont val="Verdana"/>
        <family val="2"/>
      </rPr>
      <t>LET OP 2:</t>
    </r>
    <r>
      <rPr>
        <sz val="10"/>
        <rFont val="Verdana"/>
        <family val="2"/>
      </rPr>
      <t xml:space="preserve"> de all-in prijs per actieve mobiliteitskaart en de opgegeven kortingen- en abonnementsvormen (tabblad Kortingen) zijn vast gedurende contractperiode. Er vindt geen indexatie dan wel aanpassing hierop plaats. </t>
    </r>
  </si>
  <si>
    <r>
      <rPr>
        <b/>
        <sz val="10"/>
        <color theme="1"/>
        <rFont val="Verdana"/>
        <family val="2"/>
      </rPr>
      <t>Alle in deze bijlage vermelde hoeveelheden zijn indicatief; hieraan kunnen geen rechten worden ontleend.</t>
    </r>
    <r>
      <rPr>
        <sz val="10"/>
        <color theme="1"/>
        <rFont val="Verdana"/>
        <family val="2"/>
      </rPr>
      <t xml:space="preserve">
U</t>
    </r>
    <r>
      <rPr>
        <b/>
        <sz val="10"/>
        <color theme="1"/>
        <rFont val="Verdana"/>
        <family val="2"/>
      </rPr>
      <t xml:space="preserve"> </t>
    </r>
    <r>
      <rPr>
        <sz val="10"/>
        <color theme="1"/>
        <rFont val="Verdana"/>
        <family val="2"/>
      </rPr>
      <t>dient alleen het groen-kleurige veld in te vullen tot twee</t>
    </r>
    <r>
      <rPr>
        <b/>
        <sz val="10"/>
        <color theme="1"/>
        <rFont val="Verdana"/>
        <family val="2"/>
      </rPr>
      <t xml:space="preserve"> </t>
    </r>
    <r>
      <rPr>
        <sz val="10"/>
        <color theme="1"/>
        <rFont val="Verdana"/>
        <family val="2"/>
      </rPr>
      <t xml:space="preserve">cijfers achter de komma; de hier in te vullen prijzen zijn netto. </t>
    </r>
    <r>
      <rPr>
        <i/>
        <sz val="10"/>
        <color theme="1"/>
        <rFont val="Verdana"/>
        <family val="2"/>
      </rPr>
      <t xml:space="preserve">VB: 1,00 (%)
</t>
    </r>
    <r>
      <rPr>
        <sz val="10"/>
        <color theme="1"/>
        <rFont val="Verdana"/>
        <family val="2"/>
      </rPr>
      <t xml:space="preserve">
U dient in het groene veld slechts de Stukprijs in te voeren. Hierna zal deze automatisch verekend worden tegen het indicatieve aantal. </t>
    </r>
  </si>
  <si>
    <t xml:space="preserve">All-in prijs per actieve mobiliteitskaart (= Gebruiker) per maand * </t>
  </si>
  <si>
    <t>Bijlage 2 - Prijzenblad</t>
  </si>
  <si>
    <t>Deelfiets - Transacties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</si>
</sst>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 &quot;€&quot;\ * #,##0.00_ ;_ &quot;€&quot;\ * \-#,##0.00_ ;_ &quot;€&quot;\ * &quot;-&quot;??_ ;_ @_ "/>
    <numFmt numFmtId="164" formatCode="_ &quot;€&quot;\ * #,##0.0000_ ;_ &quot;€&quot;\ * \-#,##0.0000_ ;_ &quot;€&quot;\ * &quot;-&quot;??_ ;_ @_ "/>
    <numFmt numFmtId="165" formatCode="&quot;€&quot;\ #,##0.00"/>
    <numFmt numFmtId="166" formatCode="_ [$€-2]\ * #,##0.00_ ;_ [$€-2]\ * \-#,##0.00_ ;_ [$€-2]\ * &quot;-&quot;??_ ;_ @_ "/>
  </numFmts>
  <fonts count="37" x14ac:knownFonts="1">
    <font>
      <sz val="11"/>
      <color theme="1"/>
      <name val="Aptos Narrow"/>
      <family val="2"/>
      <scheme val="minor"/>
    </font>
    <font>
      <sz val="10"/>
      <color theme="1"/>
      <name val="Verdana"/>
      <family val="2"/>
    </font>
    <font>
      <sz val="10"/>
      <color theme="1"/>
      <name val="Verdana"/>
      <family val="2"/>
    </font>
    <font>
      <sz val="10"/>
      <color theme="1"/>
      <name val="Verdana"/>
      <family val="2"/>
    </font>
    <font>
      <b/>
      <sz val="11"/>
      <color theme="0"/>
      <name val="Aptos Narrow"/>
      <family val="2"/>
      <scheme val="minor"/>
    </font>
    <font>
      <b/>
      <sz val="11"/>
      <color theme="1"/>
      <name val="Aptos Narrow"/>
      <family val="2"/>
      <scheme val="minor"/>
    </font>
    <font>
      <b/>
      <sz val="10"/>
      <color theme="0"/>
      <name val="Arial"/>
      <family val="2"/>
    </font>
    <font>
      <b/>
      <sz val="10"/>
      <color theme="1"/>
      <name val="Arial"/>
      <family val="2"/>
    </font>
    <font>
      <sz val="10"/>
      <color theme="1"/>
      <name val="Arial"/>
      <family val="2"/>
    </font>
    <font>
      <sz val="10"/>
      <name val="Arial"/>
      <family val="2"/>
    </font>
    <font>
      <sz val="11"/>
      <color theme="1"/>
      <name val="Aptos Narrow"/>
      <family val="2"/>
      <scheme val="minor"/>
    </font>
    <font>
      <sz val="10"/>
      <color theme="0"/>
      <name val="Arial"/>
      <family val="2"/>
    </font>
    <font>
      <sz val="11"/>
      <name val="Calibri"/>
      <family val="2"/>
    </font>
    <font>
      <b/>
      <sz val="10"/>
      <color theme="0"/>
      <name val="Verdana"/>
      <family val="2"/>
    </font>
    <font>
      <b/>
      <sz val="10"/>
      <color theme="1"/>
      <name val="Verdana"/>
      <family val="2"/>
    </font>
    <font>
      <sz val="10"/>
      <color theme="0"/>
      <name val="Verdana"/>
      <family val="2"/>
    </font>
    <font>
      <sz val="11"/>
      <color theme="0"/>
      <name val="Aptos Narrow"/>
      <family val="2"/>
      <scheme val="minor"/>
    </font>
    <font>
      <b/>
      <sz val="8"/>
      <color rgb="FFFFFFFF"/>
      <name val="Verdana"/>
      <family val="2"/>
    </font>
    <font>
      <sz val="8"/>
      <name val="Aptos Narrow"/>
      <family val="2"/>
      <scheme val="minor"/>
    </font>
    <font>
      <b/>
      <sz val="10"/>
      <color rgb="FFFFFFFF"/>
      <name val="Verdana"/>
      <family val="2"/>
    </font>
    <font>
      <b/>
      <sz val="10"/>
      <color rgb="FF000000"/>
      <name val="Verdana"/>
      <family val="2"/>
    </font>
    <font>
      <sz val="11"/>
      <color rgb="FF000000"/>
      <name val="Calibri"/>
      <family val="2"/>
    </font>
    <font>
      <sz val="11"/>
      <color theme="0"/>
      <name val="Calibri"/>
      <family val="2"/>
    </font>
    <font>
      <b/>
      <sz val="11"/>
      <color theme="0"/>
      <name val="Calibri"/>
      <family val="2"/>
    </font>
    <font>
      <b/>
      <sz val="11"/>
      <color rgb="FFFFFFFF"/>
      <name val="Calibri"/>
      <family val="2"/>
    </font>
    <font>
      <sz val="11"/>
      <color rgb="FF000000"/>
      <name val="Aptos Narrow"/>
      <family val="2"/>
      <scheme val="minor"/>
    </font>
    <font>
      <b/>
      <sz val="11"/>
      <color rgb="FFFFFFFF"/>
      <name val="Aptos Narrow"/>
      <family val="2"/>
      <scheme val="minor"/>
    </font>
    <font>
      <sz val="11"/>
      <color rgb="FFFFFFFF"/>
      <name val="Aptos Narrow"/>
      <family val="2"/>
      <scheme val="minor"/>
    </font>
    <font>
      <b/>
      <sz val="11"/>
      <color rgb="FF000000"/>
      <name val="Aptos Narrow"/>
      <family val="2"/>
      <scheme val="minor"/>
    </font>
    <font>
      <sz val="10"/>
      <name val="Verdana"/>
      <family val="2"/>
    </font>
    <font>
      <i/>
      <sz val="10"/>
      <color theme="1"/>
      <name val="Verdana"/>
      <family val="2"/>
    </font>
    <font>
      <sz val="10"/>
      <color rgb="FF000000"/>
      <name val="Verdana"/>
      <family val="2"/>
    </font>
    <font>
      <sz val="10"/>
      <color rgb="FFFFFFFF"/>
      <name val="Verdana"/>
      <family val="2"/>
    </font>
    <font>
      <b/>
      <sz val="10"/>
      <name val="Verdana"/>
      <family val="2"/>
    </font>
    <font>
      <b/>
      <sz val="8"/>
      <color theme="1"/>
      <name val="Verdana"/>
      <family val="2"/>
    </font>
    <font>
      <sz val="8"/>
      <color theme="1"/>
      <name val="Verdana"/>
      <family val="2"/>
    </font>
    <font>
      <b/>
      <sz val="8"/>
      <color rgb="FF000000"/>
      <name val="Verdana"/>
      <family val="2"/>
    </font>
  </fonts>
  <fills count="15">
    <fill>
      <patternFill patternType="none"/>
    </fill>
    <fill>
      <patternFill patternType="gray125"/>
    </fill>
    <fill>
      <patternFill patternType="solid">
        <fgColor rgb="FF79146A"/>
        <bgColor indexed="64"/>
      </patternFill>
    </fill>
    <fill>
      <patternFill patternType="solid">
        <fgColor theme="9" tint="0.79998168889431442"/>
        <bgColor indexed="64"/>
      </patternFill>
    </fill>
    <fill>
      <patternFill patternType="solid">
        <fgColor rgb="FFCFB5D1"/>
        <bgColor indexed="64"/>
      </patternFill>
    </fill>
    <fill>
      <patternFill patternType="solid">
        <fgColor theme="8" tint="0.79998168889431442"/>
        <bgColor indexed="64"/>
      </patternFill>
    </fill>
    <fill>
      <patternFill patternType="solid">
        <fgColor rgb="FF70076F"/>
        <bgColor indexed="64"/>
      </patternFill>
    </fill>
    <fill>
      <patternFill patternType="solid">
        <fgColor rgb="FFFFFF00"/>
        <bgColor indexed="64"/>
      </patternFill>
    </fill>
    <fill>
      <patternFill patternType="solid">
        <fgColor rgb="FFF2CEEF"/>
        <bgColor rgb="FFF2CEEF"/>
      </patternFill>
    </fill>
    <fill>
      <patternFill patternType="solid">
        <fgColor rgb="FF70076F"/>
        <bgColor rgb="FF000000"/>
      </patternFill>
    </fill>
    <fill>
      <patternFill patternType="solid">
        <fgColor rgb="FFDAF2D0"/>
        <bgColor rgb="FF000000"/>
      </patternFill>
    </fill>
    <fill>
      <patternFill patternType="solid">
        <fgColor rgb="FF79146A"/>
        <bgColor rgb="FF000000"/>
      </patternFill>
    </fill>
    <fill>
      <patternFill patternType="solid">
        <fgColor rgb="FFFFFF00"/>
        <bgColor rgb="FF000000"/>
      </patternFill>
    </fill>
    <fill>
      <patternFill patternType="solid">
        <fgColor theme="0"/>
        <bgColor indexed="64"/>
      </patternFill>
    </fill>
    <fill>
      <patternFill patternType="solid">
        <fgColor rgb="FFCFB5D1"/>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bottom style="thin">
        <color theme="8"/>
      </bottom>
      <diagonal/>
    </border>
    <border>
      <left style="thin">
        <color theme="8" tint="0.39997558519241921"/>
      </left>
      <right/>
      <top/>
      <bottom style="thin">
        <color theme="8" tint="0.39997558519241921"/>
      </bottom>
      <diagonal/>
    </border>
    <border>
      <left/>
      <right/>
      <top/>
      <bottom style="thin">
        <color theme="8" tint="0.39997558519241921"/>
      </bottom>
      <diagonal/>
    </border>
    <border>
      <left/>
      <right style="thin">
        <color theme="8" tint="0.3999755851924192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0" fontId="9" fillId="0" borderId="0"/>
    <xf numFmtId="44" fontId="10" fillId="0" borderId="0" applyFont="0" applyFill="0" applyBorder="0" applyAlignment="0" applyProtection="0"/>
    <xf numFmtId="0" fontId="12" fillId="0" borderId="0"/>
    <xf numFmtId="44" fontId="12" fillId="0" borderId="0" applyFont="0" applyFill="0" applyBorder="0" applyAlignment="0" applyProtection="0"/>
    <xf numFmtId="0" fontId="8" fillId="0" borderId="0"/>
    <xf numFmtId="9" fontId="12" fillId="0" borderId="0" applyFont="0" applyFill="0" applyBorder="0" applyAlignment="0" applyProtection="0"/>
    <xf numFmtId="9" fontId="10" fillId="0" borderId="0" applyFont="0" applyFill="0" applyBorder="0" applyAlignment="0" applyProtection="0"/>
  </cellStyleXfs>
  <cellXfs count="171">
    <xf numFmtId="0" fontId="0" fillId="0" borderId="0" xfId="0"/>
    <xf numFmtId="0" fontId="4" fillId="2" borderId="0" xfId="0" applyFont="1" applyFill="1"/>
    <xf numFmtId="0" fontId="7" fillId="0" borderId="0" xfId="0" applyFont="1"/>
    <xf numFmtId="0" fontId="8" fillId="0" borderId="0" xfId="0" applyFont="1"/>
    <xf numFmtId="0" fontId="8" fillId="0" borderId="0" xfId="0" applyFont="1" applyAlignment="1">
      <alignment wrapText="1"/>
    </xf>
    <xf numFmtId="0" fontId="0" fillId="2" borderId="0" xfId="0" applyFill="1"/>
    <xf numFmtId="0" fontId="0" fillId="0" borderId="1" xfId="0" applyBorder="1"/>
    <xf numFmtId="0" fontId="11" fillId="2" borderId="1" xfId="0" applyFont="1" applyFill="1" applyBorder="1" applyAlignment="1">
      <alignment vertical="top"/>
    </xf>
    <xf numFmtId="0" fontId="11" fillId="2" borderId="1" xfId="0" applyFont="1" applyFill="1" applyBorder="1"/>
    <xf numFmtId="0" fontId="3" fillId="0" borderId="0" xfId="0" applyFont="1"/>
    <xf numFmtId="0" fontId="9" fillId="0" borderId="1" xfId="1" applyBorder="1" applyAlignment="1">
      <alignment horizontal="right"/>
    </xf>
    <xf numFmtId="2" fontId="9" fillId="0" borderId="1" xfId="1" applyNumberFormat="1" applyBorder="1" applyAlignment="1">
      <alignment horizontal="right"/>
    </xf>
    <xf numFmtId="0" fontId="9" fillId="0" borderId="13" xfId="1" applyBorder="1" applyAlignment="1">
      <alignment horizontal="right"/>
    </xf>
    <xf numFmtId="0" fontId="9" fillId="0" borderId="14" xfId="1" applyBorder="1" applyAlignment="1">
      <alignment horizontal="right"/>
    </xf>
    <xf numFmtId="0" fontId="9" fillId="0" borderId="15" xfId="1" applyBorder="1" applyAlignment="1">
      <alignment horizontal="right"/>
    </xf>
    <xf numFmtId="0" fontId="9" fillId="0" borderId="16" xfId="1" applyBorder="1" applyAlignment="1">
      <alignment horizontal="right"/>
    </xf>
    <xf numFmtId="0" fontId="9" fillId="0" borderId="17" xfId="1" applyBorder="1" applyAlignment="1">
      <alignment horizontal="right"/>
    </xf>
    <xf numFmtId="2" fontId="9" fillId="0" borderId="16" xfId="1" applyNumberFormat="1" applyBorder="1" applyAlignment="1">
      <alignment horizontal="right"/>
    </xf>
    <xf numFmtId="0" fontId="3" fillId="0" borderId="0" xfId="0" applyFont="1" applyAlignment="1">
      <alignment vertical="center" wrapText="1"/>
    </xf>
    <xf numFmtId="0" fontId="6" fillId="6" borderId="10" xfId="1" applyFont="1" applyFill="1" applyBorder="1" applyAlignment="1">
      <alignment horizontal="right"/>
    </xf>
    <xf numFmtId="0" fontId="6" fillId="6" borderId="11" xfId="1" applyFont="1" applyFill="1" applyBorder="1" applyAlignment="1">
      <alignment horizontal="right"/>
    </xf>
    <xf numFmtId="0" fontId="6" fillId="6" borderId="11" xfId="0" applyFont="1" applyFill="1" applyBorder="1" applyAlignment="1">
      <alignment horizontal="right"/>
    </xf>
    <xf numFmtId="0" fontId="6" fillId="6" borderId="12" xfId="1" applyFont="1" applyFill="1" applyBorder="1" applyAlignment="1">
      <alignment horizontal="right"/>
    </xf>
    <xf numFmtId="9" fontId="0" fillId="0" borderId="1" xfId="0" applyNumberFormat="1" applyBorder="1"/>
    <xf numFmtId="0" fontId="4" fillId="6" borderId="1" xfId="0" applyFont="1" applyFill="1" applyBorder="1"/>
    <xf numFmtId="0" fontId="3" fillId="0" borderId="18" xfId="0" applyFont="1" applyBorder="1" applyAlignment="1">
      <alignment vertical="center" wrapText="1"/>
    </xf>
    <xf numFmtId="0" fontId="21" fillId="0" borderId="0" xfId="0" applyFont="1"/>
    <xf numFmtId="0" fontId="22" fillId="6" borderId="0" xfId="0" applyFont="1" applyFill="1"/>
    <xf numFmtId="0" fontId="21" fillId="2" borderId="0" xfId="0" applyFont="1" applyFill="1"/>
    <xf numFmtId="0" fontId="23" fillId="2" borderId="0" xfId="0" applyFont="1" applyFill="1"/>
    <xf numFmtId="166" fontId="23" fillId="2" borderId="0" xfId="0" applyNumberFormat="1" applyFont="1" applyFill="1"/>
    <xf numFmtId="166" fontId="23" fillId="6" borderId="0" xfId="0" applyNumberFormat="1" applyFont="1" applyFill="1"/>
    <xf numFmtId="0" fontId="4" fillId="6" borderId="0" xfId="0" applyFont="1" applyFill="1"/>
    <xf numFmtId="0" fontId="16" fillId="2" borderId="0" xfId="0" applyFont="1" applyFill="1"/>
    <xf numFmtId="165" fontId="4" fillId="2" borderId="0" xfId="0" applyNumberFormat="1" applyFont="1" applyFill="1"/>
    <xf numFmtId="0" fontId="0" fillId="0" borderId="0" xfId="0" applyAlignment="1">
      <alignment wrapText="1"/>
    </xf>
    <xf numFmtId="166" fontId="5" fillId="7" borderId="0" xfId="0" applyNumberFormat="1" applyFont="1" applyFill="1"/>
    <xf numFmtId="0" fontId="24" fillId="9" borderId="0" xfId="0" applyFont="1" applyFill="1"/>
    <xf numFmtId="0" fontId="25" fillId="0" borderId="0" xfId="0" applyFont="1"/>
    <xf numFmtId="0" fontId="23" fillId="6" borderId="0" xfId="0" applyFont="1" applyFill="1"/>
    <xf numFmtId="0" fontId="26" fillId="9" borderId="0" xfId="0" applyFont="1" applyFill="1"/>
    <xf numFmtId="0" fontId="25" fillId="0" borderId="1" xfId="0" applyFont="1" applyBorder="1"/>
    <xf numFmtId="0" fontId="26" fillId="11" borderId="0" xfId="0" applyFont="1" applyFill="1"/>
    <xf numFmtId="0" fontId="27" fillId="11" borderId="0" xfId="0" applyFont="1" applyFill="1"/>
    <xf numFmtId="8" fontId="26" fillId="11" borderId="0" xfId="0" applyNumberFormat="1" applyFont="1" applyFill="1"/>
    <xf numFmtId="0" fontId="25" fillId="11" borderId="0" xfId="0" applyFont="1" applyFill="1"/>
    <xf numFmtId="0" fontId="25" fillId="0" borderId="0" xfId="0" applyFont="1" applyAlignment="1">
      <alignment wrapText="1"/>
    </xf>
    <xf numFmtId="0" fontId="21" fillId="9" borderId="0" xfId="0" applyFont="1" applyFill="1"/>
    <xf numFmtId="44" fontId="24" fillId="9" borderId="0" xfId="0" applyNumberFormat="1" applyFont="1" applyFill="1"/>
    <xf numFmtId="0" fontId="23" fillId="6" borderId="20" xfId="0" applyFont="1" applyFill="1" applyBorder="1"/>
    <xf numFmtId="0" fontId="23" fillId="6" borderId="21" xfId="0" applyFont="1" applyFill="1" applyBorder="1"/>
    <xf numFmtId="0" fontId="23" fillId="6" borderId="22" xfId="0" applyFont="1" applyFill="1" applyBorder="1"/>
    <xf numFmtId="44" fontId="28" fillId="12" borderId="0" xfId="0" applyNumberFormat="1" applyFont="1" applyFill="1"/>
    <xf numFmtId="0" fontId="29" fillId="0" borderId="1" xfId="0" applyFont="1" applyBorder="1" applyAlignment="1">
      <alignment wrapText="1"/>
    </xf>
    <xf numFmtId="165" fontId="14" fillId="7" borderId="1" xfId="0" applyNumberFormat="1" applyFont="1" applyFill="1" applyBorder="1"/>
    <xf numFmtId="165" fontId="30" fillId="4" borderId="1" xfId="0" applyNumberFormat="1" applyFont="1" applyFill="1" applyBorder="1"/>
    <xf numFmtId="0" fontId="14" fillId="5" borderId="3" xfId="0" applyFont="1" applyFill="1" applyBorder="1"/>
    <xf numFmtId="165" fontId="14" fillId="5" borderId="3" xfId="0" applyNumberFormat="1" applyFont="1" applyFill="1" applyBorder="1"/>
    <xf numFmtId="0" fontId="31" fillId="0" borderId="0" xfId="0" applyFont="1"/>
    <xf numFmtId="166" fontId="31" fillId="0" borderId="0" xfId="0" applyNumberFormat="1" applyFont="1"/>
    <xf numFmtId="9" fontId="31" fillId="0" borderId="0" xfId="7" applyFont="1"/>
    <xf numFmtId="0" fontId="13" fillId="6" borderId="19" xfId="0" applyFont="1" applyFill="1" applyBorder="1"/>
    <xf numFmtId="0" fontId="13" fillId="6" borderId="0" xfId="0" applyFont="1" applyFill="1"/>
    <xf numFmtId="9" fontId="31" fillId="0" borderId="0" xfId="0" applyNumberFormat="1" applyFont="1"/>
    <xf numFmtId="44" fontId="31" fillId="0" borderId="0" xfId="2" applyFont="1"/>
    <xf numFmtId="44" fontId="3" fillId="0" borderId="0" xfId="2" applyFont="1"/>
    <xf numFmtId="44" fontId="31" fillId="8" borderId="0" xfId="2" applyFont="1" applyFill="1"/>
    <xf numFmtId="0" fontId="19" fillId="11" borderId="0" xfId="0" applyFont="1" applyFill="1"/>
    <xf numFmtId="0" fontId="31" fillId="11" borderId="0" xfId="0" applyFont="1" applyFill="1"/>
    <xf numFmtId="166" fontId="19" fillId="11" borderId="0" xfId="0" applyNumberFormat="1" applyFont="1" applyFill="1"/>
    <xf numFmtId="0" fontId="19" fillId="9" borderId="0" xfId="0" applyFont="1" applyFill="1"/>
    <xf numFmtId="0" fontId="31" fillId="0" borderId="1" xfId="0" applyFont="1" applyBorder="1"/>
    <xf numFmtId="0" fontId="32" fillId="11" borderId="0" xfId="0" applyFont="1" applyFill="1"/>
    <xf numFmtId="8" fontId="19" fillId="11" borderId="0" xfId="0" applyNumberFormat="1" applyFont="1" applyFill="1"/>
    <xf numFmtId="0" fontId="31" fillId="0" borderId="0" xfId="0" applyFont="1" applyAlignment="1">
      <alignment wrapText="1"/>
    </xf>
    <xf numFmtId="8" fontId="20" fillId="12" borderId="0" xfId="0" applyNumberFormat="1" applyFont="1" applyFill="1"/>
    <xf numFmtId="0" fontId="13" fillId="2" borderId="0" xfId="0" applyFont="1" applyFill="1"/>
    <xf numFmtId="20" fontId="31" fillId="0" borderId="0" xfId="0" applyNumberFormat="1" applyFont="1"/>
    <xf numFmtId="165" fontId="31" fillId="0" borderId="0" xfId="0" applyNumberFormat="1" applyFont="1"/>
    <xf numFmtId="8" fontId="19" fillId="9" borderId="0" xfId="0" applyNumberFormat="1" applyFont="1" applyFill="1"/>
    <xf numFmtId="0" fontId="15" fillId="6" borderId="0" xfId="0" applyFont="1" applyFill="1"/>
    <xf numFmtId="0" fontId="31" fillId="9" borderId="0" xfId="0" applyFont="1" applyFill="1"/>
    <xf numFmtId="44" fontId="19" fillId="9" borderId="0" xfId="0" applyNumberFormat="1" applyFont="1" applyFill="1"/>
    <xf numFmtId="0" fontId="13" fillId="6" borderId="20" xfId="0" applyFont="1" applyFill="1" applyBorder="1"/>
    <xf numFmtId="0" fontId="13" fillId="6" borderId="21" xfId="0" applyFont="1" applyFill="1" applyBorder="1"/>
    <xf numFmtId="0" fontId="13" fillId="6" borderId="22" xfId="0" applyFont="1" applyFill="1" applyBorder="1"/>
    <xf numFmtId="44" fontId="20" fillId="12" borderId="0" xfId="0" applyNumberFormat="1" applyFont="1" applyFill="1"/>
    <xf numFmtId="0" fontId="29" fillId="0" borderId="0" xfId="0" applyFont="1"/>
    <xf numFmtId="0" fontId="29" fillId="0" borderId="0" xfId="0" applyFont="1" applyAlignment="1">
      <alignment vertical="top" wrapText="1"/>
    </xf>
    <xf numFmtId="0" fontId="13" fillId="6" borderId="25" xfId="0" applyFont="1" applyFill="1" applyBorder="1"/>
    <xf numFmtId="0" fontId="13" fillId="6" borderId="1" xfId="0" applyFont="1" applyFill="1" applyBorder="1"/>
    <xf numFmtId="0" fontId="29" fillId="3" borderId="1" xfId="0" applyFont="1" applyFill="1" applyBorder="1" applyProtection="1">
      <protection locked="0"/>
    </xf>
    <xf numFmtId="0" fontId="15" fillId="6" borderId="1" xfId="0" applyFont="1" applyFill="1" applyBorder="1"/>
    <xf numFmtId="165" fontId="29" fillId="3" borderId="1" xfId="0" applyNumberFormat="1" applyFont="1" applyFill="1" applyBorder="1" applyProtection="1">
      <protection locked="0"/>
    </xf>
    <xf numFmtId="10" fontId="29" fillId="3" borderId="1" xfId="0" applyNumberFormat="1" applyFont="1" applyFill="1" applyBorder="1" applyProtection="1">
      <protection locked="0"/>
    </xf>
    <xf numFmtId="8" fontId="31" fillId="0" borderId="0" xfId="2" applyNumberFormat="1" applyFont="1"/>
    <xf numFmtId="8" fontId="31" fillId="8" borderId="0" xfId="2" applyNumberFormat="1" applyFont="1" applyFill="1"/>
    <xf numFmtId="8" fontId="3" fillId="0" borderId="0" xfId="2" applyNumberFormat="1" applyFont="1"/>
    <xf numFmtId="8" fontId="31" fillId="0" borderId="0" xfId="0" applyNumberFormat="1" applyFont="1"/>
    <xf numFmtId="166" fontId="4" fillId="9" borderId="0" xfId="0" applyNumberFormat="1" applyFont="1" applyFill="1"/>
    <xf numFmtId="165" fontId="31" fillId="0" borderId="0" xfId="2" applyNumberFormat="1" applyFont="1"/>
    <xf numFmtId="0" fontId="6" fillId="2" borderId="1" xfId="1" applyFont="1" applyFill="1" applyBorder="1" applyAlignment="1">
      <alignment wrapText="1"/>
    </xf>
    <xf numFmtId="0" fontId="6" fillId="2" borderId="1" xfId="1" applyFont="1" applyFill="1" applyBorder="1" applyAlignment="1">
      <alignment horizontal="left" vertical="top" wrapText="1"/>
    </xf>
    <xf numFmtId="0" fontId="9" fillId="3" borderId="1" xfId="1" applyFill="1" applyBorder="1" applyAlignment="1" applyProtection="1">
      <alignment horizontal="center" wrapText="1"/>
      <protection locked="0"/>
    </xf>
    <xf numFmtId="166" fontId="33" fillId="4" borderId="1" xfId="0" applyNumberFormat="1" applyFont="1" applyFill="1" applyBorder="1"/>
    <xf numFmtId="0" fontId="31" fillId="3" borderId="1" xfId="0" applyFont="1" applyFill="1" applyBorder="1" applyProtection="1">
      <protection locked="0"/>
    </xf>
    <xf numFmtId="10" fontId="31" fillId="3" borderId="1" xfId="7" applyNumberFormat="1" applyFont="1" applyFill="1" applyBorder="1" applyProtection="1">
      <protection locked="0"/>
    </xf>
    <xf numFmtId="0" fontId="21" fillId="3" borderId="1" xfId="0" applyFont="1" applyFill="1" applyBorder="1" applyProtection="1">
      <protection locked="0"/>
    </xf>
    <xf numFmtId="165" fontId="0" fillId="3" borderId="1" xfId="0" applyNumberFormat="1" applyFill="1" applyBorder="1" applyProtection="1">
      <protection locked="0"/>
    </xf>
    <xf numFmtId="166" fontId="20" fillId="14" borderId="1" xfId="0" applyNumberFormat="1" applyFont="1" applyFill="1" applyBorder="1"/>
    <xf numFmtId="0" fontId="31" fillId="10" borderId="1" xfId="0" applyFont="1" applyFill="1" applyBorder="1" applyProtection="1">
      <protection locked="0"/>
    </xf>
    <xf numFmtId="10" fontId="31" fillId="10" borderId="1" xfId="0" applyNumberFormat="1" applyFont="1" applyFill="1" applyBorder="1" applyProtection="1">
      <protection locked="0"/>
    </xf>
    <xf numFmtId="8" fontId="31" fillId="10" borderId="1" xfId="0" applyNumberFormat="1" applyFont="1" applyFill="1" applyBorder="1" applyProtection="1">
      <protection locked="0"/>
    </xf>
    <xf numFmtId="8" fontId="33" fillId="14" borderId="1" xfId="0" applyNumberFormat="1" applyFont="1" applyFill="1" applyBorder="1"/>
    <xf numFmtId="44" fontId="33" fillId="14" borderId="1" xfId="0" applyNumberFormat="1" applyFont="1" applyFill="1" applyBorder="1"/>
    <xf numFmtId="0" fontId="21" fillId="10" borderId="1" xfId="0" applyFont="1" applyFill="1" applyBorder="1" applyProtection="1">
      <protection locked="0"/>
    </xf>
    <xf numFmtId="8" fontId="25" fillId="10" borderId="1" xfId="0" applyNumberFormat="1" applyFont="1" applyFill="1" applyBorder="1" applyProtection="1">
      <protection locked="0"/>
    </xf>
    <xf numFmtId="0" fontId="29" fillId="4" borderId="0" xfId="0" applyFont="1" applyFill="1"/>
    <xf numFmtId="0" fontId="17" fillId="6" borderId="26" xfId="0" applyFont="1" applyFill="1" applyBorder="1" applyAlignment="1">
      <alignment vertical="center" wrapText="1"/>
    </xf>
    <xf numFmtId="0" fontId="17" fillId="6" borderId="27" xfId="0" applyFont="1" applyFill="1" applyBorder="1" applyAlignment="1">
      <alignment vertical="center" wrapText="1"/>
    </xf>
    <xf numFmtId="0" fontId="17" fillId="6" borderId="28" xfId="0" applyFont="1" applyFill="1" applyBorder="1" applyAlignment="1">
      <alignment vertical="center" wrapText="1"/>
    </xf>
    <xf numFmtId="0" fontId="2" fillId="0" borderId="0" xfId="0" applyFont="1"/>
    <xf numFmtId="0" fontId="34" fillId="0" borderId="7" xfId="0" applyFont="1" applyBorder="1" applyAlignment="1">
      <alignment vertical="center" wrapText="1"/>
    </xf>
    <xf numFmtId="8" fontId="35" fillId="0" borderId="0" xfId="0" applyNumberFormat="1" applyFont="1" applyAlignment="1">
      <alignment vertical="center" wrapText="1"/>
    </xf>
    <xf numFmtId="8" fontId="35" fillId="0" borderId="8" xfId="0" applyNumberFormat="1" applyFont="1" applyBorder="1" applyAlignment="1">
      <alignment vertical="center" wrapText="1"/>
    </xf>
    <xf numFmtId="8" fontId="36" fillId="0" borderId="0" xfId="0" applyNumberFormat="1" applyFont="1" applyAlignment="1">
      <alignment vertical="center" wrapText="1"/>
    </xf>
    <xf numFmtId="0" fontId="17" fillId="6" borderId="5" xfId="0" applyFont="1" applyFill="1" applyBorder="1" applyAlignment="1">
      <alignment vertical="center" wrapText="1"/>
    </xf>
    <xf numFmtId="0" fontId="13" fillId="6" borderId="2" xfId="0" applyFont="1" applyFill="1" applyBorder="1"/>
    <xf numFmtId="0" fontId="2" fillId="0" borderId="1" xfId="0" applyFont="1" applyBorder="1"/>
    <xf numFmtId="0" fontId="2" fillId="0" borderId="1" xfId="0" applyFont="1" applyBorder="1" applyAlignment="1">
      <alignment wrapText="1"/>
    </xf>
    <xf numFmtId="10" fontId="2" fillId="3" borderId="1" xfId="0" applyNumberFormat="1" applyFont="1" applyFill="1" applyBorder="1" applyProtection="1">
      <protection locked="0"/>
    </xf>
    <xf numFmtId="0" fontId="29" fillId="0" borderId="18" xfId="0" applyFont="1" applyBorder="1"/>
    <xf numFmtId="0" fontId="33" fillId="0" borderId="0" xfId="0" applyFont="1"/>
    <xf numFmtId="0" fontId="2" fillId="13" borderId="0" xfId="0" applyFont="1" applyFill="1"/>
    <xf numFmtId="0" fontId="2" fillId="6" borderId="0" xfId="0" applyFont="1" applyFill="1"/>
    <xf numFmtId="0" fontId="2" fillId="2" borderId="0" xfId="0" applyFont="1" applyFill="1"/>
    <xf numFmtId="165" fontId="2" fillId="3" borderId="1" xfId="2" applyNumberFormat="1" applyFont="1" applyFill="1" applyBorder="1" applyProtection="1">
      <protection locked="0"/>
    </xf>
    <xf numFmtId="44" fontId="2" fillId="0" borderId="1" xfId="2" applyFont="1" applyBorder="1"/>
    <xf numFmtId="0" fontId="2" fillId="5" borderId="3" xfId="0" applyFont="1" applyFill="1" applyBorder="1"/>
    <xf numFmtId="164" fontId="2" fillId="5" borderId="3" xfId="0" applyNumberFormat="1" applyFont="1" applyFill="1" applyBorder="1"/>
    <xf numFmtId="44" fontId="14" fillId="5" borderId="3" xfId="2" applyFont="1" applyFill="1" applyBorder="1"/>
    <xf numFmtId="164" fontId="2" fillId="0" borderId="0" xfId="0" applyNumberFormat="1" applyFont="1"/>
    <xf numFmtId="165" fontId="2" fillId="0" borderId="0" xfId="0" applyNumberFormat="1" applyFont="1"/>
    <xf numFmtId="44" fontId="14" fillId="5" borderId="3" xfId="0" applyNumberFormat="1" applyFont="1" applyFill="1" applyBorder="1"/>
    <xf numFmtId="0" fontId="29" fillId="0" borderId="0" xfId="0" applyFont="1" applyAlignment="1">
      <alignment wrapText="1"/>
    </xf>
    <xf numFmtId="0" fontId="6" fillId="2" borderId="4" xfId="0" applyFont="1" applyFill="1" applyBorder="1" applyAlignment="1">
      <alignment horizontal="left" wrapText="1"/>
    </xf>
    <xf numFmtId="0" fontId="8" fillId="4" borderId="1" xfId="0" applyFont="1" applyFill="1" applyBorder="1" applyAlignment="1">
      <alignment horizontal="left" vertic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8" fillId="4" borderId="1" xfId="0" applyFont="1" applyFill="1" applyBorder="1" applyAlignment="1">
      <alignment horizontal="left" vertical="top" wrapText="1"/>
    </xf>
    <xf numFmtId="0" fontId="8" fillId="4" borderId="1" xfId="0" applyFont="1" applyFill="1" applyBorder="1" applyAlignment="1">
      <alignment horizontal="left" vertical="top"/>
    </xf>
    <xf numFmtId="0" fontId="6" fillId="2" borderId="4" xfId="0" applyFont="1" applyFill="1" applyBorder="1" applyAlignment="1">
      <alignment horizontal="center" vertical="center"/>
    </xf>
    <xf numFmtId="0" fontId="4" fillId="6" borderId="6" xfId="0" applyFont="1" applyFill="1" applyBorder="1" applyAlignment="1">
      <alignment horizontal="center"/>
    </xf>
    <xf numFmtId="0" fontId="4" fillId="6" borderId="4" xfId="0" applyFont="1" applyFill="1" applyBorder="1" applyAlignment="1">
      <alignment horizontal="center"/>
    </xf>
    <xf numFmtId="0" fontId="4" fillId="6" borderId="0" xfId="0" applyFont="1" applyFill="1" applyAlignment="1">
      <alignment horizontal="center"/>
    </xf>
    <xf numFmtId="8" fontId="17" fillId="6" borderId="9" xfId="0" applyNumberFormat="1" applyFont="1" applyFill="1" applyBorder="1" applyAlignment="1">
      <alignment horizontal="right" vertical="center" wrapText="1"/>
    </xf>
    <xf numFmtId="8" fontId="17" fillId="6" borderId="6" xfId="0" applyNumberFormat="1" applyFont="1" applyFill="1" applyBorder="1" applyAlignment="1">
      <alignment horizontal="right" vertical="center" wrapText="1"/>
    </xf>
    <xf numFmtId="0" fontId="13" fillId="2" borderId="0" xfId="0" applyFont="1" applyFill="1" applyAlignment="1">
      <alignment horizontal="center"/>
    </xf>
    <xf numFmtId="0" fontId="2" fillId="0" borderId="0" xfId="0" applyFont="1" applyAlignment="1">
      <alignment horizontal="center"/>
    </xf>
    <xf numFmtId="0" fontId="2" fillId="0" borderId="0" xfId="0" applyFont="1" applyAlignment="1">
      <alignment horizontal="center" vertical="center" wrapText="1"/>
    </xf>
    <xf numFmtId="0" fontId="21" fillId="2" borderId="0" xfId="0" applyFont="1" applyFill="1"/>
    <xf numFmtId="0" fontId="23" fillId="2" borderId="3" xfId="0" applyFont="1" applyFill="1" applyBorder="1" applyAlignment="1">
      <alignment horizontal="center"/>
    </xf>
    <xf numFmtId="0" fontId="31" fillId="11" borderId="0" xfId="0" applyFont="1" applyFill="1"/>
    <xf numFmtId="0" fontId="19" fillId="11" borderId="0" xfId="0" applyFont="1" applyFill="1" applyAlignment="1">
      <alignment horizontal="center"/>
    </xf>
    <xf numFmtId="0" fontId="31" fillId="9" borderId="0" xfId="0" applyFont="1" applyFill="1"/>
    <xf numFmtId="0" fontId="19" fillId="9" borderId="3" xfId="0" applyFont="1" applyFill="1" applyBorder="1" applyAlignment="1">
      <alignment horizontal="center"/>
    </xf>
    <xf numFmtId="0" fontId="21" fillId="9" borderId="0" xfId="0" applyFont="1" applyFill="1"/>
    <xf numFmtId="0" fontId="24" fillId="9" borderId="3" xfId="0" applyFont="1" applyFill="1" applyBorder="1" applyAlignment="1">
      <alignment horizontal="center"/>
    </xf>
    <xf numFmtId="0" fontId="29" fillId="0" borderId="0" xfId="0" applyFont="1" applyAlignment="1">
      <alignment horizontal="left" vertical="top" wrapText="1"/>
    </xf>
    <xf numFmtId="0" fontId="13" fillId="6" borderId="23" xfId="0" applyFont="1" applyFill="1" applyBorder="1" applyAlignment="1">
      <alignment horizontal="left" wrapText="1"/>
    </xf>
    <xf numFmtId="0" fontId="13" fillId="6" borderId="24" xfId="0" applyFont="1" applyFill="1" applyBorder="1" applyAlignment="1">
      <alignment horizontal="left" wrapText="1"/>
    </xf>
  </cellXfs>
  <cellStyles count="8">
    <cellStyle name="Procent" xfId="7" builtinId="5"/>
    <cellStyle name="Procent 2" xfId="6" xr:uid="{DA82D055-B640-4F19-B04D-EEF71AB66B16}"/>
    <cellStyle name="Standaard" xfId="0" builtinId="0"/>
    <cellStyle name="Standaard 2" xfId="1" xr:uid="{98B9DA62-68F4-4435-A91B-7268106A91C4}"/>
    <cellStyle name="Standaard 2 2" xfId="5" xr:uid="{8DFBEF16-2E55-4355-926B-422D6A2144BD}"/>
    <cellStyle name="Standaard 3" xfId="3" xr:uid="{D004382F-1B12-49B5-928F-2E05D518B3FB}"/>
    <cellStyle name="Valuta" xfId="2" builtinId="4"/>
    <cellStyle name="Valuta 2" xfId="4" xr:uid="{11E11839-7E26-4D42-B583-A20A85797ED2}"/>
  </cellStyles>
  <dxfs count="96">
    <dxf>
      <font>
        <b/>
        <i val="0"/>
        <strike val="0"/>
        <condense val="0"/>
        <extend val="0"/>
        <outline val="0"/>
        <shadow val="0"/>
        <u val="none"/>
        <vertAlign val="baseline"/>
        <sz val="10"/>
        <color auto="1"/>
        <name val="Verdana"/>
        <family val="2"/>
        <scheme val="none"/>
      </font>
      <fill>
        <patternFill patternType="solid">
          <fgColor rgb="FF000000"/>
          <bgColor rgb="FFCFB5D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Verdana"/>
        <family val="2"/>
        <scheme val="none"/>
      </font>
      <numFmt numFmtId="14" formatCode="0.0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numFmt numFmtId="165" formatCode="&quot;€&quot;\ #,##0.00"/>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numFmt numFmtId="34" formatCode="_ &quot;€&quot;\ * #,##0.00_ ;_ &quot;€&quot;\ * \-#,##0.00_ ;_ &quot;€&quot;\ * &quot;-&quot;??_ ;_ @_ "/>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strike val="0"/>
        <outline val="0"/>
        <shadow val="0"/>
        <u val="none"/>
        <vertAlign val="baseline"/>
        <sz val="1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border outline="0">
        <top style="thin">
          <color theme="8" tint="0.39997558519241921"/>
        </top>
      </border>
    </dxf>
    <dxf>
      <font>
        <b val="0"/>
        <i val="0"/>
        <strike val="0"/>
        <condense val="0"/>
        <extend val="0"/>
        <outline val="0"/>
        <shadow val="0"/>
        <u val="none"/>
        <vertAlign val="baseline"/>
        <sz val="10"/>
        <color rgb="FF000000"/>
        <name val="Verdana"/>
        <family val="2"/>
        <scheme val="none"/>
      </font>
    </dxf>
    <dxf>
      <border outline="0">
        <bottom style="thin">
          <color theme="8" tint="0.39997558519241921"/>
        </bottom>
      </border>
    </dxf>
    <dxf>
      <font>
        <b/>
        <i val="0"/>
        <strike val="0"/>
        <condense val="0"/>
        <extend val="0"/>
        <outline val="0"/>
        <shadow val="0"/>
        <u val="none"/>
        <vertAlign val="baseline"/>
        <sz val="10"/>
        <color theme="0"/>
        <name val="Verdana"/>
        <family val="2"/>
        <scheme val="none"/>
      </font>
      <fill>
        <patternFill patternType="solid">
          <fgColor indexed="64"/>
          <bgColor rgb="FF70076F"/>
        </patternFill>
      </fill>
    </dxf>
    <dxf>
      <font>
        <b/>
        <strike val="0"/>
        <outline val="0"/>
        <shadow val="0"/>
        <u val="none"/>
        <vertAlign val="baseline"/>
        <sz val="10"/>
        <color auto="1"/>
        <name val="Verdana"/>
        <family val="2"/>
        <scheme val="none"/>
      </font>
      <fill>
        <patternFill patternType="solid">
          <fgColor rgb="FF000000"/>
          <bgColor rgb="FFCFB5D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Verdana"/>
        <family val="2"/>
        <scheme val="none"/>
      </font>
      <numFmt numFmtId="14" formatCode="0.00%"/>
      <border diagonalUp="0" diagonalDown="0">
        <left style="thin">
          <color indexed="64"/>
        </left>
        <right/>
        <top style="thin">
          <color indexed="64"/>
        </top>
        <bottom style="thin">
          <color indexed="64"/>
        </bottom>
      </border>
      <protection locked="0" hidden="0"/>
    </dxf>
    <dxf>
      <font>
        <strike val="0"/>
        <outline val="0"/>
        <shadow val="0"/>
        <u val="none"/>
        <vertAlign val="baseline"/>
        <sz val="10"/>
        <name val="Verdana"/>
        <family val="2"/>
        <scheme val="none"/>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Verdana"/>
        <family val="2"/>
        <scheme val="none"/>
      </font>
    </dxf>
    <dxf>
      <font>
        <strike val="0"/>
        <outline val="0"/>
        <shadow val="0"/>
        <u val="none"/>
        <vertAlign val="baseline"/>
        <sz val="10"/>
        <name val="Verdana"/>
        <family val="2"/>
        <scheme val="none"/>
      </font>
    </dxf>
    <dxf>
      <font>
        <strike val="0"/>
        <outline val="0"/>
        <shadow val="0"/>
        <u val="none"/>
        <vertAlign val="baseline"/>
        <sz val="10"/>
        <name val="Verdana"/>
        <family val="2"/>
        <scheme val="none"/>
      </font>
      <numFmt numFmtId="34" formatCode="_ &quot;€&quot;\ * #,##0.00_ ;_ &quot;€&quot;\ * \-#,##0.00_ ;_ &quot;€&quot;\ * &quot;-&quot;??_ ;_ @_ "/>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strike val="0"/>
        <outline val="0"/>
        <shadow val="0"/>
        <u val="none"/>
        <vertAlign val="baseline"/>
        <sz val="1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border outline="0">
        <top style="thin">
          <color theme="8" tint="0.39997558519241921"/>
        </top>
      </border>
    </dxf>
    <dxf>
      <font>
        <strike val="0"/>
        <outline val="0"/>
        <shadow val="0"/>
        <u val="none"/>
        <vertAlign val="baseline"/>
        <sz val="10"/>
        <name val="Verdana"/>
        <family val="2"/>
        <scheme val="none"/>
      </font>
    </dxf>
    <dxf>
      <border outline="0">
        <bottom style="thin">
          <color theme="8" tint="0.39997558519241921"/>
        </bottom>
      </border>
    </dxf>
    <dxf>
      <font>
        <b/>
        <i val="0"/>
        <strike val="0"/>
        <condense val="0"/>
        <extend val="0"/>
        <outline val="0"/>
        <shadow val="0"/>
        <u val="none"/>
        <vertAlign val="baseline"/>
        <sz val="11"/>
        <color theme="0"/>
        <name val="Calibri"/>
        <family val="2"/>
        <scheme val="none"/>
      </font>
      <fill>
        <patternFill patternType="solid">
          <fgColor indexed="64"/>
          <bgColor rgb="FF70076F"/>
        </patternFill>
      </fill>
    </dxf>
    <dxf>
      <font>
        <b/>
        <i val="0"/>
        <strike val="0"/>
        <condense val="0"/>
        <extend val="0"/>
        <outline val="0"/>
        <shadow val="0"/>
        <u val="none"/>
        <vertAlign val="baseline"/>
        <sz val="10"/>
        <color auto="1"/>
        <name val="Verdana"/>
        <family val="2"/>
        <scheme val="none"/>
      </font>
      <fill>
        <patternFill patternType="solid">
          <fgColor rgb="FF000000"/>
          <bgColor rgb="FFCFB5D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Verdana"/>
        <family val="2"/>
        <scheme val="none"/>
      </font>
      <numFmt numFmtId="14" formatCode="0.0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numFmt numFmtId="34" formatCode="_ &quot;€&quot;\ * #,##0.00_ ;_ &quot;€&quot;\ * \-#,##0.00_ ;_ &quot;€&quot;\ * &quot;-&quot;??_ ;_ @_ "/>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theme="0"/>
        <name val="Verdana"/>
        <family val="2"/>
        <scheme val="none"/>
      </font>
      <fill>
        <patternFill patternType="solid">
          <fgColor indexed="64"/>
          <bgColor rgb="FF70076F"/>
        </patternFill>
      </fill>
    </dxf>
    <dxf>
      <font>
        <b/>
        <i val="0"/>
        <strike val="0"/>
        <condense val="0"/>
        <extend val="0"/>
        <outline val="0"/>
        <shadow val="0"/>
        <u val="none"/>
        <vertAlign val="baseline"/>
        <sz val="10"/>
        <color auto="1"/>
        <name val="Verdana"/>
        <family val="2"/>
        <scheme val="none"/>
      </font>
      <fill>
        <patternFill patternType="solid">
          <fgColor rgb="FF000000"/>
          <bgColor rgb="FFCFB5D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Verdana"/>
        <family val="2"/>
        <scheme val="none"/>
      </font>
      <numFmt numFmtId="14" formatCode="0.0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numFmt numFmtId="166" formatCode="_ [$€-2]\ * #,##0.00_ ;_ [$€-2]\ * \-#,##0.00_ ;_ [$€-2]\ * &quot;-&quot;??_ ;_ @_ "/>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numFmt numFmtId="165" formatCode="&quot;€&quot;\ #,##0.00"/>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numFmt numFmtId="25" formatCode="hh:mm"/>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i val="0"/>
        <strike val="0"/>
        <condense val="0"/>
        <extend val="0"/>
        <outline val="0"/>
        <shadow val="0"/>
        <u val="none"/>
        <vertAlign val="baseline"/>
        <sz val="10"/>
        <color theme="0"/>
        <name val="Verdana"/>
        <family val="2"/>
        <scheme val="none"/>
      </font>
      <fill>
        <patternFill patternType="solid">
          <fgColor indexed="64"/>
          <bgColor rgb="FF79146A"/>
        </patternFill>
      </fill>
    </dxf>
    <dxf>
      <font>
        <b/>
        <strike val="0"/>
        <outline val="0"/>
        <shadow val="0"/>
        <u val="none"/>
        <vertAlign val="baseline"/>
        <sz val="10"/>
        <name val="Verdana"/>
        <family val="2"/>
        <scheme val="none"/>
      </font>
      <fill>
        <patternFill patternType="solid">
          <fgColor rgb="FF000000"/>
          <bgColor rgb="FFCFB5D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Verdana"/>
        <family val="2"/>
        <scheme val="none"/>
      </font>
      <numFmt numFmtId="14" formatCode="0.00%"/>
      <border diagonalUp="0" diagonalDown="0">
        <left style="thin">
          <color indexed="64"/>
        </left>
        <right/>
        <top style="thin">
          <color indexed="64"/>
        </top>
        <bottom style="thin">
          <color indexed="64"/>
        </bottom>
      </border>
      <protection locked="0" hidden="0"/>
    </dxf>
    <dxf>
      <font>
        <strike val="0"/>
        <outline val="0"/>
        <shadow val="0"/>
        <u val="none"/>
        <vertAlign val="baseline"/>
        <sz val="10"/>
        <name val="Verdana"/>
        <family val="2"/>
        <scheme val="none"/>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Verdana"/>
        <family val="2"/>
        <scheme val="none"/>
      </font>
    </dxf>
    <dxf>
      <font>
        <strike val="0"/>
        <outline val="0"/>
        <shadow val="0"/>
        <u val="none"/>
        <vertAlign val="baseline"/>
        <sz val="10"/>
        <name val="Verdana"/>
        <family val="2"/>
        <scheme val="none"/>
      </font>
    </dxf>
    <dxf>
      <font>
        <strike val="0"/>
        <outline val="0"/>
        <shadow val="0"/>
        <u val="none"/>
        <vertAlign val="baseline"/>
        <sz val="10"/>
        <name val="Verdana"/>
        <family val="2"/>
        <scheme val="none"/>
      </font>
      <numFmt numFmtId="166" formatCode="_ [$€-2]\ * #,##0.00_ ;_ [$€-2]\ * \-#,##0.00_ ;_ [$€-2]\ * &quot;-&quot;??_ ;_ @_ "/>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strike val="0"/>
        <outline val="0"/>
        <shadow val="0"/>
        <u val="none"/>
        <vertAlign val="baseline"/>
        <sz val="1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border outline="0">
        <top style="thin">
          <color theme="8"/>
        </top>
      </border>
    </dxf>
    <dxf>
      <font>
        <strike val="0"/>
        <outline val="0"/>
        <shadow val="0"/>
        <u val="none"/>
        <vertAlign val="baseline"/>
        <sz val="10"/>
        <name val="Verdana"/>
        <family val="2"/>
        <scheme val="none"/>
      </font>
    </dxf>
    <dxf>
      <border outline="0">
        <bottom style="thin">
          <color theme="8"/>
        </bottom>
      </border>
    </dxf>
    <dxf>
      <font>
        <b/>
        <i val="0"/>
        <strike val="0"/>
        <condense val="0"/>
        <extend val="0"/>
        <outline val="0"/>
        <shadow val="0"/>
        <u val="none"/>
        <vertAlign val="baseline"/>
        <sz val="10"/>
        <color theme="0"/>
        <name val="Verdana"/>
        <family val="2"/>
        <scheme val="none"/>
      </font>
      <fill>
        <patternFill patternType="solid">
          <fgColor indexed="64"/>
          <bgColor rgb="FF70076F"/>
        </patternFill>
      </fill>
    </dxf>
    <dxf>
      <font>
        <b/>
        <i val="0"/>
        <strike val="0"/>
        <condense val="0"/>
        <extend val="0"/>
        <outline val="0"/>
        <shadow val="0"/>
        <u val="none"/>
        <vertAlign val="baseline"/>
        <sz val="10"/>
        <color auto="1"/>
        <name val="Verdana"/>
        <family val="2"/>
        <scheme val="none"/>
      </font>
      <numFmt numFmtId="166" formatCode="_ [$€-2]\ * #,##0.00_ ;_ [$€-2]\ * \-#,##0.00_ ;_ [$€-2]\ * &quot;-&quot;??_ ;_ @_ "/>
      <fill>
        <patternFill patternType="solid">
          <fgColor indexed="64"/>
          <bgColor rgb="FFCFB5D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Verdana"/>
        <family val="2"/>
        <scheme val="none"/>
      </font>
      <numFmt numFmtId="14" formatCode="0.00%"/>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numFmt numFmtId="166" formatCode="_ [$€-2]\ * #,##0.00_ ;_ [$€-2]\ * \-#,##0.00_ ;_ [$€-2]\ * &quot;-&quot;??_ ;_ @_ "/>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numFmt numFmtId="166" formatCode="_ [$€-2]\ * #,##0.00_ ;_ [$€-2]\ * \-#,##0.00_ ;_ [$€-2]\ * &quot;-&quot;??_ ;_ @_ "/>
    </dxf>
    <dxf>
      <font>
        <strike val="0"/>
        <outline val="0"/>
        <shadow val="0"/>
        <u val="none"/>
        <vertAlign val="baseline"/>
        <sz val="10"/>
        <color rgb="FF000000"/>
        <name val="Verdana"/>
        <family val="2"/>
        <scheme val="none"/>
      </font>
    </dxf>
    <dxf>
      <font>
        <strike val="0"/>
        <outline val="0"/>
        <shadow val="0"/>
        <u val="none"/>
        <vertAlign val="baseline"/>
        <sz val="10"/>
        <color rgb="FF000000"/>
        <name val="Verdana"/>
        <family val="2"/>
        <scheme val="none"/>
      </font>
    </dxf>
    <dxf>
      <font>
        <strike val="0"/>
        <outline val="0"/>
        <shadow val="0"/>
        <u val="none"/>
        <vertAlign val="baseline"/>
        <sz val="10"/>
        <color rgb="FF000000"/>
        <name val="Verdana"/>
        <family val="2"/>
        <scheme val="none"/>
      </font>
    </dxf>
    <dxf>
      <font>
        <strike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strike val="0"/>
        <outline val="0"/>
        <shadow val="0"/>
        <u val="none"/>
        <vertAlign val="baseline"/>
        <sz val="10"/>
        <color rgb="FF000000"/>
        <name val="Verdana"/>
        <family val="2"/>
        <scheme val="none"/>
      </font>
    </dxf>
    <dxf>
      <font>
        <strike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1"/>
        <color theme="0"/>
        <name val="Calibri"/>
        <family val="2"/>
        <scheme val="none"/>
      </font>
      <fill>
        <patternFill patternType="solid">
          <fgColor indexed="64"/>
          <bgColor rgb="FF70076F"/>
        </patternFill>
      </fill>
    </dxf>
  </dxfs>
  <tableStyles count="0" defaultTableStyle="TableStyleMedium2" defaultPivotStyle="PivotStyleMedium9"/>
  <colors>
    <mruColors>
      <color rgb="FF70076F"/>
      <color rgb="FFCFB5D1"/>
      <color rgb="FF79146A"/>
      <color rgb="FFDD2FC4"/>
      <color rgb="FF0092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38100</xdr:rowOff>
    </xdr:from>
    <xdr:to>
      <xdr:col>0</xdr:col>
      <xdr:colOff>2749550</xdr:colOff>
      <xdr:row>11</xdr:row>
      <xdr:rowOff>103589</xdr:rowOff>
    </xdr:to>
    <xdr:pic>
      <xdr:nvPicPr>
        <xdr:cNvPr id="5" name="Afbeelding 4" descr="Home | GGDrU">
          <a:extLst>
            <a:ext uri="{FF2B5EF4-FFF2-40B4-BE49-F238E27FC236}">
              <a16:creationId xmlns:a16="http://schemas.microsoft.com/office/drawing/2014/main" id="{B229568D-8D85-7362-1074-4B3E76225F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9075"/>
          <a:ext cx="2749550" cy="1764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15876</xdr:colOff>
      <xdr:row>1</xdr:row>
      <xdr:rowOff>38100</xdr:rowOff>
    </xdr:from>
    <xdr:to>
      <xdr:col>0</xdr:col>
      <xdr:colOff>2749551</xdr:colOff>
      <xdr:row>11</xdr:row>
      <xdr:rowOff>99747</xdr:rowOff>
    </xdr:to>
    <xdr:pic>
      <xdr:nvPicPr>
        <xdr:cNvPr id="3" name="Afbeelding 2" descr="Home | GGDrU">
          <a:extLst>
            <a:ext uri="{FF2B5EF4-FFF2-40B4-BE49-F238E27FC236}">
              <a16:creationId xmlns:a16="http://schemas.microsoft.com/office/drawing/2014/main" id="{4781D1F0-692B-4045-8B71-EAF870E23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6" y="219075"/>
          <a:ext cx="2736850" cy="1760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111B40F-8E95-433E-B0E0-5CEBD2A81323}" name="Tabel3" displayName="Tabel3" ref="A1:M51" totalsRowShown="0" headerRowDxfId="95" dataDxfId="94">
  <autoFilter ref="A1:M51" xr:uid="{3111B40F-8E95-433E-B0E0-5CEBD2A81323}"/>
  <sortState xmlns:xlrd2="http://schemas.microsoft.com/office/spreadsheetml/2017/richdata2" ref="A2:M51">
    <sortCondition ref="F1:F51"/>
  </sortState>
  <tableColumns count="13">
    <tableColumn id="1" xr3:uid="{BF28AC17-77B5-449E-9420-827D81DF5239}" name="Vervoerder" dataDxfId="93"/>
    <tableColumn id="2" xr3:uid="{0C69BB79-289A-49B4-AD0D-C018B13C6BCD}" name="Type vervoer" dataDxfId="92"/>
    <tableColumn id="15" xr3:uid="{ED8E136D-2714-440A-B47E-FD52C0C0A414}" name="Klasse" dataDxfId="91"/>
    <tableColumn id="14" xr3:uid="{D12330B9-7E75-4F50-9DF4-CF6802A91574}" name="Dag" dataDxfId="90"/>
    <tableColumn id="3" xr3:uid="{8AEB992A-3F9A-46B7-AB5A-4AAB36C2F72F}" name="Tijd" dataDxfId="89"/>
    <tableColumn id="4" xr3:uid="{5128BC9E-BAFB-4F50-939B-E5159F16D336}" name="CI locatie" dataDxfId="88"/>
    <tableColumn id="5" xr3:uid="{EF78FF4C-F89A-4EF6-9F92-FE82BA6FF4C0}" name="CO locatie" dataDxfId="87"/>
    <tableColumn id="8" xr3:uid="{5EA21B05-99ED-4870-89D3-4002558F591E}" name="Prijs excl. btw" dataDxfId="86">
      <calculatedColumnFormula>Tabel3[[#This Row],[Prijs incl. btw]]/(1+Tabel3[[#This Row],[BTW %]])/1</calculatedColumnFormula>
    </tableColumn>
    <tableColumn id="9" xr3:uid="{134413B2-FF2B-4F02-ADCE-418AA66B5FE1}" name="BTW %" dataDxfId="85" dataCellStyle="Procent"/>
    <tableColumn id="10" xr3:uid="{29C7D488-4EB0-4F87-B92A-6A0FD9266B0F}" name="Prijs incl. btw" dataDxfId="84"/>
    <tableColumn id="11" xr3:uid="{45891207-B8B8-4872-B700-9B8BEDE048AD}" name="Naam kortingsproduct" dataDxfId="83"/>
    <tableColumn id="12" xr3:uid="{A5A2C9C8-848C-43ED-A8DD-D1747E2EF67F}" name="Korting %" dataDxfId="82" dataCellStyle="Procent"/>
    <tableColumn id="13" xr3:uid="{A0F48A6B-BC65-4170-BD09-E2A1CE49AA2C}" name="Prijs incl. btw -/- korting" dataDxfId="81">
      <calculatedColumnFormula>Tabel3[[#This Row],[Prijs incl. btw]]*(1-Tabel3[[#This Row],[Korting %]])</calculatedColumnFormula>
    </tableColumn>
  </tableColumns>
  <tableStyleInfo name="TableStyleLight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4F95FD8-0C7C-467F-A7E8-990FF1DF171F}" name="Tabel4" displayName="Tabel4" ref="A1:M66" totalsRowShown="0" headerRowDxfId="80" dataDxfId="78" headerRowBorderDxfId="79" tableBorderDxfId="77">
  <autoFilter ref="A1:M66" xr:uid="{D4F95FD8-0C7C-467F-A7E8-990FF1DF171F}"/>
  <sortState xmlns:xlrd2="http://schemas.microsoft.com/office/spreadsheetml/2017/richdata2" ref="A2:M66">
    <sortCondition ref="G1:G66"/>
  </sortState>
  <tableColumns count="13">
    <tableColumn id="1" xr3:uid="{1625B194-93F9-46F5-97E4-E0D014AD472A}" name="Vervoerder" dataDxfId="76"/>
    <tableColumn id="2" xr3:uid="{BE670EAD-23AA-45AE-9164-312B3482EBC5}" name="Type vervoer" dataDxfId="75"/>
    <tableColumn id="3" xr3:uid="{3BDE054D-5105-48FF-842D-CBA0D188E792}" name="Klasse" dataDxfId="74"/>
    <tableColumn id="4" xr3:uid="{2C1ABF23-E4EC-4C04-A92B-49578D34BF85}" name="Dag" dataDxfId="73"/>
    <tableColumn id="5" xr3:uid="{0CD872F6-E8E4-4A1E-A4E9-19B412F68D11}" name="Tijd" dataDxfId="72"/>
    <tableColumn id="6" xr3:uid="{DD1C70C7-D822-42D9-A31D-01A864FBFFD7}" name="CI locatie" dataDxfId="71"/>
    <tableColumn id="7" xr3:uid="{52F041B2-CF62-4D82-9450-16154F1E7B03}" name="CO locatie" dataDxfId="70"/>
    <tableColumn id="8" xr3:uid="{242C8A26-4727-488B-9B76-F41FD1F87E23}" name="Prijs excl. btw" dataDxfId="69">
      <calculatedColumnFormula>Tabel4[[#This Row],[Prijs incl. btw]]/(1+Tabel4[[#This Row],[BTW %]])/1</calculatedColumnFormula>
    </tableColumn>
    <tableColumn id="9" xr3:uid="{82AF795D-96B4-4908-AAED-15F2B577DFC5}" name="BTW %" dataDxfId="68"/>
    <tableColumn id="10" xr3:uid="{D869DB58-0488-4B63-8C4B-4EA1821D4EA5}" name="Prijs incl. btw" dataDxfId="67" dataCellStyle="Valuta"/>
    <tableColumn id="11" xr3:uid="{19D2C601-BA1E-4837-AB58-8D3F5FD75EB4}" name="Naam kortingsproduct" dataDxfId="66"/>
    <tableColumn id="12" xr3:uid="{DE818F4B-DE61-4EE4-9637-B8F0E44D12C2}" name="Korting %" dataDxfId="65"/>
    <tableColumn id="13" xr3:uid="{7B75A060-B5FF-42E7-8D03-65627E450479}" name="Prijs incl. btw -/- korting" dataDxfId="64">
      <calculatedColumnFormula>Tabel4[[#This Row],[Prijs incl. btw]]*(1-Tabel4[[#This Row],[Korting %]])</calculatedColumnFormula>
    </tableColumn>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AD69B51-5810-444A-9F45-0CD8A480154A}" name="Tabel5" displayName="Tabel5" ref="A1:M23" totalsRowShown="0" headerRowDxfId="63" dataDxfId="62">
  <autoFilter ref="A1:M23" xr:uid="{EAD69B51-5810-444A-9F45-0CD8A480154A}"/>
  <sortState xmlns:xlrd2="http://schemas.microsoft.com/office/spreadsheetml/2017/richdata2" ref="A2:M23">
    <sortCondition ref="F1:F23"/>
  </sortState>
  <tableColumns count="13">
    <tableColumn id="1" xr3:uid="{35261676-7B5B-4975-AD15-A5EE4EFDED7F}" name="Vervoerder" dataDxfId="61"/>
    <tableColumn id="2" xr3:uid="{FCB85013-7409-478D-88CA-3AE550076DD5}" name="Type vervoer" dataDxfId="60"/>
    <tableColumn id="3" xr3:uid="{B90E58E1-9A64-4411-86EB-BF905C6713E6}" name="Klasse" dataDxfId="59"/>
    <tableColumn id="14" xr3:uid="{6533384D-3166-41A3-B4C4-7FFF62600F8D}" name="Dag" dataDxfId="58"/>
    <tableColumn id="4" xr3:uid="{0884EDA2-CD5E-4E1B-A3A9-7599E4ADA90B}" name="Tijd" dataDxfId="57"/>
    <tableColumn id="6" xr3:uid="{C4AC014A-295D-4653-8992-6F604519FFD3}" name="CI locatie" dataDxfId="56"/>
    <tableColumn id="7" xr3:uid="{7F6C7F1A-7DF4-45C1-BEFB-BD1AD5E8859B}" name="CO locatie" dataDxfId="55"/>
    <tableColumn id="8" xr3:uid="{A952657B-4629-412E-B550-A84DE122BA71}" name="Prijs excl. btw" dataDxfId="54">
      <calculatedColumnFormula>Tabel5[[#This Row],[Prijs incl. btw]]/(1+Tabel5[[#This Row],[BTW %]])/1</calculatedColumnFormula>
    </tableColumn>
    <tableColumn id="9" xr3:uid="{DA3990DF-9FFD-46FB-9DC1-C2DFD3E41655}" name="BTW %" dataDxfId="53"/>
    <tableColumn id="10" xr3:uid="{04CBFDC4-F333-4041-8E32-160596D158CA}" name="Prijs incl. btw" dataDxfId="52"/>
    <tableColumn id="11" xr3:uid="{AC638C54-C662-4B6E-B757-A09ECF25318C}" name="Naam kortingsproduct" dataDxfId="51"/>
    <tableColumn id="12" xr3:uid="{E83BB512-CE07-4F36-A4B8-48D3A6C87CA7}" name="Korting %" dataDxfId="50"/>
    <tableColumn id="13" xr3:uid="{143B6B11-11D0-442C-8513-184F2AB0EE3A}" name="Prijs incl. btw -/- korting" dataDxfId="49">
      <calculatedColumnFormula>Tabel5[[#This Row],[Prijs incl. btw]]*(1-Tabel5[[#This Row],[Korting %]])</calculatedColumnFormula>
    </tableColumn>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68D9D3A-CAB6-4163-98EA-D56EE1A0B4DD}" name="Tabel6" displayName="Tabel6" ref="A1:M33" totalsRowShown="0" headerRowDxfId="48" dataDxfId="47">
  <autoFilter ref="A1:M33" xr:uid="{A68D9D3A-CAB6-4163-98EA-D56EE1A0B4DD}"/>
  <sortState xmlns:xlrd2="http://schemas.microsoft.com/office/spreadsheetml/2017/richdata2" ref="A2:M33">
    <sortCondition ref="F1:F33"/>
  </sortState>
  <tableColumns count="13">
    <tableColumn id="1" xr3:uid="{5F675988-5978-419C-B21B-D1D3DD2DDFA4}" name="Vervoerder" dataDxfId="46"/>
    <tableColumn id="2" xr3:uid="{C864BCEB-DD29-48AF-BADE-F24156CCDD6A}" name="Type vervoer" dataDxfId="45"/>
    <tableColumn id="3" xr3:uid="{617DC2F9-8177-44A8-A940-C09C465692D4}" name="Klasse" dataDxfId="44"/>
    <tableColumn id="4" xr3:uid="{1F4EC550-5A28-42CD-9850-B7F1885BF184}" name="Dag" dataDxfId="43"/>
    <tableColumn id="5" xr3:uid="{72C84A21-102B-4416-B7D7-66DA0268B05E}" name="Tijd" dataDxfId="42"/>
    <tableColumn id="6" xr3:uid="{A6D9CBAB-A508-4540-89B2-1AE2280C585B}" name="CI locatie" dataDxfId="41"/>
    <tableColumn id="7" xr3:uid="{7E3D1F65-CC79-4721-89B4-C9FFC9892E18}" name="CO locatie" dataDxfId="40"/>
    <tableColumn id="8" xr3:uid="{1638D9D2-DC8C-4C06-8676-36DD53294DE0}" name="Prijs excl. btw" dataDxfId="39">
      <calculatedColumnFormula>Tabel6[[#This Row],[Prijs incl. btw]]/(1+Tabel6[[#This Row],[BTW %]])/1</calculatedColumnFormula>
    </tableColumn>
    <tableColumn id="9" xr3:uid="{1D149B4C-D53E-4108-A8F1-312D52B1B806}" name="BTW %" dataDxfId="38"/>
    <tableColumn id="10" xr3:uid="{37360DF4-E861-4C70-97DE-72155E4557EA}" name="Prijs incl. btw" dataDxfId="37"/>
    <tableColumn id="11" xr3:uid="{A465FA4A-7EFE-47DF-9E80-7398A45180E7}" name="Naam kortingsproduct" dataDxfId="36"/>
    <tableColumn id="12" xr3:uid="{F5EB633E-EDF2-40A5-8279-DEBE67114F85}" name="Korting %" dataDxfId="35"/>
    <tableColumn id="13" xr3:uid="{46D2DF88-7E87-4E84-B4A6-1E58F2C906F5}" name="Prijs incl. btw -/- korting" dataDxfId="34">
      <calculatedColumnFormula>Tabel6[[#This Row],[Prijs incl. btw]]*(1-Tabel6[[#This Row],[Korting %]])</calculatedColumnFormula>
    </tableColumn>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B9AB638-67A0-4FC5-AE77-9ECE4BCB6D1F}" name="Tabel7" displayName="Tabel7" ref="A1:M13" totalsRowShown="0" headerRowDxfId="33" dataDxfId="31" headerRowBorderDxfId="32" tableBorderDxfId="30">
  <autoFilter ref="A1:M13" xr:uid="{7B9AB638-67A0-4FC5-AE77-9ECE4BCB6D1F}"/>
  <sortState xmlns:xlrd2="http://schemas.microsoft.com/office/spreadsheetml/2017/richdata2" ref="A2:M13">
    <sortCondition ref="F1:F13"/>
  </sortState>
  <tableColumns count="13">
    <tableColumn id="1" xr3:uid="{79084167-B7C0-442C-A994-45F667A9BA1A}" name="Vervoerder" dataDxfId="29"/>
    <tableColumn id="2" xr3:uid="{14EA4F85-FB11-42BD-AD2E-F06D4646BA02}" name="Type vervoer" dataDxfId="28"/>
    <tableColumn id="3" xr3:uid="{F79C451C-3E4D-42AF-9571-3A5D564F37D7}" name="Klasse" dataDxfId="27"/>
    <tableColumn id="4" xr3:uid="{5C521177-B347-41F2-BF53-785F849B3F03}" name="Dag" dataDxfId="26"/>
    <tableColumn id="5" xr3:uid="{F291307D-E72F-43A8-A334-BEDF780EC7E7}" name="Tijd" dataDxfId="25"/>
    <tableColumn id="6" xr3:uid="{5BB73422-A315-4B5C-98D7-95D60FDBA6C1}" name="CI locatie" dataDxfId="24"/>
    <tableColumn id="7" xr3:uid="{FFE37934-2EF7-4633-864F-E9E0F07EEADE}" name="CO locatie" dataDxfId="23"/>
    <tableColumn id="8" xr3:uid="{D9125A71-C42A-413A-9CA1-33CEF7B86B1A}" name="Prijs excl. btw" dataDxfId="22">
      <calculatedColumnFormula>Tabel7[[#This Row],[Prijs incl. btw]]/(1+Tabel7[[#This Row],[BTW %]])/1</calculatedColumnFormula>
    </tableColumn>
    <tableColumn id="9" xr3:uid="{8B66148D-02C6-4789-B8E7-44524C2D22F4}" name="BTW %" dataDxfId="21"/>
    <tableColumn id="10" xr3:uid="{2EFCD3B5-A86F-4533-A0A0-CF3937BE9925}" name="Prijs incl. btw" dataDxfId="20" dataCellStyle="Valuta"/>
    <tableColumn id="11" xr3:uid="{EDF7B6C1-F303-4727-A27B-A6C4367CCCF9}" name="Naam kortingsproduct" dataDxfId="19"/>
    <tableColumn id="12" xr3:uid="{ADBD094C-98E9-4C87-887A-CA1699C06942}" name="Korting %" dataDxfId="18"/>
    <tableColumn id="13" xr3:uid="{1E2FF940-A6A8-4AD9-96D0-605A5F2E5C66}" name="Prijs incl. btw -/- korting" dataDxfId="17">
      <calculatedColumnFormula>Tabel7[[#This Row],[Prijs incl. btw]]*(1-Tabel7[[#This Row],[Korting %]])</calculatedColumnFormula>
    </tableColumn>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2A53DFF-CFDD-4C9C-8D15-850B5EA9E4CB}" name="Tabel8" displayName="Tabel8" ref="A1:M19" totalsRowShown="0" headerRowDxfId="16" dataDxfId="14" headerRowBorderDxfId="15" tableBorderDxfId="13">
  <autoFilter ref="A1:M19" xr:uid="{52A53DFF-CFDD-4C9C-8D15-850B5EA9E4CB}"/>
  <sortState xmlns:xlrd2="http://schemas.microsoft.com/office/spreadsheetml/2017/richdata2" ref="A2:M19">
    <sortCondition ref="D1:D19"/>
  </sortState>
  <tableColumns count="13">
    <tableColumn id="1" xr3:uid="{CC02C02F-EC69-4406-8D7B-E8BB000DF855}" name="Vervoerder" dataDxfId="12"/>
    <tableColumn id="2" xr3:uid="{CD0FD19B-8A33-4FA0-8D72-D9C67477E336}" name="Type vervoer" dataDxfId="11"/>
    <tableColumn id="3" xr3:uid="{EBA51F24-92F1-4416-A3A8-E746D28C90DC}" name="Klasse" dataDxfId="10"/>
    <tableColumn id="4" xr3:uid="{C76DBB90-5749-49E0-B07E-FE5F3B4B85D3}" name="Dag" dataDxfId="9"/>
    <tableColumn id="5" xr3:uid="{E9A008D3-6F2C-43B0-8999-2014D99A8433}" name="Tijd" dataDxfId="8"/>
    <tableColumn id="6" xr3:uid="{87138C5E-AE63-4421-928E-5D545A2D00D8}" name="CI locatie" dataDxfId="7"/>
    <tableColumn id="7" xr3:uid="{26F8F1A2-A982-444D-8C45-B5C77B7B134A}" name="CO locatie" dataDxfId="6"/>
    <tableColumn id="8" xr3:uid="{B1A7122F-D484-4E21-87EA-299BEB3C162B}" name="Prijs excl. btw" dataDxfId="5">
      <calculatedColumnFormula>Tabel8[[#This Row],[Prijs incl. btw]]/(1+Tabel8[[#This Row],[BTW %]])/1</calculatedColumnFormula>
    </tableColumn>
    <tableColumn id="9" xr3:uid="{F43709FF-0983-494C-815D-EE7F4C2A2420}" name="BTW %" dataDxfId="4"/>
    <tableColumn id="10" xr3:uid="{F65055BE-93EC-4B74-8E12-772607EEA903}" name="Prijs incl. btw" dataDxfId="3" dataCellStyle="Valuta"/>
    <tableColumn id="11" xr3:uid="{45F3B970-8FCF-4C3F-A47D-EB9D2ED08EAC}" name="Naam kortingsproduct" dataDxfId="2"/>
    <tableColumn id="12" xr3:uid="{F50AC281-97D7-4940-BAC8-8DD52639C9DF}" name="Korting %" dataDxfId="1"/>
    <tableColumn id="13" xr3:uid="{41092A86-8D73-4D66-8B68-48C7BD9ECC04}" name="Prijs incl. btw -/- korting" dataDxfId="0">
      <calculatedColumnFormula>Tabel8[[#This Row],[Prijs incl. btw]]*(1-Tabel8[[#This Row],[Korting %]])</calculatedColumnFormula>
    </tableColumn>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D10CA-271F-4E60-AEBC-29129EB1811B}">
  <dimension ref="A1:D16"/>
  <sheetViews>
    <sheetView tabSelected="1" workbookViewId="0">
      <selection activeCell="C17" sqref="C17"/>
    </sheetView>
  </sheetViews>
  <sheetFormatPr defaultRowHeight="14.5" x14ac:dyDescent="0.35"/>
  <cols>
    <col min="1" max="1" width="2.81640625" bestFit="1" customWidth="1"/>
    <col min="2" max="2" width="13.81640625" bestFit="1" customWidth="1"/>
    <col min="3" max="3" width="126.453125" customWidth="1"/>
  </cols>
  <sheetData>
    <row r="1" spans="1:4" s="3" customFormat="1" ht="23" customHeight="1" x14ac:dyDescent="0.3">
      <c r="A1" s="147" t="s">
        <v>212</v>
      </c>
      <c r="B1" s="148"/>
      <c r="C1" s="148"/>
      <c r="D1" s="2"/>
    </row>
    <row r="2" spans="1:4" s="3" customFormat="1" ht="13" x14ac:dyDescent="0.3">
      <c r="A2" s="151"/>
      <c r="B2" s="151"/>
      <c r="C2" s="151"/>
      <c r="D2" s="2"/>
    </row>
    <row r="3" spans="1:4" s="3" customFormat="1" ht="23" customHeight="1" x14ac:dyDescent="0.25">
      <c r="A3" s="7" t="s">
        <v>2</v>
      </c>
      <c r="B3" s="149" t="s">
        <v>3</v>
      </c>
      <c r="C3" s="150"/>
      <c r="D3" s="4"/>
    </row>
    <row r="4" spans="1:4" s="3" customFormat="1" ht="29.5" customHeight="1" x14ac:dyDescent="0.25">
      <c r="A4" s="7" t="s">
        <v>4</v>
      </c>
      <c r="B4" s="149" t="s">
        <v>27</v>
      </c>
      <c r="C4" s="149"/>
      <c r="D4" s="4"/>
    </row>
    <row r="5" spans="1:4" s="3" customFormat="1" ht="47" customHeight="1" x14ac:dyDescent="0.25">
      <c r="A5" s="7" t="s">
        <v>5</v>
      </c>
      <c r="B5" s="149" t="s">
        <v>6</v>
      </c>
      <c r="C5" s="149"/>
      <c r="D5" s="4"/>
    </row>
    <row r="6" spans="1:4" s="3" customFormat="1" ht="61" customHeight="1" x14ac:dyDescent="0.25">
      <c r="A6" s="7" t="s">
        <v>7</v>
      </c>
      <c r="B6" s="149" t="s">
        <v>28</v>
      </c>
      <c r="C6" s="149"/>
      <c r="D6" s="4"/>
    </row>
    <row r="7" spans="1:4" s="3" customFormat="1" ht="15.5" customHeight="1" x14ac:dyDescent="0.25">
      <c r="A7" s="8" t="s">
        <v>17</v>
      </c>
      <c r="B7" s="146" t="s">
        <v>18</v>
      </c>
      <c r="C7" s="146"/>
    </row>
    <row r="8" spans="1:4" s="3" customFormat="1" ht="68" customHeight="1" x14ac:dyDescent="0.25">
      <c r="A8" s="8" t="s">
        <v>29</v>
      </c>
      <c r="B8" s="149" t="s">
        <v>30</v>
      </c>
      <c r="C8" s="149"/>
    </row>
    <row r="9" spans="1:4" s="3" customFormat="1" ht="29" customHeight="1" x14ac:dyDescent="0.25">
      <c r="A9" s="8" t="s">
        <v>31</v>
      </c>
      <c r="B9" s="149" t="s">
        <v>32</v>
      </c>
      <c r="C9" s="149"/>
    </row>
    <row r="10" spans="1:4" s="3" customFormat="1" ht="12.5" x14ac:dyDescent="0.25">
      <c r="A10" s="8" t="s">
        <v>34</v>
      </c>
      <c r="B10" s="150" t="s">
        <v>33</v>
      </c>
      <c r="C10" s="150"/>
    </row>
    <row r="11" spans="1:4" s="3" customFormat="1" ht="12.5" customHeight="1" x14ac:dyDescent="0.3">
      <c r="B11" s="145" t="s">
        <v>225</v>
      </c>
      <c r="C11" s="145"/>
    </row>
    <row r="12" spans="1:4" s="3" customFormat="1" ht="13" x14ac:dyDescent="0.3">
      <c r="B12" s="101" t="s">
        <v>8</v>
      </c>
      <c r="C12" s="103" t="s">
        <v>9</v>
      </c>
    </row>
    <row r="13" spans="1:4" s="3" customFormat="1" ht="13" x14ac:dyDescent="0.3">
      <c r="B13" s="101" t="s">
        <v>10</v>
      </c>
      <c r="C13" s="103" t="s">
        <v>11</v>
      </c>
    </row>
    <row r="14" spans="1:4" x14ac:dyDescent="0.35">
      <c r="B14" s="101" t="s">
        <v>12</v>
      </c>
      <c r="C14" s="103" t="s">
        <v>13</v>
      </c>
    </row>
    <row r="15" spans="1:4" x14ac:dyDescent="0.35">
      <c r="B15" s="102" t="s">
        <v>14</v>
      </c>
      <c r="C15" s="103"/>
    </row>
    <row r="16" spans="1:4" ht="26.5" x14ac:dyDescent="0.35">
      <c r="B16" s="101" t="s">
        <v>15</v>
      </c>
      <c r="C16" s="103" t="s">
        <v>16</v>
      </c>
    </row>
  </sheetData>
  <sheetProtection algorithmName="SHA-512" hashValue="/ngNDFU5WltwRF9bC73P0RE1ZjxhMXs7Z6Jr+xX2kv8relKAELbuUerl1l7lLWTxa9p87M+EaTUMpje0C/yFBg==" saltValue="sP4dfuj+irOfFGRV03fGPw==" spinCount="100000" sheet="1" objects="1" scenarios="1"/>
  <mergeCells count="11">
    <mergeCell ref="B11:C11"/>
    <mergeCell ref="B7:C7"/>
    <mergeCell ref="A1:C1"/>
    <mergeCell ref="B3:C3"/>
    <mergeCell ref="B4:C4"/>
    <mergeCell ref="B5:C5"/>
    <mergeCell ref="B6:C6"/>
    <mergeCell ref="B8:C8"/>
    <mergeCell ref="B9:C9"/>
    <mergeCell ref="B10:C10"/>
    <mergeCell ref="A2:C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5F9BF-616C-4AAD-A4FE-89D4BAACE312}">
  <dimension ref="B1:J25"/>
  <sheetViews>
    <sheetView workbookViewId="0">
      <selection activeCell="C24" sqref="C24"/>
    </sheetView>
  </sheetViews>
  <sheetFormatPr defaultColWidth="8.81640625" defaultRowHeight="13.5" x14ac:dyDescent="0.3"/>
  <cols>
    <col min="1" max="1" width="2.1796875" style="9" customWidth="1"/>
    <col min="2" max="2" width="3.1796875" style="9" customWidth="1"/>
    <col min="3" max="3" width="43.1796875" style="9" customWidth="1"/>
    <col min="4" max="4" width="8.81640625" style="9"/>
    <col min="5" max="5" width="25" style="9" bestFit="1" customWidth="1"/>
    <col min="6" max="6" width="7.54296875" style="9" customWidth="1"/>
    <col min="7" max="7" width="60.81640625" style="9" bestFit="1" customWidth="1"/>
    <col min="8" max="16384" width="8.81640625" style="9"/>
  </cols>
  <sheetData>
    <row r="1" spans="2:10" x14ac:dyDescent="0.3">
      <c r="C1" s="87"/>
      <c r="D1" s="87"/>
      <c r="E1" s="87"/>
      <c r="F1" s="87"/>
      <c r="G1" s="87"/>
    </row>
    <row r="2" spans="2:10" x14ac:dyDescent="0.3">
      <c r="B2" s="62" t="s">
        <v>162</v>
      </c>
      <c r="C2" s="80"/>
      <c r="D2" s="80"/>
      <c r="E2" s="80"/>
      <c r="F2" s="80"/>
      <c r="G2" s="80"/>
    </row>
    <row r="3" spans="2:10" x14ac:dyDescent="0.3">
      <c r="B3" s="168" t="s">
        <v>172</v>
      </c>
      <c r="C3" s="168"/>
      <c r="D3" s="168"/>
      <c r="E3" s="168"/>
      <c r="F3" s="168"/>
      <c r="G3" s="168"/>
      <c r="H3" s="168"/>
      <c r="I3" s="168"/>
      <c r="J3" s="168"/>
    </row>
    <row r="4" spans="2:10" ht="27.75" customHeight="1" x14ac:dyDescent="0.3">
      <c r="B4" s="168" t="s">
        <v>192</v>
      </c>
      <c r="C4" s="168"/>
      <c r="D4" s="168"/>
      <c r="E4" s="168"/>
      <c r="F4" s="168"/>
      <c r="G4" s="168"/>
      <c r="H4" s="88"/>
      <c r="I4" s="88"/>
      <c r="J4" s="88"/>
    </row>
    <row r="5" spans="2:10" ht="30" customHeight="1" x14ac:dyDescent="0.3">
      <c r="B5" s="168" t="s">
        <v>173</v>
      </c>
      <c r="C5" s="168"/>
      <c r="D5" s="168"/>
      <c r="E5" s="168"/>
      <c r="F5" s="168"/>
      <c r="G5" s="168"/>
      <c r="H5" s="88"/>
      <c r="I5" s="88"/>
      <c r="J5" s="88"/>
    </row>
    <row r="6" spans="2:10" x14ac:dyDescent="0.3">
      <c r="C6" s="87"/>
      <c r="D6" s="87"/>
      <c r="E6" s="87"/>
      <c r="F6" s="87"/>
      <c r="G6" s="87"/>
    </row>
    <row r="7" spans="2:10" ht="33.75" customHeight="1" x14ac:dyDescent="0.3">
      <c r="B7" s="169" t="s">
        <v>163</v>
      </c>
      <c r="C7" s="170"/>
      <c r="D7" s="89" t="s">
        <v>164</v>
      </c>
      <c r="E7" s="90" t="s">
        <v>165</v>
      </c>
      <c r="F7" s="90" t="s">
        <v>166</v>
      </c>
      <c r="G7" s="89" t="s">
        <v>167</v>
      </c>
    </row>
    <row r="8" spans="2:10" x14ac:dyDescent="0.3">
      <c r="B8" s="117" t="s">
        <v>2</v>
      </c>
      <c r="C8" s="110" t="s">
        <v>130</v>
      </c>
      <c r="D8" s="94">
        <v>0</v>
      </c>
      <c r="E8" s="93">
        <v>0</v>
      </c>
      <c r="F8" s="94">
        <v>0</v>
      </c>
      <c r="G8" s="91"/>
    </row>
    <row r="9" spans="2:10" x14ac:dyDescent="0.3">
      <c r="B9" s="117" t="s">
        <v>4</v>
      </c>
      <c r="C9" s="110" t="s">
        <v>130</v>
      </c>
      <c r="D9" s="94">
        <v>0</v>
      </c>
      <c r="E9" s="93">
        <v>0</v>
      </c>
      <c r="F9" s="94">
        <v>0</v>
      </c>
      <c r="G9" s="91"/>
    </row>
    <row r="10" spans="2:10" x14ac:dyDescent="0.3">
      <c r="B10" s="117" t="s">
        <v>5</v>
      </c>
      <c r="C10" s="110" t="s">
        <v>130</v>
      </c>
      <c r="D10" s="94">
        <v>0</v>
      </c>
      <c r="E10" s="93">
        <v>0</v>
      </c>
      <c r="F10" s="94">
        <v>0</v>
      </c>
      <c r="G10" s="91"/>
    </row>
    <row r="11" spans="2:10" x14ac:dyDescent="0.3">
      <c r="B11" s="117" t="s">
        <v>7</v>
      </c>
      <c r="C11" s="110" t="s">
        <v>130</v>
      </c>
      <c r="D11" s="94">
        <v>0</v>
      </c>
      <c r="E11" s="93">
        <v>0</v>
      </c>
      <c r="F11" s="94">
        <v>0</v>
      </c>
      <c r="G11" s="91"/>
    </row>
    <row r="12" spans="2:10" x14ac:dyDescent="0.3">
      <c r="B12" s="117" t="s">
        <v>17</v>
      </c>
      <c r="C12" s="110" t="s">
        <v>130</v>
      </c>
      <c r="D12" s="94">
        <v>0</v>
      </c>
      <c r="E12" s="93">
        <v>0</v>
      </c>
      <c r="F12" s="94">
        <v>0</v>
      </c>
      <c r="G12" s="91"/>
    </row>
    <row r="13" spans="2:10" x14ac:dyDescent="0.3">
      <c r="B13" s="117" t="s">
        <v>168</v>
      </c>
      <c r="C13" s="110" t="s">
        <v>130</v>
      </c>
      <c r="D13" s="94">
        <v>0</v>
      </c>
      <c r="E13" s="93">
        <v>0</v>
      </c>
      <c r="F13" s="94">
        <v>0</v>
      </c>
      <c r="G13" s="91"/>
    </row>
    <row r="14" spans="2:10" x14ac:dyDescent="0.3">
      <c r="B14" s="117" t="s">
        <v>169</v>
      </c>
      <c r="C14" s="110" t="s">
        <v>130</v>
      </c>
      <c r="D14" s="94">
        <v>0</v>
      </c>
      <c r="E14" s="93">
        <v>0</v>
      </c>
      <c r="F14" s="94">
        <v>0</v>
      </c>
      <c r="G14" s="91"/>
    </row>
    <row r="15" spans="2:10" x14ac:dyDescent="0.3">
      <c r="B15" s="117" t="s">
        <v>34</v>
      </c>
      <c r="C15" s="110" t="s">
        <v>130</v>
      </c>
      <c r="D15" s="94">
        <v>0</v>
      </c>
      <c r="E15" s="93">
        <v>0</v>
      </c>
      <c r="F15" s="94">
        <v>0</v>
      </c>
      <c r="G15" s="91"/>
    </row>
    <row r="16" spans="2:10" x14ac:dyDescent="0.3">
      <c r="B16" s="117" t="s">
        <v>170</v>
      </c>
      <c r="C16" s="110" t="s">
        <v>130</v>
      </c>
      <c r="D16" s="94">
        <v>0</v>
      </c>
      <c r="E16" s="93">
        <v>0</v>
      </c>
      <c r="F16" s="94">
        <v>0</v>
      </c>
      <c r="G16" s="91"/>
    </row>
    <row r="17" spans="2:7" x14ac:dyDescent="0.3">
      <c r="B17" s="87"/>
      <c r="C17" s="87"/>
      <c r="D17" s="87"/>
      <c r="E17" s="87"/>
      <c r="F17" s="87"/>
      <c r="G17" s="87"/>
    </row>
    <row r="18" spans="2:7" x14ac:dyDescent="0.3">
      <c r="B18" s="90" t="s">
        <v>171</v>
      </c>
      <c r="C18" s="92"/>
      <c r="D18" s="89" t="s">
        <v>164</v>
      </c>
      <c r="E18" s="90" t="s">
        <v>165</v>
      </c>
      <c r="F18" s="90" t="s">
        <v>166</v>
      </c>
      <c r="G18" s="90" t="s">
        <v>167</v>
      </c>
    </row>
    <row r="19" spans="2:7" x14ac:dyDescent="0.3">
      <c r="B19" s="117" t="s">
        <v>2</v>
      </c>
      <c r="C19" s="110" t="s">
        <v>130</v>
      </c>
      <c r="D19" s="94">
        <v>0</v>
      </c>
      <c r="E19" s="93">
        <v>0</v>
      </c>
      <c r="F19" s="94">
        <v>0</v>
      </c>
      <c r="G19" s="91"/>
    </row>
    <row r="20" spans="2:7" x14ac:dyDescent="0.3">
      <c r="B20" s="117" t="s">
        <v>4</v>
      </c>
      <c r="C20" s="110" t="s">
        <v>130</v>
      </c>
      <c r="D20" s="94">
        <v>0</v>
      </c>
      <c r="E20" s="93">
        <v>0</v>
      </c>
      <c r="F20" s="94">
        <v>0</v>
      </c>
      <c r="G20" s="91"/>
    </row>
    <row r="21" spans="2:7" x14ac:dyDescent="0.3">
      <c r="B21" s="117" t="s">
        <v>5</v>
      </c>
      <c r="C21" s="110" t="s">
        <v>130</v>
      </c>
      <c r="D21" s="94">
        <v>0</v>
      </c>
      <c r="E21" s="93">
        <v>0</v>
      </c>
      <c r="F21" s="94">
        <v>0</v>
      </c>
      <c r="G21" s="91"/>
    </row>
    <row r="22" spans="2:7" x14ac:dyDescent="0.3">
      <c r="B22" s="117" t="s">
        <v>7</v>
      </c>
      <c r="C22" s="110" t="s">
        <v>130</v>
      </c>
      <c r="D22" s="94">
        <v>0</v>
      </c>
      <c r="E22" s="93">
        <v>0</v>
      </c>
      <c r="F22" s="94">
        <v>0</v>
      </c>
      <c r="G22" s="91"/>
    </row>
    <row r="23" spans="2:7" x14ac:dyDescent="0.3">
      <c r="B23" s="117" t="s">
        <v>17</v>
      </c>
      <c r="C23" s="110" t="s">
        <v>130</v>
      </c>
      <c r="D23" s="94">
        <v>0</v>
      </c>
      <c r="E23" s="93">
        <v>0</v>
      </c>
      <c r="F23" s="94">
        <v>0</v>
      </c>
      <c r="G23" s="91"/>
    </row>
    <row r="24" spans="2:7" x14ac:dyDescent="0.3">
      <c r="B24" s="117" t="s">
        <v>168</v>
      </c>
      <c r="C24" s="110" t="s">
        <v>130</v>
      </c>
      <c r="D24" s="94">
        <v>0</v>
      </c>
      <c r="E24" s="93">
        <v>0</v>
      </c>
      <c r="F24" s="94">
        <v>0</v>
      </c>
      <c r="G24" s="91"/>
    </row>
    <row r="25" spans="2:7" x14ac:dyDescent="0.3">
      <c r="B25" s="117" t="s">
        <v>31</v>
      </c>
      <c r="C25" s="110" t="s">
        <v>130</v>
      </c>
      <c r="D25" s="94">
        <v>0</v>
      </c>
      <c r="E25" s="93">
        <v>0</v>
      </c>
      <c r="F25" s="94">
        <v>0</v>
      </c>
      <c r="G25" s="91"/>
    </row>
  </sheetData>
  <sheetProtection algorithmName="SHA-512" hashValue="pCb1Bh2TYXfGCe63W18Lhl1FDiF+i6JMOHtthgX525nksbkDhYA+375VmhO30M6Wz6xkmZYtxAsyt95m0Kxvvw==" saltValue="7r9FxIq+e8QWZeW9zqNfCA==" spinCount="100000" sheet="1" objects="1" scenarios="1"/>
  <mergeCells count="4">
    <mergeCell ref="B3:J3"/>
    <mergeCell ref="B4:G4"/>
    <mergeCell ref="B5:G5"/>
    <mergeCell ref="B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36478-7467-45AB-B1F7-4214BFF5E718}">
  <dimension ref="A1:I40"/>
  <sheetViews>
    <sheetView zoomScaleNormal="100" workbookViewId="0">
      <selection activeCell="G17" sqref="G17"/>
    </sheetView>
  </sheetViews>
  <sheetFormatPr defaultRowHeight="14.5" x14ac:dyDescent="0.35"/>
  <cols>
    <col min="1" max="1" width="29.1796875" bestFit="1" customWidth="1"/>
    <col min="2" max="2" width="20.81640625" bestFit="1" customWidth="1"/>
    <col min="3" max="3" width="17.1796875" bestFit="1" customWidth="1"/>
    <col min="4" max="4" width="31.36328125" bestFit="1" customWidth="1"/>
    <col min="5" max="5" width="29.6328125" bestFit="1" customWidth="1"/>
    <col min="6" max="6" width="27.6328125" bestFit="1" customWidth="1"/>
    <col min="7" max="7" width="19.6328125" bestFit="1" customWidth="1"/>
    <col min="8" max="8" width="19.81640625" bestFit="1" customWidth="1"/>
    <col min="9" max="9" width="28.90625" bestFit="1" customWidth="1"/>
  </cols>
  <sheetData>
    <row r="1" spans="1:9" ht="15" thickBot="1" x14ac:dyDescent="0.4">
      <c r="A1" s="152" t="s">
        <v>181</v>
      </c>
      <c r="B1" s="152"/>
      <c r="C1" s="152"/>
      <c r="D1" s="152"/>
      <c r="E1" s="152"/>
      <c r="F1" s="152"/>
      <c r="G1" s="152"/>
      <c r="H1" s="152"/>
      <c r="I1" s="152"/>
    </row>
    <row r="2" spans="1:9" x14ac:dyDescent="0.35">
      <c r="A2" s="19" t="s">
        <v>35</v>
      </c>
      <c r="B2" s="20" t="s">
        <v>36</v>
      </c>
      <c r="C2" s="21" t="s">
        <v>74</v>
      </c>
      <c r="D2" s="20" t="s">
        <v>37</v>
      </c>
      <c r="E2" s="20" t="s">
        <v>75</v>
      </c>
      <c r="F2" s="20" t="s">
        <v>38</v>
      </c>
      <c r="G2" s="20" t="s">
        <v>39</v>
      </c>
      <c r="H2" s="20" t="s">
        <v>234</v>
      </c>
      <c r="I2" s="22" t="s">
        <v>40</v>
      </c>
    </row>
    <row r="3" spans="1:9" x14ac:dyDescent="0.35">
      <c r="A3" s="12" t="s">
        <v>41</v>
      </c>
      <c r="B3" s="10">
        <v>32761.388999999999</v>
      </c>
      <c r="C3" s="10" t="s">
        <v>63</v>
      </c>
      <c r="D3" s="10">
        <v>9019.0679999999993</v>
      </c>
      <c r="E3" s="11" t="s">
        <v>78</v>
      </c>
      <c r="F3" s="11" t="s">
        <v>42</v>
      </c>
      <c r="G3" s="10">
        <v>406.8</v>
      </c>
      <c r="H3" s="10" t="s">
        <v>79</v>
      </c>
      <c r="I3" s="13">
        <v>21.6</v>
      </c>
    </row>
    <row r="4" spans="1:9" x14ac:dyDescent="0.35">
      <c r="A4" s="12" t="s">
        <v>44</v>
      </c>
      <c r="B4" s="10">
        <v>31303.054</v>
      </c>
      <c r="C4" s="10" t="s">
        <v>64</v>
      </c>
      <c r="D4" s="10">
        <v>9033.9989999999998</v>
      </c>
      <c r="E4" s="11" t="s">
        <v>80</v>
      </c>
      <c r="F4" s="11" t="s">
        <v>42</v>
      </c>
      <c r="G4" s="10">
        <v>392.4</v>
      </c>
      <c r="H4" s="10" t="s">
        <v>81</v>
      </c>
      <c r="I4" s="13">
        <v>3.6</v>
      </c>
    </row>
    <row r="5" spans="1:9" x14ac:dyDescent="0.35">
      <c r="A5" s="12" t="s">
        <v>43</v>
      </c>
      <c r="B5" s="10">
        <v>38084.334000000003</v>
      </c>
      <c r="C5" s="10" t="s">
        <v>62</v>
      </c>
      <c r="D5" s="10">
        <v>8859.57</v>
      </c>
      <c r="E5" s="11" t="s">
        <v>76</v>
      </c>
      <c r="F5" s="11" t="s">
        <v>42</v>
      </c>
      <c r="G5" s="10">
        <v>496.8</v>
      </c>
      <c r="H5" s="10" t="s">
        <v>77</v>
      </c>
      <c r="I5" s="13">
        <v>7.2</v>
      </c>
    </row>
    <row r="6" spans="1:9" x14ac:dyDescent="0.35">
      <c r="A6" s="12" t="s">
        <v>45</v>
      </c>
      <c r="B6" s="10">
        <v>36347.377999999997</v>
      </c>
      <c r="C6" s="10" t="s">
        <v>65</v>
      </c>
      <c r="D6" s="10">
        <v>8757.152</v>
      </c>
      <c r="E6" s="11" t="s">
        <v>82</v>
      </c>
      <c r="F6" s="11" t="s">
        <v>42</v>
      </c>
      <c r="G6" s="10">
        <v>568.79999999999995</v>
      </c>
      <c r="H6" s="10" t="s">
        <v>83</v>
      </c>
      <c r="I6" s="13">
        <v>7.2</v>
      </c>
    </row>
    <row r="7" spans="1:9" x14ac:dyDescent="0.35">
      <c r="A7" s="12" t="s">
        <v>46</v>
      </c>
      <c r="B7" s="10">
        <v>35710.302000000003</v>
      </c>
      <c r="C7" s="10" t="s">
        <v>66</v>
      </c>
      <c r="D7" s="10">
        <v>7333.41</v>
      </c>
      <c r="E7" s="11" t="s">
        <v>84</v>
      </c>
      <c r="F7" s="11" t="s">
        <v>42</v>
      </c>
      <c r="G7" s="10">
        <v>432</v>
      </c>
      <c r="H7" s="10" t="s">
        <v>85</v>
      </c>
      <c r="I7" s="13" t="s">
        <v>42</v>
      </c>
    </row>
    <row r="8" spans="1:9" x14ac:dyDescent="0.35">
      <c r="A8" s="12" t="s">
        <v>47</v>
      </c>
      <c r="B8" s="10">
        <v>30840.867999999999</v>
      </c>
      <c r="C8" s="10" t="s">
        <v>67</v>
      </c>
      <c r="D8" s="10">
        <v>7781.5460000000003</v>
      </c>
      <c r="E8" s="11" t="s">
        <v>86</v>
      </c>
      <c r="F8" s="11">
        <v>53</v>
      </c>
      <c r="G8" s="10">
        <v>504</v>
      </c>
      <c r="H8" s="10" t="s">
        <v>87</v>
      </c>
      <c r="I8" s="13" t="s">
        <v>42</v>
      </c>
    </row>
    <row r="9" spans="1:9" x14ac:dyDescent="0.35">
      <c r="A9" s="12" t="s">
        <v>48</v>
      </c>
      <c r="B9" s="10">
        <v>34686.982000000004</v>
      </c>
      <c r="C9" s="10" t="s">
        <v>68</v>
      </c>
      <c r="D9" s="10">
        <v>6887.7889999999998</v>
      </c>
      <c r="E9" s="11" t="s">
        <v>88</v>
      </c>
      <c r="F9" s="11" t="s">
        <v>42</v>
      </c>
      <c r="G9" s="10">
        <v>442.8</v>
      </c>
      <c r="H9" s="10" t="s">
        <v>89</v>
      </c>
      <c r="I9" s="13" t="s">
        <v>42</v>
      </c>
    </row>
    <row r="10" spans="1:9" x14ac:dyDescent="0.35">
      <c r="A10" s="12" t="s">
        <v>49</v>
      </c>
      <c r="B10" s="10">
        <v>26939.684000000001</v>
      </c>
      <c r="C10" s="10" t="s">
        <v>69</v>
      </c>
      <c r="D10" s="10">
        <v>5553.335</v>
      </c>
      <c r="E10" s="11" t="s">
        <v>90</v>
      </c>
      <c r="F10" s="11" t="s">
        <v>42</v>
      </c>
      <c r="G10" s="10">
        <v>219.6</v>
      </c>
      <c r="H10" s="10" t="s">
        <v>91</v>
      </c>
      <c r="I10" s="13" t="s">
        <v>42</v>
      </c>
    </row>
    <row r="11" spans="1:9" x14ac:dyDescent="0.35">
      <c r="A11" s="12" t="s">
        <v>51</v>
      </c>
      <c r="B11" s="10">
        <v>40609.167000000001</v>
      </c>
      <c r="C11" s="10" t="s">
        <v>73</v>
      </c>
      <c r="D11" s="10">
        <v>8883.0159999999996</v>
      </c>
      <c r="E11" s="11" t="s">
        <v>98</v>
      </c>
      <c r="F11" s="11" t="s">
        <v>42</v>
      </c>
      <c r="G11" s="10">
        <v>482.4</v>
      </c>
      <c r="H11" s="10" t="s">
        <v>99</v>
      </c>
      <c r="I11" s="13">
        <v>7.2</v>
      </c>
    </row>
    <row r="12" spans="1:9" x14ac:dyDescent="0.35">
      <c r="A12" s="12" t="s">
        <v>52</v>
      </c>
      <c r="B12" s="10">
        <v>38159.146999999997</v>
      </c>
      <c r="C12" s="10" t="s">
        <v>70</v>
      </c>
      <c r="D12" s="10">
        <v>9295.3310000000001</v>
      </c>
      <c r="E12" s="11" t="s">
        <v>92</v>
      </c>
      <c r="F12" s="11">
        <v>145</v>
      </c>
      <c r="G12" s="10">
        <v>450</v>
      </c>
      <c r="H12" s="10" t="s">
        <v>93</v>
      </c>
      <c r="I12" s="13" t="s">
        <v>42</v>
      </c>
    </row>
    <row r="13" spans="1:9" x14ac:dyDescent="0.35">
      <c r="A13" s="12" t="s">
        <v>53</v>
      </c>
      <c r="B13" s="10">
        <v>44594.593000000001</v>
      </c>
      <c r="C13" s="10" t="s">
        <v>71</v>
      </c>
      <c r="D13" s="10">
        <v>9238.26</v>
      </c>
      <c r="E13" s="11" t="s">
        <v>94</v>
      </c>
      <c r="F13" s="11">
        <v>39</v>
      </c>
      <c r="G13" s="10">
        <v>486</v>
      </c>
      <c r="H13" s="10" t="s">
        <v>95</v>
      </c>
      <c r="I13" s="13">
        <v>3.6</v>
      </c>
    </row>
    <row r="14" spans="1:9" ht="15" thickBot="1" x14ac:dyDescent="0.4">
      <c r="A14" s="14" t="s">
        <v>50</v>
      </c>
      <c r="B14" s="15">
        <v>39106.283000000003</v>
      </c>
      <c r="C14" s="15" t="s">
        <v>72</v>
      </c>
      <c r="D14" s="15">
        <v>7578.2619999999997</v>
      </c>
      <c r="E14" s="17" t="s">
        <v>96</v>
      </c>
      <c r="F14" s="17">
        <v>57</v>
      </c>
      <c r="G14" s="15">
        <v>295.2</v>
      </c>
      <c r="H14" s="15" t="s">
        <v>97</v>
      </c>
      <c r="I14" s="16" t="s">
        <v>42</v>
      </c>
    </row>
    <row r="17" spans="1:8" ht="15" thickBot="1" x14ac:dyDescent="0.4">
      <c r="A17" s="152" t="s">
        <v>101</v>
      </c>
      <c r="B17" s="152"/>
      <c r="C17" s="152"/>
      <c r="D17" s="152"/>
      <c r="E17" s="152"/>
      <c r="F17" s="152"/>
    </row>
    <row r="18" spans="1:8" ht="15" thickBot="1" x14ac:dyDescent="0.4">
      <c r="A18" s="118" t="s">
        <v>23</v>
      </c>
      <c r="B18" s="119" t="s">
        <v>54</v>
      </c>
      <c r="C18" s="120" t="s">
        <v>55</v>
      </c>
      <c r="D18" s="120" t="s">
        <v>56</v>
      </c>
      <c r="E18" s="120" t="s">
        <v>57</v>
      </c>
      <c r="F18" s="120" t="s">
        <v>58</v>
      </c>
      <c r="H18" s="25"/>
    </row>
    <row r="19" spans="1:8" x14ac:dyDescent="0.35">
      <c r="A19" s="122">
        <v>2027</v>
      </c>
      <c r="B19" s="123">
        <v>2400</v>
      </c>
      <c r="C19" s="124">
        <v>106709</v>
      </c>
      <c r="D19" s="124">
        <v>8380.2199999999993</v>
      </c>
      <c r="E19" s="124">
        <v>46897.85</v>
      </c>
      <c r="F19" s="125">
        <v>164387.07</v>
      </c>
      <c r="H19" s="25"/>
    </row>
    <row r="20" spans="1:8" x14ac:dyDescent="0.35">
      <c r="A20" s="122">
        <v>2028</v>
      </c>
      <c r="B20" s="123">
        <v>200</v>
      </c>
      <c r="C20" s="124">
        <v>110242.4</v>
      </c>
      <c r="D20" s="124">
        <v>8655.7800000000007</v>
      </c>
      <c r="E20" s="124">
        <v>48445.48</v>
      </c>
      <c r="F20" s="125">
        <v>167543.66</v>
      </c>
      <c r="H20" s="18"/>
    </row>
    <row r="21" spans="1:8" x14ac:dyDescent="0.35">
      <c r="A21" s="122">
        <v>2029</v>
      </c>
      <c r="B21" s="123">
        <v>200</v>
      </c>
      <c r="C21" s="124">
        <v>113909.4</v>
      </c>
      <c r="D21" s="124">
        <v>8939.4</v>
      </c>
      <c r="E21" s="124">
        <v>50043.18</v>
      </c>
      <c r="F21" s="125">
        <v>173091.98</v>
      </c>
      <c r="H21" s="18"/>
    </row>
    <row r="22" spans="1:8" x14ac:dyDescent="0.35">
      <c r="A22" s="122">
        <v>2030</v>
      </c>
      <c r="B22" s="123">
        <v>200</v>
      </c>
      <c r="C22" s="124">
        <v>117718.39999999999</v>
      </c>
      <c r="D22" s="124">
        <v>9231.4</v>
      </c>
      <c r="E22" s="124">
        <v>51692.61</v>
      </c>
      <c r="F22" s="125">
        <v>178842.41</v>
      </c>
      <c r="H22" s="18"/>
    </row>
    <row r="23" spans="1:8" x14ac:dyDescent="0.35">
      <c r="A23" s="122">
        <v>2031</v>
      </c>
      <c r="B23" s="123">
        <v>200</v>
      </c>
      <c r="C23" s="124">
        <v>121679.1</v>
      </c>
      <c r="D23" s="124">
        <v>9532.0400000000009</v>
      </c>
      <c r="E23" s="124">
        <v>53394.46</v>
      </c>
      <c r="F23" s="125">
        <v>184805.6</v>
      </c>
      <c r="H23" s="18"/>
    </row>
    <row r="24" spans="1:8" x14ac:dyDescent="0.35">
      <c r="A24" s="122">
        <v>2032</v>
      </c>
      <c r="B24" s="123">
        <v>200</v>
      </c>
      <c r="C24" s="124">
        <v>125801.5</v>
      </c>
      <c r="D24" s="124">
        <v>9841.61</v>
      </c>
      <c r="E24" s="124">
        <v>55150.48</v>
      </c>
      <c r="F24" s="125">
        <v>190993.59</v>
      </c>
      <c r="H24" s="18"/>
    </row>
    <row r="25" spans="1:8" x14ac:dyDescent="0.35">
      <c r="A25" s="122">
        <v>2033</v>
      </c>
      <c r="B25" s="123">
        <v>200</v>
      </c>
      <c r="C25" s="124">
        <v>130096</v>
      </c>
      <c r="D25" s="124">
        <v>10160.36</v>
      </c>
      <c r="E25" s="124">
        <v>56962.43</v>
      </c>
      <c r="F25" s="125">
        <v>197418.79</v>
      </c>
      <c r="H25" s="18"/>
    </row>
    <row r="26" spans="1:8" x14ac:dyDescent="0.35">
      <c r="A26" s="122">
        <v>2034</v>
      </c>
      <c r="B26" s="123">
        <v>200</v>
      </c>
      <c r="C26" s="124">
        <v>134573.20000000001</v>
      </c>
      <c r="D26" s="124">
        <v>10488.65</v>
      </c>
      <c r="E26" s="124">
        <v>58832.160000000003</v>
      </c>
      <c r="F26" s="125">
        <v>204094.01</v>
      </c>
      <c r="H26" s="18"/>
    </row>
    <row r="27" spans="1:8" ht="15" thickBot="1" x14ac:dyDescent="0.4">
      <c r="A27" s="126" t="s">
        <v>58</v>
      </c>
      <c r="B27" s="155">
        <v>1461177.11</v>
      </c>
      <c r="C27" s="156"/>
      <c r="D27" s="156"/>
      <c r="E27" s="156"/>
      <c r="F27" s="156"/>
    </row>
    <row r="28" spans="1:8" x14ac:dyDescent="0.35">
      <c r="H28" s="18"/>
    </row>
    <row r="29" spans="1:8" x14ac:dyDescent="0.35">
      <c r="A29" s="153" t="s">
        <v>102</v>
      </c>
      <c r="B29" s="153"/>
      <c r="C29" s="153"/>
    </row>
    <row r="30" spans="1:8" x14ac:dyDescent="0.35">
      <c r="A30" s="6" t="s">
        <v>128</v>
      </c>
      <c r="B30" s="6" t="s">
        <v>59</v>
      </c>
      <c r="C30" s="23">
        <v>0.36</v>
      </c>
      <c r="H30" s="18"/>
    </row>
    <row r="31" spans="1:8" x14ac:dyDescent="0.35">
      <c r="A31" s="6" t="s">
        <v>60</v>
      </c>
      <c r="B31" s="6" t="s">
        <v>100</v>
      </c>
      <c r="C31" s="23">
        <v>0.34</v>
      </c>
      <c r="H31" s="18"/>
    </row>
    <row r="32" spans="1:8" x14ac:dyDescent="0.35">
      <c r="A32" s="6" t="s">
        <v>129</v>
      </c>
      <c r="B32" s="6" t="s">
        <v>61</v>
      </c>
      <c r="C32" s="23">
        <v>0.3</v>
      </c>
    </row>
    <row r="34" spans="1:4" x14ac:dyDescent="0.35">
      <c r="A34" s="154" t="s">
        <v>213</v>
      </c>
      <c r="B34" s="154"/>
      <c r="C34" s="154"/>
      <c r="D34" s="154"/>
    </row>
    <row r="35" spans="1:4" x14ac:dyDescent="0.35">
      <c r="A35" s="24" t="s">
        <v>194</v>
      </c>
      <c r="B35" s="24" t="s">
        <v>193</v>
      </c>
      <c r="C35" s="24" t="s">
        <v>195</v>
      </c>
      <c r="D35" s="24" t="s">
        <v>196</v>
      </c>
    </row>
    <row r="36" spans="1:4" x14ac:dyDescent="0.35">
      <c r="A36" s="6" t="s">
        <v>197</v>
      </c>
      <c r="B36" s="6" t="s">
        <v>198</v>
      </c>
      <c r="C36" s="6" t="s">
        <v>199</v>
      </c>
      <c r="D36" s="6">
        <v>12</v>
      </c>
    </row>
    <row r="37" spans="1:4" x14ac:dyDescent="0.35">
      <c r="A37" s="6" t="s">
        <v>211</v>
      </c>
      <c r="B37" s="6" t="s">
        <v>200</v>
      </c>
      <c r="C37" s="6" t="s">
        <v>201</v>
      </c>
      <c r="D37" s="6">
        <v>5</v>
      </c>
    </row>
    <row r="38" spans="1:4" x14ac:dyDescent="0.35">
      <c r="A38" s="6" t="s">
        <v>202</v>
      </c>
      <c r="B38" s="6" t="s">
        <v>203</v>
      </c>
      <c r="C38" s="6" t="s">
        <v>204</v>
      </c>
      <c r="D38" s="6">
        <v>23</v>
      </c>
    </row>
    <row r="39" spans="1:4" x14ac:dyDescent="0.35">
      <c r="A39" s="6" t="s">
        <v>205</v>
      </c>
      <c r="B39" s="6" t="s">
        <v>206</v>
      </c>
      <c r="C39" s="6" t="s">
        <v>207</v>
      </c>
      <c r="D39" s="6">
        <v>13</v>
      </c>
    </row>
    <row r="40" spans="1:4" x14ac:dyDescent="0.35">
      <c r="A40" s="6" t="s">
        <v>208</v>
      </c>
      <c r="B40" s="6" t="s">
        <v>209</v>
      </c>
      <c r="C40" s="6" t="s">
        <v>210</v>
      </c>
      <c r="D40" s="6">
        <v>147</v>
      </c>
    </row>
  </sheetData>
  <sheetProtection algorithmName="SHA-512" hashValue="2UY2e3xkXlwlXwdB0V2ydHki2YQtQ/h9ZZ+8PgQHmHF/Mt7qlhLKe6zli1LxOxF8MEZi5y0BM/4Z8W+wqK8Lpg==" saltValue="IqfUE8NEQPWQBHHI5mru3g==" spinCount="100000" sheet="1" objects="1" scenarios="1"/>
  <mergeCells count="5">
    <mergeCell ref="A1:I1"/>
    <mergeCell ref="A29:C29"/>
    <mergeCell ref="A34:D34"/>
    <mergeCell ref="B27:F27"/>
    <mergeCell ref="A17:F17"/>
  </mergeCells>
  <phoneticPr fontId="18" type="noConversion"/>
  <pageMargins left="0.7" right="0.7" top="0.75" bottom="0.75" header="0.3" footer="0.3"/>
  <ignoredErrors>
    <ignoredError sqref="C3:C14 E3:E14 H3:H1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
  <sheetViews>
    <sheetView zoomScale="85" zoomScaleNormal="85" workbookViewId="0">
      <selection activeCell="B2" sqref="B2:B11"/>
    </sheetView>
  </sheetViews>
  <sheetFormatPr defaultColWidth="0" defaultRowHeight="13.5" x14ac:dyDescent="0.3"/>
  <cols>
    <col min="1" max="1" width="103.6328125" style="121" customWidth="1"/>
    <col min="2" max="2" width="47.08984375" style="121" customWidth="1"/>
    <col min="3" max="3" width="34.6328125" style="121" bestFit="1" customWidth="1"/>
    <col min="4" max="4" width="40.90625" style="121" bestFit="1" customWidth="1"/>
    <col min="5" max="5" width="36.36328125" style="121" bestFit="1" customWidth="1"/>
    <col min="6" max="6" width="37.453125" style="121" bestFit="1" customWidth="1"/>
    <col min="7" max="7" width="30.90625" style="121" bestFit="1" customWidth="1"/>
    <col min="8" max="16384" width="8.81640625" style="121" hidden="1"/>
  </cols>
  <sheetData>
    <row r="1" spans="1:6" s="76" customFormat="1" x14ac:dyDescent="0.3">
      <c r="A1" s="76" t="s">
        <v>233</v>
      </c>
      <c r="B1" s="157" t="s">
        <v>226</v>
      </c>
      <c r="C1" s="157"/>
      <c r="D1" s="157"/>
      <c r="E1" s="157"/>
    </row>
    <row r="2" spans="1:6" ht="14.5" customHeight="1" x14ac:dyDescent="0.3">
      <c r="A2" s="133"/>
      <c r="B2" s="158"/>
      <c r="C2" s="159" t="s">
        <v>231</v>
      </c>
      <c r="D2" s="159"/>
      <c r="E2" s="159"/>
      <c r="F2" s="159"/>
    </row>
    <row r="3" spans="1:6" x14ac:dyDescent="0.3">
      <c r="A3" s="133"/>
      <c r="B3" s="158"/>
      <c r="C3" s="159"/>
      <c r="D3" s="159"/>
      <c r="E3" s="159"/>
      <c r="F3" s="159"/>
    </row>
    <row r="4" spans="1:6" x14ac:dyDescent="0.3">
      <c r="A4" s="133"/>
      <c r="B4" s="158"/>
      <c r="C4" s="159"/>
      <c r="D4" s="159"/>
      <c r="E4" s="159"/>
      <c r="F4" s="159"/>
    </row>
    <row r="5" spans="1:6" x14ac:dyDescent="0.3">
      <c r="A5" s="133"/>
      <c r="B5" s="158"/>
      <c r="C5" s="159"/>
      <c r="D5" s="159"/>
      <c r="E5" s="159"/>
      <c r="F5" s="159"/>
    </row>
    <row r="6" spans="1:6" x14ac:dyDescent="0.3">
      <c r="A6" s="133"/>
      <c r="B6" s="158"/>
      <c r="C6" s="159"/>
      <c r="D6" s="159"/>
      <c r="E6" s="159"/>
      <c r="F6" s="159"/>
    </row>
    <row r="7" spans="1:6" x14ac:dyDescent="0.3">
      <c r="A7" s="133"/>
      <c r="B7" s="158"/>
      <c r="C7" s="159"/>
      <c r="D7" s="159"/>
      <c r="E7" s="159"/>
      <c r="F7" s="159"/>
    </row>
    <row r="8" spans="1:6" x14ac:dyDescent="0.3">
      <c r="A8" s="133"/>
      <c r="B8" s="158"/>
      <c r="C8" s="159"/>
      <c r="D8" s="159"/>
      <c r="E8" s="159"/>
      <c r="F8" s="159"/>
    </row>
    <row r="9" spans="1:6" x14ac:dyDescent="0.3">
      <c r="A9" s="133"/>
      <c r="B9" s="158"/>
      <c r="C9" s="159"/>
      <c r="D9" s="159"/>
      <c r="E9" s="159"/>
      <c r="F9" s="159"/>
    </row>
    <row r="10" spans="1:6" x14ac:dyDescent="0.3">
      <c r="A10" s="133"/>
      <c r="B10" s="158"/>
      <c r="C10" s="159"/>
      <c r="D10" s="159"/>
      <c r="E10" s="159"/>
      <c r="F10" s="159"/>
    </row>
    <row r="11" spans="1:6" x14ac:dyDescent="0.3">
      <c r="A11" s="133"/>
      <c r="B11" s="158"/>
      <c r="C11" s="159"/>
      <c r="D11" s="159"/>
      <c r="E11" s="159"/>
      <c r="F11" s="159"/>
    </row>
    <row r="12" spans="1:6" s="135" customFormat="1" x14ac:dyDescent="0.3">
      <c r="A12" s="134"/>
      <c r="B12" s="134"/>
      <c r="C12" s="134"/>
      <c r="D12" s="134"/>
      <c r="E12" s="134"/>
      <c r="F12" s="134"/>
    </row>
    <row r="13" spans="1:6" s="76" customFormat="1" x14ac:dyDescent="0.3">
      <c r="A13" s="127" t="s">
        <v>20</v>
      </c>
      <c r="B13" s="127" t="s">
        <v>21</v>
      </c>
      <c r="C13" s="127" t="s">
        <v>1</v>
      </c>
      <c r="D13" s="90" t="s">
        <v>19</v>
      </c>
      <c r="E13" s="90" t="s">
        <v>0</v>
      </c>
      <c r="F13" s="62"/>
    </row>
    <row r="14" spans="1:6" x14ac:dyDescent="0.3">
      <c r="A14" s="131" t="s">
        <v>232</v>
      </c>
      <c r="B14" s="128" t="s">
        <v>22</v>
      </c>
      <c r="C14" s="128">
        <v>200</v>
      </c>
      <c r="D14" s="136">
        <v>0</v>
      </c>
      <c r="E14" s="137">
        <f>C14*D14</f>
        <v>0</v>
      </c>
    </row>
    <row r="15" spans="1:6" x14ac:dyDescent="0.3">
      <c r="A15" s="56" t="s">
        <v>24</v>
      </c>
      <c r="B15" s="56"/>
      <c r="C15" s="138"/>
      <c r="D15" s="139"/>
      <c r="E15" s="140">
        <f>SUM(E14:E14)</f>
        <v>0</v>
      </c>
    </row>
    <row r="16" spans="1:6" x14ac:dyDescent="0.3">
      <c r="C16" s="141"/>
      <c r="D16" s="141"/>
    </row>
    <row r="17" spans="1:4" x14ac:dyDescent="0.3">
      <c r="A17" s="127" t="s">
        <v>159</v>
      </c>
      <c r="B17" s="127" t="s">
        <v>21</v>
      </c>
      <c r="C17" s="90" t="s">
        <v>161</v>
      </c>
      <c r="D17" s="90" t="s">
        <v>160</v>
      </c>
    </row>
    <row r="18" spans="1:4" x14ac:dyDescent="0.3">
      <c r="A18" s="53" t="s">
        <v>152</v>
      </c>
      <c r="B18" s="128" t="s">
        <v>22</v>
      </c>
      <c r="C18" s="54">
        <f>'Gebruiker 1 (Uitvoerend)'!B61</f>
        <v>443.40000000000032</v>
      </c>
      <c r="D18" s="55">
        <f>'Gebruiker 1 (Uitvoerend)'!J52</f>
        <v>443.40000000000032</v>
      </c>
    </row>
    <row r="19" spans="1:4" x14ac:dyDescent="0.3">
      <c r="A19" s="53" t="s">
        <v>153</v>
      </c>
      <c r="B19" s="128" t="s">
        <v>22</v>
      </c>
      <c r="C19" s="54">
        <f>'Gebruiker 2 (Kantoor)'!B76</f>
        <v>491.55000000000018</v>
      </c>
      <c r="D19" s="55">
        <f>'Gebruiker 2 (Kantoor)'!J67</f>
        <v>491.55000000000018</v>
      </c>
    </row>
    <row r="20" spans="1:4" x14ac:dyDescent="0.3">
      <c r="A20" s="53" t="s">
        <v>154</v>
      </c>
      <c r="B20" s="128" t="s">
        <v>22</v>
      </c>
      <c r="C20" s="54">
        <f>'Gebruiker 3 (Beleidsmdw)'!B33</f>
        <v>160.64999999999995</v>
      </c>
      <c r="D20" s="55">
        <f>'Gebruiker 3 (Beleidsmdw)'!J24</f>
        <v>160.64999999999995</v>
      </c>
    </row>
    <row r="21" spans="1:4" x14ac:dyDescent="0.3">
      <c r="A21" s="53" t="s">
        <v>155</v>
      </c>
      <c r="B21" s="128" t="s">
        <v>22</v>
      </c>
      <c r="C21" s="54">
        <f>'Gebruiker 4 (Hybride kantoor)'!B43</f>
        <v>155.90000000000006</v>
      </c>
      <c r="D21" s="55">
        <f>'Gebruiker 4 (Hybride kantoor)'!J34</f>
        <v>155.90000000000006</v>
      </c>
    </row>
    <row r="22" spans="1:4" x14ac:dyDescent="0.3">
      <c r="A22" s="53" t="s">
        <v>156</v>
      </c>
      <c r="B22" s="128" t="s">
        <v>22</v>
      </c>
      <c r="C22" s="54">
        <f>'Gebruiker 5 (Parttime-flexibel)'!B23</f>
        <v>50.65</v>
      </c>
      <c r="D22" s="55">
        <f>'Gebruiker 5 (Parttime-flexibel)'!J14</f>
        <v>50.65</v>
      </c>
    </row>
    <row r="23" spans="1:4" x14ac:dyDescent="0.3">
      <c r="A23" s="53" t="s">
        <v>157</v>
      </c>
      <c r="B23" s="128" t="s">
        <v>22</v>
      </c>
      <c r="C23" s="54">
        <f>'Gebruiker 6 (Regionaal)'!B29</f>
        <v>42.360000000000007</v>
      </c>
      <c r="D23" s="55">
        <f>'Gebruiker 6 (Regionaal)'!J20</f>
        <v>42.360000000000007</v>
      </c>
    </row>
    <row r="24" spans="1:4" x14ac:dyDescent="0.3">
      <c r="A24" s="56" t="s">
        <v>174</v>
      </c>
      <c r="B24" s="56"/>
      <c r="C24" s="57">
        <f>SUM(C18:C23)</f>
        <v>1344.5100000000004</v>
      </c>
      <c r="D24" s="143">
        <f>SUM(D18:D23)</f>
        <v>1344.5100000000004</v>
      </c>
    </row>
    <row r="25" spans="1:4" ht="27" x14ac:dyDescent="0.3">
      <c r="A25" s="129" t="s">
        <v>158</v>
      </c>
      <c r="B25" s="130">
        <v>0</v>
      </c>
      <c r="C25" s="54">
        <f>C24*(1-B25)</f>
        <v>1344.5100000000004</v>
      </c>
      <c r="D25" s="128"/>
    </row>
    <row r="26" spans="1:4" x14ac:dyDescent="0.3">
      <c r="A26" s="56" t="s">
        <v>175</v>
      </c>
      <c r="B26" s="56"/>
      <c r="C26" s="57"/>
      <c r="D26" s="143">
        <f>C25</f>
        <v>1344.5100000000004</v>
      </c>
    </row>
    <row r="29" spans="1:4" x14ac:dyDescent="0.3">
      <c r="A29" s="62" t="s">
        <v>176</v>
      </c>
      <c r="B29" s="62" t="s">
        <v>26</v>
      </c>
    </row>
    <row r="30" spans="1:4" x14ac:dyDescent="0.3">
      <c r="A30" s="121" t="s">
        <v>224</v>
      </c>
      <c r="B30" s="142">
        <f>D14*6</f>
        <v>0</v>
      </c>
    </row>
    <row r="31" spans="1:4" x14ac:dyDescent="0.3">
      <c r="A31" s="121" t="s">
        <v>159</v>
      </c>
      <c r="B31" s="142">
        <f>D26</f>
        <v>1344.5100000000004</v>
      </c>
    </row>
    <row r="32" spans="1:4" x14ac:dyDescent="0.3">
      <c r="A32" s="56" t="s">
        <v>177</v>
      </c>
      <c r="B32" s="57">
        <f>SUM(B30:B31)</f>
        <v>1344.5100000000004</v>
      </c>
    </row>
    <row r="34" spans="1:1" x14ac:dyDescent="0.3">
      <c r="A34" s="132" t="s">
        <v>227</v>
      </c>
    </row>
    <row r="35" spans="1:1" x14ac:dyDescent="0.3">
      <c r="A35" s="87" t="s">
        <v>178</v>
      </c>
    </row>
    <row r="36" spans="1:1" x14ac:dyDescent="0.3">
      <c r="A36" s="87" t="s">
        <v>179</v>
      </c>
    </row>
    <row r="37" spans="1:1" x14ac:dyDescent="0.3">
      <c r="A37" s="87" t="s">
        <v>180</v>
      </c>
    </row>
    <row r="38" spans="1:1" x14ac:dyDescent="0.3">
      <c r="A38" s="87" t="s">
        <v>228</v>
      </c>
    </row>
    <row r="40" spans="1:1" ht="27" x14ac:dyDescent="0.3">
      <c r="A40" s="144" t="s">
        <v>229</v>
      </c>
    </row>
    <row r="41" spans="1:1" ht="40.5" x14ac:dyDescent="0.3">
      <c r="A41" s="144" t="s">
        <v>230</v>
      </c>
    </row>
  </sheetData>
  <sheetProtection algorithmName="SHA-512" hashValue="MQZSmOiFXbkllQEtxhZtPXgL5rvXFtBZZF4LKf4qy5ryZpVgzSlz78VwhM5awQDnDntXXEFAj3ck9wXRzTDjAQ==" saltValue="NXoaKuKr2sXiskgCcZyG/A==" spinCount="100000" sheet="1" objects="1" scenarios="1"/>
  <mergeCells count="3">
    <mergeCell ref="B1:E1"/>
    <mergeCell ref="B2:B11"/>
    <mergeCell ref="C2:F11"/>
  </mergeCells>
  <pageMargins left="0.7" right="0.7" top="0.75" bottom="0.75" header="0.3" footer="0.3"/>
  <ignoredErrors>
    <ignoredError sqref="C25" formula="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1CA79-9B3A-4656-9411-87728DD73947}">
  <dimension ref="A1:M62"/>
  <sheetViews>
    <sheetView topLeftCell="A34" workbookViewId="0">
      <selection activeCell="G43" sqref="G43"/>
    </sheetView>
  </sheetViews>
  <sheetFormatPr defaultRowHeight="14.5" x14ac:dyDescent="0.35"/>
  <cols>
    <col min="1" max="1" width="32.81640625" customWidth="1"/>
    <col min="2" max="2" width="16.08984375" bestFit="1" customWidth="1"/>
    <col min="3" max="3" width="15.1796875" customWidth="1"/>
    <col min="4" max="4" width="8.54296875" bestFit="1" customWidth="1"/>
    <col min="5" max="5" width="12.08984375" bestFit="1" customWidth="1"/>
    <col min="6" max="6" width="20.36328125" bestFit="1" customWidth="1"/>
    <col min="7" max="7" width="21.36328125" customWidth="1"/>
    <col min="8" max="8" width="14.6328125" customWidth="1"/>
    <col min="9" max="9" width="8.81640625" customWidth="1"/>
    <col min="10" max="10" width="14.1796875" customWidth="1"/>
    <col min="11" max="11" width="21.54296875" customWidth="1"/>
    <col min="12" max="12" width="10.90625" customWidth="1"/>
    <col min="13" max="13" width="23.1796875" customWidth="1"/>
  </cols>
  <sheetData>
    <row r="1" spans="1:13" x14ac:dyDescent="0.35">
      <c r="A1" s="27" t="s">
        <v>103</v>
      </c>
      <c r="B1" s="27" t="s">
        <v>104</v>
      </c>
      <c r="C1" s="27" t="s">
        <v>105</v>
      </c>
      <c r="D1" s="27" t="s">
        <v>106</v>
      </c>
      <c r="E1" s="27" t="s">
        <v>143</v>
      </c>
      <c r="F1" s="27" t="s">
        <v>107</v>
      </c>
      <c r="G1" s="27" t="s">
        <v>108</v>
      </c>
      <c r="H1" s="27" t="s">
        <v>109</v>
      </c>
      <c r="I1" s="27" t="s">
        <v>110</v>
      </c>
      <c r="J1" s="27" t="s">
        <v>111</v>
      </c>
      <c r="K1" s="27" t="s">
        <v>112</v>
      </c>
      <c r="L1" s="27" t="s">
        <v>113</v>
      </c>
      <c r="M1" s="27" t="s">
        <v>114</v>
      </c>
    </row>
    <row r="2" spans="1:13" x14ac:dyDescent="0.35">
      <c r="A2" s="58" t="s">
        <v>115</v>
      </c>
      <c r="B2" s="58" t="s">
        <v>116</v>
      </c>
      <c r="C2" s="58" t="s">
        <v>117</v>
      </c>
      <c r="D2" s="58" t="s">
        <v>125</v>
      </c>
      <c r="E2" s="58" t="s">
        <v>60</v>
      </c>
      <c r="F2" s="58" t="s">
        <v>136</v>
      </c>
      <c r="G2" s="58" t="s">
        <v>119</v>
      </c>
      <c r="H2" s="59">
        <f>Tabel3[[#This Row],[Prijs incl. btw]]/(1+Tabel3[[#This Row],[BTW %]])/1</f>
        <v>5.5045871559633026</v>
      </c>
      <c r="I2" s="60">
        <v>0.09</v>
      </c>
      <c r="J2" s="59">
        <v>6</v>
      </c>
      <c r="K2" s="105" t="s">
        <v>130</v>
      </c>
      <c r="L2" s="106">
        <v>0</v>
      </c>
      <c r="M2" s="104">
        <f>Tabel3[[#This Row],[Prijs incl. btw]]*(1-Tabel3[[#This Row],[Korting %]])</f>
        <v>6</v>
      </c>
    </row>
    <row r="3" spans="1:13" x14ac:dyDescent="0.35">
      <c r="A3" s="58" t="s">
        <v>115</v>
      </c>
      <c r="B3" s="58" t="s">
        <v>116</v>
      </c>
      <c r="C3" s="58" t="s">
        <v>117</v>
      </c>
      <c r="D3" s="58" t="s">
        <v>123</v>
      </c>
      <c r="E3" s="58" t="s">
        <v>129</v>
      </c>
      <c r="F3" s="58" t="s">
        <v>136</v>
      </c>
      <c r="G3" s="58" t="s">
        <v>119</v>
      </c>
      <c r="H3" s="59">
        <f>Tabel3[[#This Row],[Prijs incl. btw]]/(1+Tabel3[[#This Row],[BTW %]])/1</f>
        <v>5.5045871559633026</v>
      </c>
      <c r="I3" s="60">
        <v>0.09</v>
      </c>
      <c r="J3" s="59">
        <v>6</v>
      </c>
      <c r="K3" s="105" t="s">
        <v>130</v>
      </c>
      <c r="L3" s="106">
        <v>0</v>
      </c>
      <c r="M3" s="104">
        <f>Tabel3[[#This Row],[Prijs incl. btw]]*(1-Tabel3[[#This Row],[Korting %]])</f>
        <v>6</v>
      </c>
    </row>
    <row r="4" spans="1:13" x14ac:dyDescent="0.35">
      <c r="A4" s="58" t="s">
        <v>115</v>
      </c>
      <c r="B4" s="58" t="s">
        <v>116</v>
      </c>
      <c r="C4" s="58" t="s">
        <v>117</v>
      </c>
      <c r="D4" s="58" t="s">
        <v>124</v>
      </c>
      <c r="E4" s="58" t="s">
        <v>60</v>
      </c>
      <c r="F4" s="58" t="s">
        <v>136</v>
      </c>
      <c r="G4" s="58" t="s">
        <v>119</v>
      </c>
      <c r="H4" s="59">
        <f>Tabel3[[#This Row],[Prijs incl. btw]]/(1+Tabel3[[#This Row],[BTW %]])/1</f>
        <v>5.5045871559633026</v>
      </c>
      <c r="I4" s="60">
        <v>0.09</v>
      </c>
      <c r="J4" s="59">
        <v>6</v>
      </c>
      <c r="K4" s="105" t="s">
        <v>130</v>
      </c>
      <c r="L4" s="106">
        <v>0</v>
      </c>
      <c r="M4" s="104">
        <f>Tabel3[[#This Row],[Prijs incl. btw]]*(1-Tabel3[[#This Row],[Korting %]])</f>
        <v>6</v>
      </c>
    </row>
    <row r="5" spans="1:13" x14ac:dyDescent="0.35">
      <c r="A5" s="58" t="s">
        <v>115</v>
      </c>
      <c r="B5" s="58" t="s">
        <v>116</v>
      </c>
      <c r="C5" s="58" t="s">
        <v>117</v>
      </c>
      <c r="D5" s="58" t="s">
        <v>125</v>
      </c>
      <c r="E5" s="58" t="s">
        <v>128</v>
      </c>
      <c r="F5" s="58" t="s">
        <v>137</v>
      </c>
      <c r="G5" s="58" t="s">
        <v>119</v>
      </c>
      <c r="H5" s="59">
        <f>Tabel3[[#This Row],[Prijs incl. btw]]/(1+Tabel3[[#This Row],[BTW %]])/1</f>
        <v>13.027522935779816</v>
      </c>
      <c r="I5" s="60">
        <v>0.09</v>
      </c>
      <c r="J5" s="59">
        <v>14.2</v>
      </c>
      <c r="K5" s="105" t="s">
        <v>130</v>
      </c>
      <c r="L5" s="106">
        <v>0</v>
      </c>
      <c r="M5" s="104">
        <f>Tabel3[[#This Row],[Prijs incl. btw]]*(1-Tabel3[[#This Row],[Korting %]])</f>
        <v>14.2</v>
      </c>
    </row>
    <row r="6" spans="1:13" x14ac:dyDescent="0.35">
      <c r="A6" s="58" t="s">
        <v>115</v>
      </c>
      <c r="B6" s="58" t="s">
        <v>116</v>
      </c>
      <c r="C6" s="58" t="s">
        <v>117</v>
      </c>
      <c r="D6" s="58" t="s">
        <v>123</v>
      </c>
      <c r="E6" s="58" t="s">
        <v>129</v>
      </c>
      <c r="F6" s="58" t="s">
        <v>137</v>
      </c>
      <c r="G6" s="58" t="s">
        <v>119</v>
      </c>
      <c r="H6" s="59">
        <f>Tabel3[[#This Row],[Prijs incl. btw]]/(1+Tabel3[[#This Row],[BTW %]])/1</f>
        <v>13.027522935779816</v>
      </c>
      <c r="I6" s="60">
        <v>0.09</v>
      </c>
      <c r="J6" s="59">
        <v>14.2</v>
      </c>
      <c r="K6" s="105" t="s">
        <v>130</v>
      </c>
      <c r="L6" s="106">
        <v>0</v>
      </c>
      <c r="M6" s="104">
        <f>Tabel3[[#This Row],[Prijs incl. btw]]*(1-Tabel3[[#This Row],[Korting %]])</f>
        <v>14.2</v>
      </c>
    </row>
    <row r="7" spans="1:13" x14ac:dyDescent="0.35">
      <c r="A7" s="58" t="s">
        <v>115</v>
      </c>
      <c r="B7" s="58" t="s">
        <v>116</v>
      </c>
      <c r="C7" s="58" t="s">
        <v>117</v>
      </c>
      <c r="D7" s="58" t="s">
        <v>123</v>
      </c>
      <c r="E7" s="58" t="s">
        <v>129</v>
      </c>
      <c r="F7" s="58" t="s">
        <v>137</v>
      </c>
      <c r="G7" s="58" t="s">
        <v>119</v>
      </c>
      <c r="H7" s="59">
        <f>Tabel3[[#This Row],[Prijs incl. btw]]/(1+Tabel3[[#This Row],[BTW %]])/1</f>
        <v>13.027522935779816</v>
      </c>
      <c r="I7" s="60">
        <v>0.09</v>
      </c>
      <c r="J7" s="59">
        <v>14.2</v>
      </c>
      <c r="K7" s="105" t="s">
        <v>130</v>
      </c>
      <c r="L7" s="106">
        <v>0</v>
      </c>
      <c r="M7" s="104">
        <f>Tabel3[[#This Row],[Prijs incl. btw]]*(1-Tabel3[[#This Row],[Korting %]])</f>
        <v>14.2</v>
      </c>
    </row>
    <row r="8" spans="1:13" x14ac:dyDescent="0.35">
      <c r="A8" s="58" t="s">
        <v>115</v>
      </c>
      <c r="B8" s="58" t="s">
        <v>116</v>
      </c>
      <c r="C8" s="58" t="s">
        <v>117</v>
      </c>
      <c r="D8" s="58" t="s">
        <v>124</v>
      </c>
      <c r="E8" s="58" t="s">
        <v>129</v>
      </c>
      <c r="F8" s="58" t="s">
        <v>137</v>
      </c>
      <c r="G8" s="58" t="s">
        <v>119</v>
      </c>
      <c r="H8" s="59">
        <f>Tabel3[[#This Row],[Prijs incl. btw]]/(1+Tabel3[[#This Row],[BTW %]])/1</f>
        <v>13.027522935779816</v>
      </c>
      <c r="I8" s="60">
        <v>0.09</v>
      </c>
      <c r="J8" s="59">
        <v>14.2</v>
      </c>
      <c r="K8" s="105" t="s">
        <v>130</v>
      </c>
      <c r="L8" s="106">
        <v>0</v>
      </c>
      <c r="M8" s="104">
        <f>Tabel3[[#This Row],[Prijs incl. btw]]*(1-Tabel3[[#This Row],[Korting %]])</f>
        <v>14.2</v>
      </c>
    </row>
    <row r="9" spans="1:13" x14ac:dyDescent="0.35">
      <c r="A9" s="58" t="s">
        <v>115</v>
      </c>
      <c r="B9" s="58" t="s">
        <v>116</v>
      </c>
      <c r="C9" s="58" t="s">
        <v>117</v>
      </c>
      <c r="D9" s="58" t="s">
        <v>124</v>
      </c>
      <c r="E9" s="58" t="s">
        <v>60</v>
      </c>
      <c r="F9" s="58" t="s">
        <v>137</v>
      </c>
      <c r="G9" s="58" t="s">
        <v>119</v>
      </c>
      <c r="H9" s="59">
        <f>Tabel3[[#This Row],[Prijs incl. btw]]/(1+Tabel3[[#This Row],[BTW %]])/1</f>
        <v>13.027522935779816</v>
      </c>
      <c r="I9" s="60">
        <v>0.09</v>
      </c>
      <c r="J9" s="59">
        <v>14.2</v>
      </c>
      <c r="K9" s="105" t="s">
        <v>130</v>
      </c>
      <c r="L9" s="106">
        <v>0</v>
      </c>
      <c r="M9" s="104">
        <f>Tabel3[[#This Row],[Prijs incl. btw]]*(1-Tabel3[[#This Row],[Korting %]])</f>
        <v>14.2</v>
      </c>
    </row>
    <row r="10" spans="1:13" x14ac:dyDescent="0.35">
      <c r="A10" s="58" t="s">
        <v>115</v>
      </c>
      <c r="B10" s="58" t="s">
        <v>116</v>
      </c>
      <c r="C10" s="58" t="s">
        <v>117</v>
      </c>
      <c r="D10" s="58" t="s">
        <v>118</v>
      </c>
      <c r="E10" s="58" t="s">
        <v>128</v>
      </c>
      <c r="F10" s="58" t="s">
        <v>137</v>
      </c>
      <c r="G10" s="58" t="s">
        <v>119</v>
      </c>
      <c r="H10" s="59">
        <f>Tabel3[[#This Row],[Prijs incl. btw]]/(1+Tabel3[[#This Row],[BTW %]])/1</f>
        <v>13.027522935779816</v>
      </c>
      <c r="I10" s="60">
        <v>0.09</v>
      </c>
      <c r="J10" s="59">
        <v>14.2</v>
      </c>
      <c r="K10" s="105" t="s">
        <v>130</v>
      </c>
      <c r="L10" s="106">
        <v>0</v>
      </c>
      <c r="M10" s="104">
        <f>Tabel3[[#This Row],[Prijs incl. btw]]*(1-Tabel3[[#This Row],[Korting %]])</f>
        <v>14.2</v>
      </c>
    </row>
    <row r="11" spans="1:13" x14ac:dyDescent="0.35">
      <c r="A11" s="58" t="s">
        <v>115</v>
      </c>
      <c r="B11" s="58" t="s">
        <v>116</v>
      </c>
      <c r="C11" s="58" t="s">
        <v>117</v>
      </c>
      <c r="D11" s="58" t="s">
        <v>118</v>
      </c>
      <c r="E11" s="58" t="s">
        <v>60</v>
      </c>
      <c r="F11" s="58" t="s">
        <v>137</v>
      </c>
      <c r="G11" s="58" t="s">
        <v>119</v>
      </c>
      <c r="H11" s="59">
        <f>Tabel3[[#This Row],[Prijs incl. btw]]/(1+Tabel3[[#This Row],[BTW %]])/1</f>
        <v>13.027522935779816</v>
      </c>
      <c r="I11" s="60">
        <v>0.09</v>
      </c>
      <c r="J11" s="59">
        <v>14.2</v>
      </c>
      <c r="K11" s="105" t="s">
        <v>130</v>
      </c>
      <c r="L11" s="106">
        <v>0</v>
      </c>
      <c r="M11" s="104">
        <f>Tabel3[[#This Row],[Prijs incl. btw]]*(1-Tabel3[[#This Row],[Korting %]])</f>
        <v>14.2</v>
      </c>
    </row>
    <row r="12" spans="1:13" x14ac:dyDescent="0.35">
      <c r="A12" s="58" t="s">
        <v>115</v>
      </c>
      <c r="B12" s="58" t="s">
        <v>116</v>
      </c>
      <c r="C12" s="58" t="s">
        <v>117</v>
      </c>
      <c r="D12" s="58" t="s">
        <v>118</v>
      </c>
      <c r="E12" s="58" t="s">
        <v>60</v>
      </c>
      <c r="F12" s="58" t="s">
        <v>137</v>
      </c>
      <c r="G12" s="58" t="s">
        <v>119</v>
      </c>
      <c r="H12" s="59">
        <f>Tabel3[[#This Row],[Prijs incl. btw]]/(1+Tabel3[[#This Row],[BTW %]])/1</f>
        <v>13.027522935779816</v>
      </c>
      <c r="I12" s="60">
        <v>0.09</v>
      </c>
      <c r="J12" s="59">
        <v>14.2</v>
      </c>
      <c r="K12" s="105" t="s">
        <v>130</v>
      </c>
      <c r="L12" s="106">
        <v>0</v>
      </c>
      <c r="M12" s="104">
        <f>Tabel3[[#This Row],[Prijs incl. btw]]*(1-Tabel3[[#This Row],[Korting %]])</f>
        <v>14.2</v>
      </c>
    </row>
    <row r="13" spans="1:13" x14ac:dyDescent="0.35">
      <c r="A13" s="58" t="s">
        <v>115</v>
      </c>
      <c r="B13" s="58" t="s">
        <v>116</v>
      </c>
      <c r="C13" s="58" t="s">
        <v>117</v>
      </c>
      <c r="D13" s="58" t="s">
        <v>126</v>
      </c>
      <c r="E13" s="58" t="s">
        <v>60</v>
      </c>
      <c r="F13" s="58" t="s">
        <v>137</v>
      </c>
      <c r="G13" s="58" t="s">
        <v>119</v>
      </c>
      <c r="H13" s="59">
        <f>Tabel3[[#This Row],[Prijs incl. btw]]/(1+Tabel3[[#This Row],[BTW %]])/1</f>
        <v>13.027522935779816</v>
      </c>
      <c r="I13" s="60">
        <v>0.09</v>
      </c>
      <c r="J13" s="59">
        <v>14.2</v>
      </c>
      <c r="K13" s="105" t="s">
        <v>130</v>
      </c>
      <c r="L13" s="106">
        <v>0</v>
      </c>
      <c r="M13" s="104">
        <f>Tabel3[[#This Row],[Prijs incl. btw]]*(1-Tabel3[[#This Row],[Korting %]])</f>
        <v>14.2</v>
      </c>
    </row>
    <row r="14" spans="1:13" x14ac:dyDescent="0.35">
      <c r="A14" s="58" t="s">
        <v>115</v>
      </c>
      <c r="B14" s="58" t="s">
        <v>116</v>
      </c>
      <c r="C14" s="58" t="s">
        <v>117</v>
      </c>
      <c r="D14" s="58" t="s">
        <v>125</v>
      </c>
      <c r="E14" s="58" t="s">
        <v>129</v>
      </c>
      <c r="F14" s="58" t="s">
        <v>138</v>
      </c>
      <c r="G14" s="58" t="s">
        <v>119</v>
      </c>
      <c r="H14" s="59">
        <f>Tabel3[[#This Row],[Prijs incl. btw]]/(1+Tabel3[[#This Row],[BTW %]])/1</f>
        <v>17.522935779816514</v>
      </c>
      <c r="I14" s="60">
        <v>0.09</v>
      </c>
      <c r="J14" s="59">
        <v>19.100000000000001</v>
      </c>
      <c r="K14" s="105" t="s">
        <v>130</v>
      </c>
      <c r="L14" s="106">
        <v>0</v>
      </c>
      <c r="M14" s="104">
        <f>Tabel3[[#This Row],[Prijs incl. btw]]*(1-Tabel3[[#This Row],[Korting %]])</f>
        <v>19.100000000000001</v>
      </c>
    </row>
    <row r="15" spans="1:13" x14ac:dyDescent="0.35">
      <c r="A15" s="58" t="s">
        <v>115</v>
      </c>
      <c r="B15" s="58" t="s">
        <v>116</v>
      </c>
      <c r="C15" s="58" t="s">
        <v>117</v>
      </c>
      <c r="D15" s="58" t="s">
        <v>123</v>
      </c>
      <c r="E15" s="58" t="s">
        <v>128</v>
      </c>
      <c r="F15" s="58" t="s">
        <v>138</v>
      </c>
      <c r="G15" s="58" t="s">
        <v>119</v>
      </c>
      <c r="H15" s="59">
        <f>Tabel3[[#This Row],[Prijs incl. btw]]/(1+Tabel3[[#This Row],[BTW %]])/1</f>
        <v>17.522935779816514</v>
      </c>
      <c r="I15" s="60">
        <v>0.09</v>
      </c>
      <c r="J15" s="59">
        <v>19.100000000000001</v>
      </c>
      <c r="K15" s="105" t="s">
        <v>130</v>
      </c>
      <c r="L15" s="106">
        <v>0</v>
      </c>
      <c r="M15" s="104">
        <f>Tabel3[[#This Row],[Prijs incl. btw]]*(1-Tabel3[[#This Row],[Korting %]])</f>
        <v>19.100000000000001</v>
      </c>
    </row>
    <row r="16" spans="1:13" x14ac:dyDescent="0.35">
      <c r="A16" s="58" t="s">
        <v>115</v>
      </c>
      <c r="B16" s="58" t="s">
        <v>116</v>
      </c>
      <c r="C16" s="58" t="s">
        <v>117</v>
      </c>
      <c r="D16" s="58" t="s">
        <v>124</v>
      </c>
      <c r="E16" s="58" t="s">
        <v>128</v>
      </c>
      <c r="F16" s="58" t="s">
        <v>138</v>
      </c>
      <c r="G16" s="58" t="s">
        <v>119</v>
      </c>
      <c r="H16" s="59">
        <f>Tabel3[[#This Row],[Prijs incl. btw]]/(1+Tabel3[[#This Row],[BTW %]])/1</f>
        <v>17.522935779816514</v>
      </c>
      <c r="I16" s="60">
        <v>0.09</v>
      </c>
      <c r="J16" s="59">
        <v>19.100000000000001</v>
      </c>
      <c r="K16" s="105" t="s">
        <v>130</v>
      </c>
      <c r="L16" s="106">
        <v>0</v>
      </c>
      <c r="M16" s="104">
        <f>Tabel3[[#This Row],[Prijs incl. btw]]*(1-Tabel3[[#This Row],[Korting %]])</f>
        <v>19.100000000000001</v>
      </c>
    </row>
    <row r="17" spans="1:13" x14ac:dyDescent="0.35">
      <c r="A17" s="58" t="s">
        <v>115</v>
      </c>
      <c r="B17" s="58" t="s">
        <v>116</v>
      </c>
      <c r="C17" s="58" t="s">
        <v>117</v>
      </c>
      <c r="D17" s="58" t="s">
        <v>124</v>
      </c>
      <c r="E17" s="58" t="s">
        <v>60</v>
      </c>
      <c r="F17" s="58" t="s">
        <v>138</v>
      </c>
      <c r="G17" s="58" t="s">
        <v>119</v>
      </c>
      <c r="H17" s="59">
        <f>Tabel3[[#This Row],[Prijs incl. btw]]/(1+Tabel3[[#This Row],[BTW %]])/1</f>
        <v>17.522935779816514</v>
      </c>
      <c r="I17" s="60">
        <v>0.09</v>
      </c>
      <c r="J17" s="59">
        <v>19.100000000000001</v>
      </c>
      <c r="K17" s="105" t="s">
        <v>130</v>
      </c>
      <c r="L17" s="106">
        <v>0</v>
      </c>
      <c r="M17" s="104">
        <f>Tabel3[[#This Row],[Prijs incl. btw]]*(1-Tabel3[[#This Row],[Korting %]])</f>
        <v>19.100000000000001</v>
      </c>
    </row>
    <row r="18" spans="1:13" x14ac:dyDescent="0.35">
      <c r="A18" s="58" t="s">
        <v>115</v>
      </c>
      <c r="B18" s="58" t="s">
        <v>116</v>
      </c>
      <c r="C18" s="58" t="s">
        <v>117</v>
      </c>
      <c r="D18" s="58" t="s">
        <v>124</v>
      </c>
      <c r="E18" s="58" t="s">
        <v>128</v>
      </c>
      <c r="F18" s="58" t="s">
        <v>138</v>
      </c>
      <c r="G18" s="58" t="s">
        <v>119</v>
      </c>
      <c r="H18" s="59">
        <f>Tabel3[[#This Row],[Prijs incl. btw]]/(1+Tabel3[[#This Row],[BTW %]])/1</f>
        <v>17.522935779816514</v>
      </c>
      <c r="I18" s="60">
        <v>0.09</v>
      </c>
      <c r="J18" s="59">
        <v>19.100000000000001</v>
      </c>
      <c r="K18" s="105" t="s">
        <v>130</v>
      </c>
      <c r="L18" s="106">
        <v>0</v>
      </c>
      <c r="M18" s="104">
        <f>Tabel3[[#This Row],[Prijs incl. btw]]*(1-Tabel3[[#This Row],[Korting %]])</f>
        <v>19.100000000000001</v>
      </c>
    </row>
    <row r="19" spans="1:13" x14ac:dyDescent="0.35">
      <c r="A19" s="58" t="s">
        <v>115</v>
      </c>
      <c r="B19" s="58" t="s">
        <v>116</v>
      </c>
      <c r="C19" s="58" t="s">
        <v>117</v>
      </c>
      <c r="D19" s="58" t="s">
        <v>118</v>
      </c>
      <c r="E19" s="58" t="s">
        <v>128</v>
      </c>
      <c r="F19" s="58" t="s">
        <v>138</v>
      </c>
      <c r="G19" s="58" t="s">
        <v>119</v>
      </c>
      <c r="H19" s="59">
        <f>Tabel3[[#This Row],[Prijs incl. btw]]/(1+Tabel3[[#This Row],[BTW %]])/1</f>
        <v>17.522935779816514</v>
      </c>
      <c r="I19" s="60">
        <v>0.09</v>
      </c>
      <c r="J19" s="59">
        <v>19.100000000000001</v>
      </c>
      <c r="K19" s="105" t="s">
        <v>130</v>
      </c>
      <c r="L19" s="106">
        <v>0</v>
      </c>
      <c r="M19" s="104">
        <f>Tabel3[[#This Row],[Prijs incl. btw]]*(1-Tabel3[[#This Row],[Korting %]])</f>
        <v>19.100000000000001</v>
      </c>
    </row>
    <row r="20" spans="1:13" x14ac:dyDescent="0.35">
      <c r="A20" s="58" t="s">
        <v>115</v>
      </c>
      <c r="B20" s="58" t="s">
        <v>116</v>
      </c>
      <c r="C20" s="58" t="s">
        <v>117</v>
      </c>
      <c r="D20" s="58" t="s">
        <v>126</v>
      </c>
      <c r="E20" s="58" t="s">
        <v>128</v>
      </c>
      <c r="F20" s="58" t="s">
        <v>138</v>
      </c>
      <c r="G20" s="58" t="s">
        <v>119</v>
      </c>
      <c r="H20" s="59">
        <f>Tabel3[[#This Row],[Prijs incl. btw]]/(1+Tabel3[[#This Row],[BTW %]])/1</f>
        <v>17.522935779816514</v>
      </c>
      <c r="I20" s="60">
        <v>0.09</v>
      </c>
      <c r="J20" s="59">
        <v>19.100000000000001</v>
      </c>
      <c r="K20" s="105" t="s">
        <v>130</v>
      </c>
      <c r="L20" s="106">
        <v>0</v>
      </c>
      <c r="M20" s="104">
        <f>Tabel3[[#This Row],[Prijs incl. btw]]*(1-Tabel3[[#This Row],[Korting %]])</f>
        <v>19.100000000000001</v>
      </c>
    </row>
    <row r="21" spans="1:13" x14ac:dyDescent="0.35">
      <c r="A21" s="58" t="s">
        <v>115</v>
      </c>
      <c r="B21" s="58" t="s">
        <v>116</v>
      </c>
      <c r="C21" s="58" t="s">
        <v>117</v>
      </c>
      <c r="D21" s="58" t="s">
        <v>126</v>
      </c>
      <c r="E21" s="58" t="s">
        <v>128</v>
      </c>
      <c r="F21" s="58" t="s">
        <v>138</v>
      </c>
      <c r="G21" s="58" t="s">
        <v>119</v>
      </c>
      <c r="H21" s="59">
        <f>Tabel3[[#This Row],[Prijs incl. btw]]/(1+Tabel3[[#This Row],[BTW %]])/1</f>
        <v>17.522935779816514</v>
      </c>
      <c r="I21" s="60">
        <v>0.09</v>
      </c>
      <c r="J21" s="59">
        <v>19.100000000000001</v>
      </c>
      <c r="K21" s="105" t="s">
        <v>130</v>
      </c>
      <c r="L21" s="106">
        <v>0</v>
      </c>
      <c r="M21" s="104">
        <f>Tabel3[[#This Row],[Prijs incl. btw]]*(1-Tabel3[[#This Row],[Korting %]])</f>
        <v>19.100000000000001</v>
      </c>
    </row>
    <row r="22" spans="1:13" x14ac:dyDescent="0.35">
      <c r="A22" s="58" t="s">
        <v>115</v>
      </c>
      <c r="B22" s="58" t="s">
        <v>116</v>
      </c>
      <c r="C22" s="58" t="s">
        <v>117</v>
      </c>
      <c r="D22" s="58" t="s">
        <v>125</v>
      </c>
      <c r="E22" s="58" t="s">
        <v>128</v>
      </c>
      <c r="F22" s="58" t="s">
        <v>142</v>
      </c>
      <c r="G22" s="58" t="s">
        <v>119</v>
      </c>
      <c r="H22" s="59">
        <f>Tabel3[[#This Row],[Prijs incl. btw]]/(1+Tabel3[[#This Row],[BTW %]])/1</f>
        <v>7.7064220183486238</v>
      </c>
      <c r="I22" s="60">
        <v>0.09</v>
      </c>
      <c r="J22" s="59">
        <v>8.4</v>
      </c>
      <c r="K22" s="105" t="s">
        <v>130</v>
      </c>
      <c r="L22" s="106">
        <v>0</v>
      </c>
      <c r="M22" s="104">
        <f>Tabel3[[#This Row],[Prijs incl. btw]]*(1-Tabel3[[#This Row],[Korting %]])</f>
        <v>8.4</v>
      </c>
    </row>
    <row r="23" spans="1:13" x14ac:dyDescent="0.35">
      <c r="A23" s="58" t="s">
        <v>115</v>
      </c>
      <c r="B23" s="58" t="s">
        <v>116</v>
      </c>
      <c r="C23" s="58" t="s">
        <v>117</v>
      </c>
      <c r="D23" s="58" t="s">
        <v>123</v>
      </c>
      <c r="E23" s="58" t="s">
        <v>128</v>
      </c>
      <c r="F23" s="58" t="s">
        <v>142</v>
      </c>
      <c r="G23" s="58" t="s">
        <v>119</v>
      </c>
      <c r="H23" s="59">
        <f>Tabel3[[#This Row],[Prijs incl. btw]]/(1+Tabel3[[#This Row],[BTW %]])/1</f>
        <v>7.7064220183486238</v>
      </c>
      <c r="I23" s="60">
        <v>0.09</v>
      </c>
      <c r="J23" s="59">
        <v>8.4</v>
      </c>
      <c r="K23" s="105" t="s">
        <v>130</v>
      </c>
      <c r="L23" s="106">
        <v>0</v>
      </c>
      <c r="M23" s="104">
        <f>Tabel3[[#This Row],[Prijs incl. btw]]*(1-Tabel3[[#This Row],[Korting %]])</f>
        <v>8.4</v>
      </c>
    </row>
    <row r="24" spans="1:13" x14ac:dyDescent="0.35">
      <c r="A24" s="58" t="s">
        <v>115</v>
      </c>
      <c r="B24" s="58" t="s">
        <v>116</v>
      </c>
      <c r="C24" s="58" t="s">
        <v>117</v>
      </c>
      <c r="D24" s="58" t="s">
        <v>123</v>
      </c>
      <c r="E24" s="58" t="s">
        <v>60</v>
      </c>
      <c r="F24" s="58" t="s">
        <v>142</v>
      </c>
      <c r="G24" s="58" t="s">
        <v>119</v>
      </c>
      <c r="H24" s="59">
        <f>Tabel3[[#This Row],[Prijs incl. btw]]/(1+Tabel3[[#This Row],[BTW %]])/1</f>
        <v>7.7064220183486238</v>
      </c>
      <c r="I24" s="60">
        <v>0.09</v>
      </c>
      <c r="J24" s="59">
        <v>8.4</v>
      </c>
      <c r="K24" s="105" t="s">
        <v>130</v>
      </c>
      <c r="L24" s="106">
        <v>0</v>
      </c>
      <c r="M24" s="104">
        <f>Tabel3[[#This Row],[Prijs incl. btw]]*(1-Tabel3[[#This Row],[Korting %]])</f>
        <v>8.4</v>
      </c>
    </row>
    <row r="25" spans="1:13" x14ac:dyDescent="0.35">
      <c r="A25" s="58" t="s">
        <v>115</v>
      </c>
      <c r="B25" s="58" t="s">
        <v>116</v>
      </c>
      <c r="C25" s="58" t="s">
        <v>117</v>
      </c>
      <c r="D25" s="58" t="s">
        <v>123</v>
      </c>
      <c r="E25" s="58" t="s">
        <v>128</v>
      </c>
      <c r="F25" s="58" t="s">
        <v>142</v>
      </c>
      <c r="G25" s="58" t="s">
        <v>119</v>
      </c>
      <c r="H25" s="59">
        <f>Tabel3[[#This Row],[Prijs incl. btw]]/(1+Tabel3[[#This Row],[BTW %]])/1</f>
        <v>7.7064220183486238</v>
      </c>
      <c r="I25" s="60">
        <v>0.09</v>
      </c>
      <c r="J25" s="59">
        <v>8.4</v>
      </c>
      <c r="K25" s="105" t="s">
        <v>130</v>
      </c>
      <c r="L25" s="106">
        <v>0</v>
      </c>
      <c r="M25" s="104">
        <f>Tabel3[[#This Row],[Prijs incl. btw]]*(1-Tabel3[[#This Row],[Korting %]])</f>
        <v>8.4</v>
      </c>
    </row>
    <row r="26" spans="1:13" x14ac:dyDescent="0.35">
      <c r="A26" s="58" t="s">
        <v>115</v>
      </c>
      <c r="B26" s="58" t="s">
        <v>116</v>
      </c>
      <c r="C26" s="58" t="s">
        <v>117</v>
      </c>
      <c r="D26" s="58" t="s">
        <v>124</v>
      </c>
      <c r="E26" s="58" t="s">
        <v>128</v>
      </c>
      <c r="F26" s="58" t="s">
        <v>142</v>
      </c>
      <c r="G26" s="58" t="s">
        <v>119</v>
      </c>
      <c r="H26" s="59">
        <f>Tabel3[[#This Row],[Prijs incl. btw]]/(1+Tabel3[[#This Row],[BTW %]])/1</f>
        <v>7.7064220183486238</v>
      </c>
      <c r="I26" s="60">
        <v>0.09</v>
      </c>
      <c r="J26" s="59">
        <v>8.4</v>
      </c>
      <c r="K26" s="105" t="s">
        <v>130</v>
      </c>
      <c r="L26" s="106">
        <v>0</v>
      </c>
      <c r="M26" s="104">
        <f>Tabel3[[#This Row],[Prijs incl. btw]]*(1-Tabel3[[#This Row],[Korting %]])</f>
        <v>8.4</v>
      </c>
    </row>
    <row r="27" spans="1:13" x14ac:dyDescent="0.35">
      <c r="A27" s="58" t="s">
        <v>115</v>
      </c>
      <c r="B27" s="58" t="s">
        <v>116</v>
      </c>
      <c r="C27" s="58" t="s">
        <v>117</v>
      </c>
      <c r="D27" s="58" t="s">
        <v>118</v>
      </c>
      <c r="E27" s="58" t="s">
        <v>128</v>
      </c>
      <c r="F27" s="58" t="s">
        <v>142</v>
      </c>
      <c r="G27" s="58" t="s">
        <v>119</v>
      </c>
      <c r="H27" s="59">
        <f>Tabel3[[#This Row],[Prijs incl. btw]]/(1+Tabel3[[#This Row],[BTW %]])/1</f>
        <v>7.7064220183486238</v>
      </c>
      <c r="I27" s="60">
        <v>0.09</v>
      </c>
      <c r="J27" s="59">
        <v>8.4</v>
      </c>
      <c r="K27" s="105" t="s">
        <v>130</v>
      </c>
      <c r="L27" s="106">
        <v>0</v>
      </c>
      <c r="M27" s="104">
        <f>Tabel3[[#This Row],[Prijs incl. btw]]*(1-Tabel3[[#This Row],[Korting %]])</f>
        <v>8.4</v>
      </c>
    </row>
    <row r="28" spans="1:13" x14ac:dyDescent="0.35">
      <c r="A28" s="58" t="s">
        <v>115</v>
      </c>
      <c r="B28" s="58" t="s">
        <v>184</v>
      </c>
      <c r="C28" s="58"/>
      <c r="D28" s="58" t="s">
        <v>125</v>
      </c>
      <c r="E28" s="58" t="s">
        <v>129</v>
      </c>
      <c r="F28" s="58" t="s">
        <v>141</v>
      </c>
      <c r="G28" s="58" t="s">
        <v>185</v>
      </c>
      <c r="H28" s="59">
        <f>Tabel3[[#This Row],[Prijs incl. btw]]/(1+Tabel3[[#This Row],[BTW %]])/1</f>
        <v>3.2809917355371905</v>
      </c>
      <c r="I28" s="60">
        <v>0.21</v>
      </c>
      <c r="J28" s="59">
        <v>3.97</v>
      </c>
      <c r="K28" s="105" t="s">
        <v>130</v>
      </c>
      <c r="L28" s="106">
        <v>0</v>
      </c>
      <c r="M28" s="104">
        <f>Tabel3[[#This Row],[Prijs incl. btw]]*(1-Tabel3[[#This Row],[Korting %]])</f>
        <v>3.97</v>
      </c>
    </row>
    <row r="29" spans="1:13" x14ac:dyDescent="0.35">
      <c r="A29" s="58" t="s">
        <v>115</v>
      </c>
      <c r="B29" s="58" t="s">
        <v>184</v>
      </c>
      <c r="C29" s="58"/>
      <c r="D29" s="58" t="s">
        <v>123</v>
      </c>
      <c r="E29" s="58" t="s">
        <v>60</v>
      </c>
      <c r="F29" s="58" t="s">
        <v>141</v>
      </c>
      <c r="G29" s="58" t="s">
        <v>185</v>
      </c>
      <c r="H29" s="59">
        <f>Tabel3[[#This Row],[Prijs incl. btw]]/(1+Tabel3[[#This Row],[BTW %]])/1</f>
        <v>3.2809917355371905</v>
      </c>
      <c r="I29" s="60">
        <v>0.21</v>
      </c>
      <c r="J29" s="59">
        <v>3.97</v>
      </c>
      <c r="K29" s="105" t="s">
        <v>130</v>
      </c>
      <c r="L29" s="106">
        <v>0</v>
      </c>
      <c r="M29" s="104">
        <f>Tabel3[[#This Row],[Prijs incl. btw]]*(1-Tabel3[[#This Row],[Korting %]])</f>
        <v>3.97</v>
      </c>
    </row>
    <row r="30" spans="1:13" x14ac:dyDescent="0.35">
      <c r="A30" s="58" t="s">
        <v>115</v>
      </c>
      <c r="B30" s="58" t="s">
        <v>184</v>
      </c>
      <c r="C30" s="58"/>
      <c r="D30" s="58" t="s">
        <v>124</v>
      </c>
      <c r="E30" s="58" t="s">
        <v>128</v>
      </c>
      <c r="F30" s="58" t="s">
        <v>141</v>
      </c>
      <c r="G30" s="58" t="s">
        <v>185</v>
      </c>
      <c r="H30" s="59">
        <f>Tabel3[[#This Row],[Prijs incl. btw]]/(1+Tabel3[[#This Row],[BTW %]])/1</f>
        <v>3.2809917355371905</v>
      </c>
      <c r="I30" s="60">
        <v>0.21</v>
      </c>
      <c r="J30" s="59">
        <v>3.97</v>
      </c>
      <c r="K30" s="105" t="s">
        <v>130</v>
      </c>
      <c r="L30" s="106">
        <v>0</v>
      </c>
      <c r="M30" s="104">
        <f>Tabel3[[#This Row],[Prijs incl. btw]]*(1-Tabel3[[#This Row],[Korting %]])</f>
        <v>3.97</v>
      </c>
    </row>
    <row r="31" spans="1:13" x14ac:dyDescent="0.35">
      <c r="A31" s="58" t="s">
        <v>115</v>
      </c>
      <c r="B31" s="58" t="s">
        <v>184</v>
      </c>
      <c r="C31" s="58"/>
      <c r="D31" s="58" t="s">
        <v>118</v>
      </c>
      <c r="E31" s="58" t="s">
        <v>128</v>
      </c>
      <c r="F31" s="58" t="s">
        <v>141</v>
      </c>
      <c r="G31" s="58" t="s">
        <v>185</v>
      </c>
      <c r="H31" s="59">
        <f>Tabel3[[#This Row],[Prijs incl. btw]]/(1+Tabel3[[#This Row],[BTW %]])/1</f>
        <v>3.2809917355371905</v>
      </c>
      <c r="I31" s="60">
        <v>0.21</v>
      </c>
      <c r="J31" s="59">
        <v>3.97</v>
      </c>
      <c r="K31" s="105" t="s">
        <v>130</v>
      </c>
      <c r="L31" s="106">
        <v>0</v>
      </c>
      <c r="M31" s="104">
        <f>Tabel3[[#This Row],[Prijs incl. btw]]*(1-Tabel3[[#This Row],[Korting %]])</f>
        <v>3.97</v>
      </c>
    </row>
    <row r="32" spans="1:13" x14ac:dyDescent="0.35">
      <c r="A32" s="58" t="s">
        <v>115</v>
      </c>
      <c r="B32" s="58" t="s">
        <v>184</v>
      </c>
      <c r="C32" s="58"/>
      <c r="D32" s="58" t="s">
        <v>126</v>
      </c>
      <c r="E32" s="58" t="s">
        <v>60</v>
      </c>
      <c r="F32" s="58" t="s">
        <v>141</v>
      </c>
      <c r="G32" s="58" t="s">
        <v>185</v>
      </c>
      <c r="H32" s="59">
        <f>Tabel3[[#This Row],[Prijs incl. btw]]/(1+Tabel3[[#This Row],[BTW %]])/1</f>
        <v>3.2809917355371905</v>
      </c>
      <c r="I32" s="60">
        <v>0.21</v>
      </c>
      <c r="J32" s="59">
        <v>3.97</v>
      </c>
      <c r="K32" s="105" t="s">
        <v>130</v>
      </c>
      <c r="L32" s="106">
        <v>0</v>
      </c>
      <c r="M32" s="104">
        <f>Tabel3[[#This Row],[Prijs incl. btw]]*(1-Tabel3[[#This Row],[Korting %]])</f>
        <v>3.97</v>
      </c>
    </row>
    <row r="33" spans="1:13" x14ac:dyDescent="0.35">
      <c r="A33" s="58" t="s">
        <v>115</v>
      </c>
      <c r="B33" s="58" t="s">
        <v>184</v>
      </c>
      <c r="C33" s="58"/>
      <c r="D33" s="58" t="s">
        <v>126</v>
      </c>
      <c r="E33" s="58" t="s">
        <v>129</v>
      </c>
      <c r="F33" s="58" t="s">
        <v>141</v>
      </c>
      <c r="G33" s="58" t="s">
        <v>185</v>
      </c>
      <c r="H33" s="59">
        <f>Tabel3[[#This Row],[Prijs incl. btw]]/(1+Tabel3[[#This Row],[BTW %]])/1</f>
        <v>3.2809917355371905</v>
      </c>
      <c r="I33" s="60">
        <v>0.21</v>
      </c>
      <c r="J33" s="59">
        <v>3.97</v>
      </c>
      <c r="K33" s="105" t="s">
        <v>130</v>
      </c>
      <c r="L33" s="106">
        <v>0</v>
      </c>
      <c r="M33" s="104">
        <f>Tabel3[[#This Row],[Prijs incl. btw]]*(1-Tabel3[[#This Row],[Korting %]])</f>
        <v>3.97</v>
      </c>
    </row>
    <row r="34" spans="1:13" x14ac:dyDescent="0.35">
      <c r="A34" s="58" t="s">
        <v>115</v>
      </c>
      <c r="B34" s="58" t="s">
        <v>116</v>
      </c>
      <c r="C34" s="58" t="s">
        <v>117</v>
      </c>
      <c r="D34" s="58" t="s">
        <v>124</v>
      </c>
      <c r="E34" s="58" t="s">
        <v>129</v>
      </c>
      <c r="F34" s="58" t="s">
        <v>119</v>
      </c>
      <c r="G34" s="58" t="s">
        <v>138</v>
      </c>
      <c r="H34" s="59">
        <f>Tabel3[[#This Row],[Prijs incl. btw]]/(1+Tabel3[[#This Row],[BTW %]])/1</f>
        <v>17.522935779816514</v>
      </c>
      <c r="I34" s="60">
        <v>0.09</v>
      </c>
      <c r="J34" s="59">
        <v>19.100000000000001</v>
      </c>
      <c r="K34" s="105" t="s">
        <v>130</v>
      </c>
      <c r="L34" s="106">
        <v>0</v>
      </c>
      <c r="M34" s="104">
        <f>Tabel3[[#This Row],[Prijs incl. btw]]*(1-Tabel3[[#This Row],[Korting %]])</f>
        <v>19.100000000000001</v>
      </c>
    </row>
    <row r="35" spans="1:13" x14ac:dyDescent="0.35">
      <c r="A35" s="58" t="s">
        <v>115</v>
      </c>
      <c r="B35" s="58" t="s">
        <v>116</v>
      </c>
      <c r="C35" s="58" t="s">
        <v>117</v>
      </c>
      <c r="D35" s="58" t="s">
        <v>118</v>
      </c>
      <c r="E35" s="58" t="s">
        <v>129</v>
      </c>
      <c r="F35" s="58" t="s">
        <v>119</v>
      </c>
      <c r="G35" s="58" t="s">
        <v>142</v>
      </c>
      <c r="H35" s="59">
        <f>Tabel3[[#This Row],[Prijs incl. btw]]/(1+Tabel3[[#This Row],[BTW %]])/1</f>
        <v>7.7064220183486238</v>
      </c>
      <c r="I35" s="60">
        <v>0.09</v>
      </c>
      <c r="J35" s="59">
        <v>8.4</v>
      </c>
      <c r="K35" s="105" t="s">
        <v>130</v>
      </c>
      <c r="L35" s="106">
        <v>0</v>
      </c>
      <c r="M35" s="104">
        <f>Tabel3[[#This Row],[Prijs incl. btw]]*(1-Tabel3[[#This Row],[Korting %]])</f>
        <v>8.4</v>
      </c>
    </row>
    <row r="36" spans="1:13" x14ac:dyDescent="0.35">
      <c r="A36" s="58" t="s">
        <v>182</v>
      </c>
      <c r="B36" s="58" t="s">
        <v>139</v>
      </c>
      <c r="C36" s="58"/>
      <c r="D36" s="58" t="s">
        <v>125</v>
      </c>
      <c r="E36" s="58" t="s">
        <v>60</v>
      </c>
      <c r="F36" s="58" t="s">
        <v>119</v>
      </c>
      <c r="G36" s="58" t="s">
        <v>140</v>
      </c>
      <c r="H36" s="59">
        <f>Tabel3[[#This Row],[Prijs incl. btw]]/(1+Tabel3[[#This Row],[BTW %]])/1</f>
        <v>2.2293577981651378</v>
      </c>
      <c r="I36" s="60">
        <v>0.09</v>
      </c>
      <c r="J36" s="59">
        <v>2.4300000000000002</v>
      </c>
      <c r="K36" s="105" t="s">
        <v>130</v>
      </c>
      <c r="L36" s="106">
        <v>0</v>
      </c>
      <c r="M36" s="104">
        <f>Tabel3[[#This Row],[Prijs incl. btw]]*(1-Tabel3[[#This Row],[Korting %]])</f>
        <v>2.4300000000000002</v>
      </c>
    </row>
    <row r="37" spans="1:13" x14ac:dyDescent="0.35">
      <c r="A37" s="58" t="s">
        <v>182</v>
      </c>
      <c r="B37" s="58" t="s">
        <v>139</v>
      </c>
      <c r="C37" s="58"/>
      <c r="D37" s="58" t="s">
        <v>125</v>
      </c>
      <c r="E37" s="58" t="s">
        <v>129</v>
      </c>
      <c r="F37" s="58" t="s">
        <v>119</v>
      </c>
      <c r="G37" s="58" t="s">
        <v>140</v>
      </c>
      <c r="H37" s="59">
        <f>Tabel3[[#This Row],[Prijs incl. btw]]/(1+Tabel3[[#This Row],[BTW %]])/1</f>
        <v>2.2293577981651378</v>
      </c>
      <c r="I37" s="60">
        <v>0.09</v>
      </c>
      <c r="J37" s="59">
        <v>2.4300000000000002</v>
      </c>
      <c r="K37" s="105" t="s">
        <v>130</v>
      </c>
      <c r="L37" s="106">
        <v>0</v>
      </c>
      <c r="M37" s="104">
        <f>Tabel3[[#This Row],[Prijs incl. btw]]*(1-Tabel3[[#This Row],[Korting %]])</f>
        <v>2.4300000000000002</v>
      </c>
    </row>
    <row r="38" spans="1:13" x14ac:dyDescent="0.35">
      <c r="A38" s="58" t="s">
        <v>182</v>
      </c>
      <c r="B38" s="58" t="s">
        <v>139</v>
      </c>
      <c r="C38" s="58"/>
      <c r="D38" s="58" t="s">
        <v>123</v>
      </c>
      <c r="E38" s="58" t="s">
        <v>128</v>
      </c>
      <c r="F38" s="58" t="s">
        <v>140</v>
      </c>
      <c r="G38" s="58" t="s">
        <v>119</v>
      </c>
      <c r="H38" s="59">
        <f>Tabel3[[#This Row],[Prijs incl. btw]]/(1+Tabel3[[#This Row],[BTW %]])/1</f>
        <v>2.2293577981651378</v>
      </c>
      <c r="I38" s="60">
        <v>0.09</v>
      </c>
      <c r="J38" s="59">
        <v>2.4300000000000002</v>
      </c>
      <c r="K38" s="105" t="s">
        <v>130</v>
      </c>
      <c r="L38" s="106">
        <v>0</v>
      </c>
      <c r="M38" s="104">
        <f>Tabel3[[#This Row],[Prijs incl. btw]]*(1-Tabel3[[#This Row],[Korting %]])</f>
        <v>2.4300000000000002</v>
      </c>
    </row>
    <row r="39" spans="1:13" x14ac:dyDescent="0.35">
      <c r="A39" s="58" t="s">
        <v>182</v>
      </c>
      <c r="B39" s="58" t="s">
        <v>139</v>
      </c>
      <c r="C39" s="58"/>
      <c r="D39" s="58" t="s">
        <v>123</v>
      </c>
      <c r="E39" s="58" t="s">
        <v>60</v>
      </c>
      <c r="F39" s="58" t="s">
        <v>140</v>
      </c>
      <c r="G39" s="58" t="s">
        <v>119</v>
      </c>
      <c r="H39" s="59">
        <f>Tabel3[[#This Row],[Prijs incl. btw]]/(1+Tabel3[[#This Row],[BTW %]])/1</f>
        <v>2.2293577981651378</v>
      </c>
      <c r="I39" s="60">
        <v>0.09</v>
      </c>
      <c r="J39" s="59">
        <v>2.4300000000000002</v>
      </c>
      <c r="K39" s="105" t="s">
        <v>130</v>
      </c>
      <c r="L39" s="106">
        <v>0</v>
      </c>
      <c r="M39" s="104">
        <f>Tabel3[[#This Row],[Prijs incl. btw]]*(1-Tabel3[[#This Row],[Korting %]])</f>
        <v>2.4300000000000002</v>
      </c>
    </row>
    <row r="40" spans="1:13" x14ac:dyDescent="0.35">
      <c r="A40" s="58" t="s">
        <v>182</v>
      </c>
      <c r="B40" s="58" t="s">
        <v>139</v>
      </c>
      <c r="C40" s="58"/>
      <c r="D40" s="58" t="s">
        <v>124</v>
      </c>
      <c r="E40" s="58" t="s">
        <v>129</v>
      </c>
      <c r="F40" s="58" t="s">
        <v>122</v>
      </c>
      <c r="G40" s="58" t="s">
        <v>119</v>
      </c>
      <c r="H40" s="59">
        <f>Tabel3[[#This Row],[Prijs incl. btw]]/(1+Tabel3[[#This Row],[BTW %]])/1</f>
        <v>2.6146788990825689</v>
      </c>
      <c r="I40" s="60">
        <v>0.09</v>
      </c>
      <c r="J40" s="59">
        <v>2.85</v>
      </c>
      <c r="K40" s="105" t="s">
        <v>130</v>
      </c>
      <c r="L40" s="106">
        <v>0</v>
      </c>
      <c r="M40" s="104">
        <f>Tabel3[[#This Row],[Prijs incl. btw]]*(1-Tabel3[[#This Row],[Korting %]])</f>
        <v>2.85</v>
      </c>
    </row>
    <row r="41" spans="1:13" x14ac:dyDescent="0.35">
      <c r="A41" s="58" t="s">
        <v>182</v>
      </c>
      <c r="B41" s="58" t="s">
        <v>139</v>
      </c>
      <c r="C41" s="58"/>
      <c r="D41" s="58" t="s">
        <v>126</v>
      </c>
      <c r="E41" s="58" t="s">
        <v>129</v>
      </c>
      <c r="F41" s="58" t="s">
        <v>122</v>
      </c>
      <c r="G41" s="58" t="s">
        <v>119</v>
      </c>
      <c r="H41" s="59">
        <f>Tabel3[[#This Row],[Prijs incl. btw]]/(1+Tabel3[[#This Row],[BTW %]])/1</f>
        <v>2.6146788990825689</v>
      </c>
      <c r="I41" s="60">
        <v>0.09</v>
      </c>
      <c r="J41" s="59">
        <v>2.85</v>
      </c>
      <c r="K41" s="105" t="s">
        <v>130</v>
      </c>
      <c r="L41" s="106">
        <v>0</v>
      </c>
      <c r="M41" s="104">
        <f>Tabel3[[#This Row],[Prijs incl. btw]]*(1-Tabel3[[#This Row],[Korting %]])</f>
        <v>2.85</v>
      </c>
    </row>
    <row r="42" spans="1:13" x14ac:dyDescent="0.35">
      <c r="A42" s="58" t="s">
        <v>182</v>
      </c>
      <c r="B42" s="58" t="s">
        <v>139</v>
      </c>
      <c r="C42" s="58"/>
      <c r="D42" s="58" t="s">
        <v>125</v>
      </c>
      <c r="E42" s="58" t="s">
        <v>128</v>
      </c>
      <c r="F42" s="58" t="s">
        <v>119</v>
      </c>
      <c r="G42" s="58" t="s">
        <v>122</v>
      </c>
      <c r="H42" s="59">
        <f>Tabel3[[#This Row],[Prijs incl. btw]]/(1+Tabel3[[#This Row],[BTW %]])/1</f>
        <v>2.6146788990825689</v>
      </c>
      <c r="I42" s="60">
        <v>0.09</v>
      </c>
      <c r="J42" s="59">
        <v>2.85</v>
      </c>
      <c r="K42" s="105" t="s">
        <v>130</v>
      </c>
      <c r="L42" s="106">
        <v>0</v>
      </c>
      <c r="M42" s="104">
        <f>Tabel3[[#This Row],[Prijs incl. btw]]*(1-Tabel3[[#This Row],[Korting %]])</f>
        <v>2.85</v>
      </c>
    </row>
    <row r="43" spans="1:13" x14ac:dyDescent="0.35">
      <c r="A43" s="58" t="s">
        <v>182</v>
      </c>
      <c r="B43" s="58" t="s">
        <v>139</v>
      </c>
      <c r="C43" s="58"/>
      <c r="D43" s="58" t="s">
        <v>124</v>
      </c>
      <c r="E43" s="58" t="s">
        <v>129</v>
      </c>
      <c r="F43" s="58" t="s">
        <v>119</v>
      </c>
      <c r="G43" s="58" t="s">
        <v>140</v>
      </c>
      <c r="H43" s="59">
        <f>Tabel3[[#This Row],[Prijs incl. btw]]/(1+Tabel3[[#This Row],[BTW %]])/1</f>
        <v>2.2293577981651378</v>
      </c>
      <c r="I43" s="60">
        <v>0.09</v>
      </c>
      <c r="J43" s="59">
        <v>2.4300000000000002</v>
      </c>
      <c r="K43" s="105" t="s">
        <v>130</v>
      </c>
      <c r="L43" s="106">
        <v>0</v>
      </c>
      <c r="M43" s="104">
        <f>Tabel3[[#This Row],[Prijs incl. btw]]*(1-Tabel3[[#This Row],[Korting %]])</f>
        <v>2.4300000000000002</v>
      </c>
    </row>
    <row r="44" spans="1:13" x14ac:dyDescent="0.35">
      <c r="A44" s="58" t="s">
        <v>182</v>
      </c>
      <c r="B44" s="58" t="s">
        <v>139</v>
      </c>
      <c r="C44" s="58"/>
      <c r="D44" s="58" t="s">
        <v>126</v>
      </c>
      <c r="E44" s="58" t="s">
        <v>129</v>
      </c>
      <c r="F44" s="58" t="s">
        <v>140</v>
      </c>
      <c r="G44" s="58" t="s">
        <v>119</v>
      </c>
      <c r="H44" s="59">
        <f>Tabel3[[#This Row],[Prijs incl. btw]]/(1+Tabel3[[#This Row],[BTW %]])/1</f>
        <v>2.2293577981651378</v>
      </c>
      <c r="I44" s="60">
        <v>0.09</v>
      </c>
      <c r="J44" s="59">
        <v>2.4300000000000002</v>
      </c>
      <c r="K44" s="105" t="s">
        <v>130</v>
      </c>
      <c r="L44" s="106">
        <v>0</v>
      </c>
      <c r="M44" s="104">
        <f>Tabel3[[#This Row],[Prijs incl. btw]]*(1-Tabel3[[#This Row],[Korting %]])</f>
        <v>2.4300000000000002</v>
      </c>
    </row>
    <row r="45" spans="1:13" x14ac:dyDescent="0.35">
      <c r="A45" s="58" t="s">
        <v>182</v>
      </c>
      <c r="B45" s="58" t="s">
        <v>139</v>
      </c>
      <c r="C45" s="58"/>
      <c r="D45" s="58" t="s">
        <v>123</v>
      </c>
      <c r="E45" s="58" t="s">
        <v>129</v>
      </c>
      <c r="F45" s="58" t="s">
        <v>119</v>
      </c>
      <c r="G45" s="58" t="s">
        <v>122</v>
      </c>
      <c r="H45" s="59">
        <f>Tabel3[[#This Row],[Prijs incl. btw]]/(1+Tabel3[[#This Row],[BTW %]])/1</f>
        <v>2.6146788990825689</v>
      </c>
      <c r="I45" s="60">
        <v>0.09</v>
      </c>
      <c r="J45" s="59">
        <v>2.85</v>
      </c>
      <c r="K45" s="105" t="s">
        <v>130</v>
      </c>
      <c r="L45" s="106">
        <v>0</v>
      </c>
      <c r="M45" s="104">
        <f>Tabel3[[#This Row],[Prijs incl. btw]]*(1-Tabel3[[#This Row],[Korting %]])</f>
        <v>2.85</v>
      </c>
    </row>
    <row r="46" spans="1:13" x14ac:dyDescent="0.35">
      <c r="A46" s="58" t="s">
        <v>182</v>
      </c>
      <c r="B46" s="58" t="s">
        <v>139</v>
      </c>
      <c r="C46" s="58"/>
      <c r="D46" s="58" t="s">
        <v>123</v>
      </c>
      <c r="E46" s="58" t="s">
        <v>128</v>
      </c>
      <c r="F46" s="58" t="s">
        <v>122</v>
      </c>
      <c r="G46" s="58" t="s">
        <v>119</v>
      </c>
      <c r="H46" s="59">
        <f>Tabel3[[#This Row],[Prijs incl. btw]]/(1+Tabel3[[#This Row],[BTW %]])/1</f>
        <v>2.6146788990825689</v>
      </c>
      <c r="I46" s="60">
        <v>0.09</v>
      </c>
      <c r="J46" s="59">
        <v>2.85</v>
      </c>
      <c r="K46" s="105" t="s">
        <v>130</v>
      </c>
      <c r="L46" s="106">
        <v>0</v>
      </c>
      <c r="M46" s="104">
        <f>Tabel3[[#This Row],[Prijs incl. btw]]*(1-Tabel3[[#This Row],[Korting %]])</f>
        <v>2.85</v>
      </c>
    </row>
    <row r="47" spans="1:13" x14ac:dyDescent="0.35">
      <c r="A47" s="58" t="s">
        <v>182</v>
      </c>
      <c r="B47" s="58" t="s">
        <v>139</v>
      </c>
      <c r="C47" s="58"/>
      <c r="D47" s="58" t="s">
        <v>118</v>
      </c>
      <c r="E47" s="58" t="s">
        <v>129</v>
      </c>
      <c r="F47" s="58" t="s">
        <v>122</v>
      </c>
      <c r="G47" s="58" t="s">
        <v>119</v>
      </c>
      <c r="H47" s="59">
        <f>Tabel3[[#This Row],[Prijs incl. btw]]/(1+Tabel3[[#This Row],[BTW %]])/1</f>
        <v>2.6146788990825689</v>
      </c>
      <c r="I47" s="60">
        <v>0.09</v>
      </c>
      <c r="J47" s="59">
        <v>2.85</v>
      </c>
      <c r="K47" s="105" t="s">
        <v>130</v>
      </c>
      <c r="L47" s="106">
        <v>0</v>
      </c>
      <c r="M47" s="104">
        <f>Tabel3[[#This Row],[Prijs incl. btw]]*(1-Tabel3[[#This Row],[Korting %]])</f>
        <v>2.85</v>
      </c>
    </row>
    <row r="48" spans="1:13" x14ac:dyDescent="0.35">
      <c r="A48" s="58" t="s">
        <v>182</v>
      </c>
      <c r="B48" s="58" t="s">
        <v>139</v>
      </c>
      <c r="C48" s="58"/>
      <c r="D48" s="58" t="s">
        <v>118</v>
      </c>
      <c r="E48" s="58" t="s">
        <v>129</v>
      </c>
      <c r="F48" s="58" t="s">
        <v>119</v>
      </c>
      <c r="G48" s="58" t="s">
        <v>122</v>
      </c>
      <c r="H48" s="59">
        <f>Tabel3[[#This Row],[Prijs incl. btw]]/(1+Tabel3[[#This Row],[BTW %]])/1</f>
        <v>2.6146788990825689</v>
      </c>
      <c r="I48" s="60">
        <v>0.09</v>
      </c>
      <c r="J48" s="59">
        <v>2.85</v>
      </c>
      <c r="K48" s="105" t="s">
        <v>130</v>
      </c>
      <c r="L48" s="106">
        <v>0</v>
      </c>
      <c r="M48" s="104">
        <f>Tabel3[[#This Row],[Prijs incl. btw]]*(1-Tabel3[[#This Row],[Korting %]])</f>
        <v>2.85</v>
      </c>
    </row>
    <row r="49" spans="1:13" x14ac:dyDescent="0.35">
      <c r="A49" s="58" t="s">
        <v>182</v>
      </c>
      <c r="B49" s="58" t="s">
        <v>139</v>
      </c>
      <c r="C49" s="58"/>
      <c r="D49" s="58" t="s">
        <v>118</v>
      </c>
      <c r="E49" s="58" t="s">
        <v>60</v>
      </c>
      <c r="F49" s="58" t="s">
        <v>119</v>
      </c>
      <c r="G49" s="58" t="s">
        <v>122</v>
      </c>
      <c r="H49" s="59">
        <f>Tabel3[[#This Row],[Prijs incl. btw]]/(1+Tabel3[[#This Row],[BTW %]])/1</f>
        <v>2.6146788990825689</v>
      </c>
      <c r="I49" s="60">
        <v>0.09</v>
      </c>
      <c r="J49" s="59">
        <v>2.85</v>
      </c>
      <c r="K49" s="105" t="s">
        <v>130</v>
      </c>
      <c r="L49" s="106">
        <v>0</v>
      </c>
      <c r="M49" s="104">
        <f>Tabel3[[#This Row],[Prijs incl. btw]]*(1-Tabel3[[#This Row],[Korting %]])</f>
        <v>2.85</v>
      </c>
    </row>
    <row r="50" spans="1:13" x14ac:dyDescent="0.35">
      <c r="A50" s="58" t="s">
        <v>182</v>
      </c>
      <c r="B50" s="58" t="s">
        <v>139</v>
      </c>
      <c r="C50" s="58"/>
      <c r="D50" s="58" t="s">
        <v>118</v>
      </c>
      <c r="E50" s="58" t="s">
        <v>129</v>
      </c>
      <c r="F50" s="58" t="s">
        <v>119</v>
      </c>
      <c r="G50" s="58" t="s">
        <v>122</v>
      </c>
      <c r="H50" s="59">
        <f>Tabel3[[#This Row],[Prijs incl. btw]]/(1+Tabel3[[#This Row],[BTW %]])/1</f>
        <v>2.6146788990825689</v>
      </c>
      <c r="I50" s="60">
        <v>0.09</v>
      </c>
      <c r="J50" s="59">
        <v>2.85</v>
      </c>
      <c r="K50" s="105" t="s">
        <v>130</v>
      </c>
      <c r="L50" s="106">
        <v>0</v>
      </c>
      <c r="M50" s="104">
        <f>Tabel3[[#This Row],[Prijs incl. btw]]*(1-Tabel3[[#This Row],[Korting %]])</f>
        <v>2.85</v>
      </c>
    </row>
    <row r="51" spans="1:13" x14ac:dyDescent="0.35">
      <c r="A51" s="58" t="s">
        <v>182</v>
      </c>
      <c r="B51" s="58" t="s">
        <v>139</v>
      </c>
      <c r="C51" s="58"/>
      <c r="D51" s="58" t="s">
        <v>118</v>
      </c>
      <c r="E51" s="58" t="s">
        <v>60</v>
      </c>
      <c r="F51" s="58" t="s">
        <v>183</v>
      </c>
      <c r="G51" s="58" t="s">
        <v>119</v>
      </c>
      <c r="H51" s="59">
        <f>Tabel3[[#This Row],[Prijs incl. btw]]/(1+Tabel3[[#This Row],[BTW %]])/1</f>
        <v>2.6146788990825689</v>
      </c>
      <c r="I51" s="60">
        <v>0.09</v>
      </c>
      <c r="J51" s="59">
        <v>2.85</v>
      </c>
      <c r="K51" s="105" t="s">
        <v>130</v>
      </c>
      <c r="L51" s="106">
        <v>0</v>
      </c>
      <c r="M51" s="104">
        <f>Tabel3[[#This Row],[Prijs incl. btw]]*(1-Tabel3[[#This Row],[Korting %]])</f>
        <v>2.85</v>
      </c>
    </row>
    <row r="52" spans="1:13" x14ac:dyDescent="0.35">
      <c r="A52" s="29" t="s">
        <v>58</v>
      </c>
      <c r="B52" s="28"/>
      <c r="C52" s="28"/>
      <c r="D52" s="28"/>
      <c r="E52" s="28"/>
      <c r="F52" s="160"/>
      <c r="G52" s="160"/>
      <c r="H52" s="30">
        <f>SUM(Tabel3[Prijs excl. btw])</f>
        <v>404.62173022973701</v>
      </c>
      <c r="I52" s="28"/>
      <c r="J52" s="30">
        <f>SUM(Tabel3[Prijs incl. btw])</f>
        <v>443.40000000000032</v>
      </c>
      <c r="K52" s="161" t="s">
        <v>131</v>
      </c>
      <c r="L52" s="161"/>
      <c r="M52" s="31">
        <f>SUM(Tabel3[Prijs incl. btw -/- korting])</f>
        <v>443.40000000000032</v>
      </c>
    </row>
    <row r="53" spans="1:13" x14ac:dyDescent="0.35">
      <c r="I53" s="26"/>
      <c r="J53" s="26"/>
      <c r="K53" s="26"/>
      <c r="L53" s="26"/>
      <c r="M53" s="26"/>
    </row>
    <row r="54" spans="1:13" x14ac:dyDescent="0.35">
      <c r="A54" s="32" t="s">
        <v>25</v>
      </c>
      <c r="B54" s="32" t="s">
        <v>132</v>
      </c>
      <c r="C54" s="32" t="s">
        <v>133</v>
      </c>
    </row>
    <row r="55" spans="1:13" x14ac:dyDescent="0.35">
      <c r="A55" s="6" t="s">
        <v>127</v>
      </c>
      <c r="B55" s="107" t="s">
        <v>130</v>
      </c>
      <c r="C55" s="108">
        <v>0</v>
      </c>
    </row>
    <row r="56" spans="1:13" x14ac:dyDescent="0.35">
      <c r="A56" s="6" t="s">
        <v>127</v>
      </c>
      <c r="B56" s="107" t="s">
        <v>130</v>
      </c>
      <c r="C56" s="108">
        <v>0</v>
      </c>
    </row>
    <row r="57" spans="1:13" x14ac:dyDescent="0.35">
      <c r="A57" s="6" t="s">
        <v>127</v>
      </c>
      <c r="B57" s="107" t="s">
        <v>130</v>
      </c>
      <c r="C57" s="108">
        <v>0</v>
      </c>
    </row>
    <row r="58" spans="1:13" x14ac:dyDescent="0.35">
      <c r="A58" s="1" t="s">
        <v>58</v>
      </c>
      <c r="B58" s="33"/>
      <c r="C58" s="34">
        <f>SUM(C55:C57)</f>
        <v>0</v>
      </c>
    </row>
    <row r="60" spans="1:13" x14ac:dyDescent="0.35">
      <c r="A60" s="1" t="s">
        <v>134</v>
      </c>
      <c r="B60" s="5"/>
    </row>
    <row r="61" spans="1:13" ht="29" x14ac:dyDescent="0.35">
      <c r="A61" s="35" t="s">
        <v>135</v>
      </c>
      <c r="B61" s="36">
        <f>M52+C58</f>
        <v>443.40000000000032</v>
      </c>
    </row>
    <row r="62" spans="1:13" x14ac:dyDescent="0.35">
      <c r="A62" s="5"/>
      <c r="B62" s="5"/>
    </row>
  </sheetData>
  <sheetProtection algorithmName="SHA-512" hashValue="jH9rqj+eiffGeHa6b3jX+8Vg1ClqyGKIizk05QI6cjfYh+tODUvrpuP7b6h/dm6sDPeLdDZRonsQ5X/9Vng8dA==" saltValue="vPVt6V/jzn+N5ocGUfivCQ==" spinCount="100000" sheet="1" objects="1" scenarios="1"/>
  <mergeCells count="2">
    <mergeCell ref="F52:G52"/>
    <mergeCell ref="K52:L52"/>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B05EB-2575-47F0-951E-61EA2B85F43B}">
  <dimension ref="A1:M77"/>
  <sheetViews>
    <sheetView topLeftCell="A49" workbookViewId="0">
      <selection activeCell="B76" sqref="B76"/>
    </sheetView>
  </sheetViews>
  <sheetFormatPr defaultColWidth="8.81640625" defaultRowHeight="13.5" x14ac:dyDescent="0.3"/>
  <cols>
    <col min="1" max="1" width="35.1796875" style="9" bestFit="1" customWidth="1"/>
    <col min="2" max="2" width="17.36328125" style="9" bestFit="1" customWidth="1"/>
    <col min="3" max="3" width="9.90625" style="9" bestFit="1" customWidth="1"/>
    <col min="4" max="4" width="7.36328125" style="9" bestFit="1" customWidth="1"/>
    <col min="5" max="5" width="12.90625" style="9" bestFit="1" customWidth="1"/>
    <col min="6" max="6" width="18.6328125" style="9" bestFit="1" customWidth="1"/>
    <col min="7" max="7" width="23" style="9" bestFit="1" customWidth="1"/>
    <col min="8" max="8" width="18" style="9" bestFit="1" customWidth="1"/>
    <col min="9" max="9" width="10.90625" style="9" bestFit="1" customWidth="1"/>
    <col min="10" max="10" width="17.54296875" style="9" bestFit="1" customWidth="1"/>
    <col min="11" max="11" width="26.36328125" style="9" bestFit="1" customWidth="1"/>
    <col min="12" max="12" width="13.81640625" style="9" bestFit="1" customWidth="1"/>
    <col min="13" max="13" width="29.54296875" style="9" bestFit="1" customWidth="1"/>
    <col min="14" max="16384" width="8.81640625" style="9"/>
  </cols>
  <sheetData>
    <row r="1" spans="1:13" x14ac:dyDescent="0.3">
      <c r="A1" s="61" t="s">
        <v>103</v>
      </c>
      <c r="B1" s="61" t="s">
        <v>104</v>
      </c>
      <c r="C1" s="61" t="s">
        <v>105</v>
      </c>
      <c r="D1" s="61" t="s">
        <v>106</v>
      </c>
      <c r="E1" s="61" t="s">
        <v>143</v>
      </c>
      <c r="F1" s="61" t="s">
        <v>107</v>
      </c>
      <c r="G1" s="61" t="s">
        <v>108</v>
      </c>
      <c r="H1" s="61" t="s">
        <v>109</v>
      </c>
      <c r="I1" s="61" t="s">
        <v>110</v>
      </c>
      <c r="J1" s="61" t="s">
        <v>111</v>
      </c>
      <c r="K1" s="62" t="s">
        <v>112</v>
      </c>
      <c r="L1" s="62" t="s">
        <v>113</v>
      </c>
      <c r="M1" s="62" t="s">
        <v>114</v>
      </c>
    </row>
    <row r="2" spans="1:13" x14ac:dyDescent="0.3">
      <c r="A2" s="58" t="s">
        <v>115</v>
      </c>
      <c r="B2" s="58" t="s">
        <v>116</v>
      </c>
      <c r="C2" s="58" t="s">
        <v>117</v>
      </c>
      <c r="D2" s="58" t="s">
        <v>125</v>
      </c>
      <c r="E2" s="58" t="s">
        <v>129</v>
      </c>
      <c r="F2" s="58" t="s">
        <v>119</v>
      </c>
      <c r="G2" s="58" t="s">
        <v>187</v>
      </c>
      <c r="H2" s="59">
        <f>Tabel4[[#This Row],[Prijs incl. btw]]/(1+Tabel4[[#This Row],[BTW %]])/1</f>
        <v>7.9816513761467878</v>
      </c>
      <c r="I2" s="63">
        <v>0.09</v>
      </c>
      <c r="J2" s="64">
        <v>8.6999999999999993</v>
      </c>
      <c r="K2" s="110" t="s">
        <v>130</v>
      </c>
      <c r="L2" s="111">
        <v>0</v>
      </c>
      <c r="M2" s="109">
        <f>Tabel4[[#This Row],[Prijs incl. btw]]*(1-Tabel4[[#This Row],[Korting %]])</f>
        <v>8.6999999999999993</v>
      </c>
    </row>
    <row r="3" spans="1:13" x14ac:dyDescent="0.3">
      <c r="A3" s="58" t="s">
        <v>115</v>
      </c>
      <c r="B3" s="58" t="s">
        <v>116</v>
      </c>
      <c r="C3" s="9" t="s">
        <v>117</v>
      </c>
      <c r="D3" s="58" t="s">
        <v>125</v>
      </c>
      <c r="E3" s="58" t="s">
        <v>128</v>
      </c>
      <c r="F3" s="58" t="s">
        <v>119</v>
      </c>
      <c r="G3" s="58" t="s">
        <v>187</v>
      </c>
      <c r="H3" s="59">
        <f>Tabel4[[#This Row],[Prijs incl. btw]]/(1+Tabel4[[#This Row],[BTW %]])/1</f>
        <v>8.3486238532110075</v>
      </c>
      <c r="I3" s="63">
        <v>0.09</v>
      </c>
      <c r="J3" s="64">
        <v>9.1</v>
      </c>
      <c r="K3" s="110" t="s">
        <v>130</v>
      </c>
      <c r="L3" s="111">
        <v>0</v>
      </c>
      <c r="M3" s="109">
        <f>Tabel4[[#This Row],[Prijs incl. btw]]*(1-Tabel4[[#This Row],[Korting %]])</f>
        <v>9.1</v>
      </c>
    </row>
    <row r="4" spans="1:13" x14ac:dyDescent="0.3">
      <c r="A4" s="58" t="s">
        <v>115</v>
      </c>
      <c r="B4" s="58" t="s">
        <v>116</v>
      </c>
      <c r="C4" s="58" t="s">
        <v>117</v>
      </c>
      <c r="D4" s="58" t="s">
        <v>123</v>
      </c>
      <c r="E4" s="58" t="s">
        <v>128</v>
      </c>
      <c r="F4" s="58" t="s">
        <v>119</v>
      </c>
      <c r="G4" s="58" t="s">
        <v>187</v>
      </c>
      <c r="H4" s="59">
        <f>Tabel4[[#This Row],[Prijs incl. btw]]/(1+Tabel4[[#This Row],[BTW %]])/1</f>
        <v>7.9816513761467878</v>
      </c>
      <c r="I4" s="63">
        <v>0.09</v>
      </c>
      <c r="J4" s="64">
        <v>8.6999999999999993</v>
      </c>
      <c r="K4" s="110" t="s">
        <v>130</v>
      </c>
      <c r="L4" s="111">
        <v>0</v>
      </c>
      <c r="M4" s="109">
        <f>Tabel4[[#This Row],[Prijs incl. btw]]*(1-Tabel4[[#This Row],[Korting %]])</f>
        <v>8.6999999999999993</v>
      </c>
    </row>
    <row r="5" spans="1:13" x14ac:dyDescent="0.3">
      <c r="A5" s="58" t="s">
        <v>115</v>
      </c>
      <c r="B5" s="58" t="s">
        <v>116</v>
      </c>
      <c r="C5" s="58" t="s">
        <v>117</v>
      </c>
      <c r="D5" s="58" t="s">
        <v>124</v>
      </c>
      <c r="E5" s="58" t="s">
        <v>60</v>
      </c>
      <c r="F5" s="58" t="s">
        <v>119</v>
      </c>
      <c r="G5" s="58" t="s">
        <v>187</v>
      </c>
      <c r="H5" s="59">
        <f>Tabel4[[#This Row],[Prijs incl. btw]]/(1+Tabel4[[#This Row],[BTW %]])/1</f>
        <v>7.9816513761467878</v>
      </c>
      <c r="I5" s="63">
        <v>0.09</v>
      </c>
      <c r="J5" s="65">
        <v>8.6999999999999993</v>
      </c>
      <c r="K5" s="110" t="s">
        <v>130</v>
      </c>
      <c r="L5" s="111">
        <v>0</v>
      </c>
      <c r="M5" s="109">
        <f>Tabel4[[#This Row],[Prijs incl. btw]]*(1-Tabel4[[#This Row],[Korting %]])</f>
        <v>8.6999999999999993</v>
      </c>
    </row>
    <row r="6" spans="1:13" x14ac:dyDescent="0.3">
      <c r="A6" s="58" t="s">
        <v>115</v>
      </c>
      <c r="B6" s="58" t="s">
        <v>116</v>
      </c>
      <c r="C6" s="9" t="s">
        <v>117</v>
      </c>
      <c r="D6" s="58" t="s">
        <v>118</v>
      </c>
      <c r="E6" s="58" t="s">
        <v>129</v>
      </c>
      <c r="F6" s="58" t="s">
        <v>119</v>
      </c>
      <c r="G6" s="58" t="s">
        <v>187</v>
      </c>
      <c r="H6" s="59">
        <f>Tabel4[[#This Row],[Prijs incl. btw]]/(1+Tabel4[[#This Row],[BTW %]])/1</f>
        <v>7.9816513761467878</v>
      </c>
      <c r="I6" s="63">
        <v>0.09</v>
      </c>
      <c r="J6" s="65">
        <v>8.6999999999999993</v>
      </c>
      <c r="K6" s="110" t="s">
        <v>130</v>
      </c>
      <c r="L6" s="111">
        <v>0</v>
      </c>
      <c r="M6" s="109">
        <f>Tabel4[[#This Row],[Prijs incl. btw]]*(1-Tabel4[[#This Row],[Korting %]])</f>
        <v>8.6999999999999993</v>
      </c>
    </row>
    <row r="7" spans="1:13" x14ac:dyDescent="0.3">
      <c r="A7" s="58" t="s">
        <v>115</v>
      </c>
      <c r="B7" s="58" t="s">
        <v>116</v>
      </c>
      <c r="C7" s="58" t="s">
        <v>117</v>
      </c>
      <c r="D7" s="58" t="s">
        <v>118</v>
      </c>
      <c r="E7" s="58" t="s">
        <v>128</v>
      </c>
      <c r="F7" s="58" t="s">
        <v>119</v>
      </c>
      <c r="G7" s="58" t="s">
        <v>187</v>
      </c>
      <c r="H7" s="59">
        <f>Tabel4[[#This Row],[Prijs incl. btw]]/(1+Tabel4[[#This Row],[BTW %]])/1</f>
        <v>7.9816513761467878</v>
      </c>
      <c r="I7" s="63">
        <v>0.09</v>
      </c>
      <c r="J7" s="65">
        <v>8.6999999999999993</v>
      </c>
      <c r="K7" s="110" t="s">
        <v>130</v>
      </c>
      <c r="L7" s="111">
        <v>0</v>
      </c>
      <c r="M7" s="109">
        <f>Tabel4[[#This Row],[Prijs incl. btw]]*(1-Tabel4[[#This Row],[Korting %]])</f>
        <v>8.6999999999999993</v>
      </c>
    </row>
    <row r="8" spans="1:13" x14ac:dyDescent="0.3">
      <c r="A8" s="58" t="s">
        <v>115</v>
      </c>
      <c r="B8" s="58" t="s">
        <v>116</v>
      </c>
      <c r="C8" s="9" t="s">
        <v>117</v>
      </c>
      <c r="D8" s="58" t="s">
        <v>125</v>
      </c>
      <c r="E8" s="58" t="s">
        <v>129</v>
      </c>
      <c r="F8" s="58" t="s">
        <v>119</v>
      </c>
      <c r="G8" s="58" t="s">
        <v>186</v>
      </c>
      <c r="H8" s="59">
        <f>Tabel4[[#This Row],[Prijs incl. btw]]/(1+Tabel4[[#This Row],[BTW %]])/1</f>
        <v>8.3486238532110075</v>
      </c>
      <c r="I8" s="63">
        <v>0.09</v>
      </c>
      <c r="J8" s="64">
        <v>9.1</v>
      </c>
      <c r="K8" s="110" t="s">
        <v>130</v>
      </c>
      <c r="L8" s="111">
        <v>0</v>
      </c>
      <c r="M8" s="109">
        <f>Tabel4[[#This Row],[Prijs incl. btw]]*(1-Tabel4[[#This Row],[Korting %]])</f>
        <v>9.1</v>
      </c>
    </row>
    <row r="9" spans="1:13" x14ac:dyDescent="0.3">
      <c r="A9" s="58" t="s">
        <v>115</v>
      </c>
      <c r="B9" s="58" t="s">
        <v>116</v>
      </c>
      <c r="C9" s="58" t="s">
        <v>117</v>
      </c>
      <c r="D9" s="58" t="s">
        <v>125</v>
      </c>
      <c r="E9" s="58" t="s">
        <v>129</v>
      </c>
      <c r="F9" s="58" t="s">
        <v>119</v>
      </c>
      <c r="G9" s="58" t="s">
        <v>186</v>
      </c>
      <c r="H9" s="59">
        <f>Tabel4[[#This Row],[Prijs incl. btw]]/(1+Tabel4[[#This Row],[BTW %]])/1</f>
        <v>8.3486238532110075</v>
      </c>
      <c r="I9" s="63">
        <v>0.09</v>
      </c>
      <c r="J9" s="64">
        <v>9.1</v>
      </c>
      <c r="K9" s="110" t="s">
        <v>130</v>
      </c>
      <c r="L9" s="111">
        <v>0</v>
      </c>
      <c r="M9" s="109">
        <f>Tabel4[[#This Row],[Prijs incl. btw]]*(1-Tabel4[[#This Row],[Korting %]])</f>
        <v>9.1</v>
      </c>
    </row>
    <row r="10" spans="1:13" x14ac:dyDescent="0.3">
      <c r="A10" s="58" t="s">
        <v>115</v>
      </c>
      <c r="B10" s="58" t="s">
        <v>116</v>
      </c>
      <c r="C10" s="9" t="s">
        <v>117</v>
      </c>
      <c r="D10" s="58" t="s">
        <v>123</v>
      </c>
      <c r="E10" s="58" t="s">
        <v>129</v>
      </c>
      <c r="F10" s="58" t="s">
        <v>119</v>
      </c>
      <c r="G10" s="58" t="s">
        <v>186</v>
      </c>
      <c r="H10" s="59">
        <f>Tabel4[[#This Row],[Prijs incl. btw]]/(1+Tabel4[[#This Row],[BTW %]])/1</f>
        <v>8.3486238532110075</v>
      </c>
      <c r="I10" s="63">
        <v>0.09</v>
      </c>
      <c r="J10" s="64">
        <v>9.1</v>
      </c>
      <c r="K10" s="110" t="s">
        <v>130</v>
      </c>
      <c r="L10" s="111">
        <v>0</v>
      </c>
      <c r="M10" s="109">
        <f>Tabel4[[#This Row],[Prijs incl. btw]]*(1-Tabel4[[#This Row],[Korting %]])</f>
        <v>9.1</v>
      </c>
    </row>
    <row r="11" spans="1:13" x14ac:dyDescent="0.3">
      <c r="A11" s="58" t="s">
        <v>115</v>
      </c>
      <c r="B11" s="58" t="s">
        <v>116</v>
      </c>
      <c r="C11" s="9" t="s">
        <v>117</v>
      </c>
      <c r="D11" s="58" t="s">
        <v>124</v>
      </c>
      <c r="E11" s="58" t="s">
        <v>129</v>
      </c>
      <c r="F11" s="58" t="s">
        <v>119</v>
      </c>
      <c r="G11" s="58" t="s">
        <v>186</v>
      </c>
      <c r="H11" s="59">
        <f>Tabel4[[#This Row],[Prijs incl. btw]]/(1+Tabel4[[#This Row],[BTW %]])/1</f>
        <v>8.3486238532110075</v>
      </c>
      <c r="I11" s="63">
        <v>0.09</v>
      </c>
      <c r="J11" s="65">
        <v>9.1</v>
      </c>
      <c r="K11" s="110" t="s">
        <v>130</v>
      </c>
      <c r="L11" s="111">
        <v>0</v>
      </c>
      <c r="M11" s="109">
        <f>Tabel4[[#This Row],[Prijs incl. btw]]*(1-Tabel4[[#This Row],[Korting %]])</f>
        <v>9.1</v>
      </c>
    </row>
    <row r="12" spans="1:13" x14ac:dyDescent="0.3">
      <c r="A12" s="58" t="s">
        <v>115</v>
      </c>
      <c r="B12" s="58" t="s">
        <v>116</v>
      </c>
      <c r="C12" s="58" t="s">
        <v>117</v>
      </c>
      <c r="D12" s="58" t="s">
        <v>124</v>
      </c>
      <c r="E12" s="58" t="s">
        <v>129</v>
      </c>
      <c r="F12" s="58" t="s">
        <v>119</v>
      </c>
      <c r="G12" s="58" t="s">
        <v>186</v>
      </c>
      <c r="H12" s="59">
        <f>Tabel4[[#This Row],[Prijs incl. btw]]/(1+Tabel4[[#This Row],[BTW %]])/1</f>
        <v>8.3486238532110075</v>
      </c>
      <c r="I12" s="63">
        <v>0.09</v>
      </c>
      <c r="J12" s="64">
        <v>9.1</v>
      </c>
      <c r="K12" s="110" t="s">
        <v>130</v>
      </c>
      <c r="L12" s="111">
        <v>0</v>
      </c>
      <c r="M12" s="109">
        <f>Tabel4[[#This Row],[Prijs incl. btw]]*(1-Tabel4[[#This Row],[Korting %]])</f>
        <v>9.1</v>
      </c>
    </row>
    <row r="13" spans="1:13" x14ac:dyDescent="0.3">
      <c r="A13" s="58" t="s">
        <v>115</v>
      </c>
      <c r="B13" s="58" t="s">
        <v>116</v>
      </c>
      <c r="C13" s="58" t="s">
        <v>117</v>
      </c>
      <c r="D13" s="58" t="s">
        <v>118</v>
      </c>
      <c r="E13" s="58" t="s">
        <v>129</v>
      </c>
      <c r="F13" s="58" t="s">
        <v>119</v>
      </c>
      <c r="G13" s="58" t="s">
        <v>186</v>
      </c>
      <c r="H13" s="59">
        <f>Tabel4[[#This Row],[Prijs incl. btw]]/(1+Tabel4[[#This Row],[BTW %]])/1</f>
        <v>8.3486238532110075</v>
      </c>
      <c r="I13" s="63">
        <v>0.09</v>
      </c>
      <c r="J13" s="64">
        <v>9.1</v>
      </c>
      <c r="K13" s="110" t="s">
        <v>130</v>
      </c>
      <c r="L13" s="111">
        <v>0</v>
      </c>
      <c r="M13" s="109">
        <f>Tabel4[[#This Row],[Prijs incl. btw]]*(1-Tabel4[[#This Row],[Korting %]])</f>
        <v>9.1</v>
      </c>
    </row>
    <row r="14" spans="1:13" x14ac:dyDescent="0.3">
      <c r="A14" s="58" t="s">
        <v>115</v>
      </c>
      <c r="B14" s="58" t="s">
        <v>116</v>
      </c>
      <c r="C14" s="58" t="s">
        <v>117</v>
      </c>
      <c r="D14" s="58" t="s">
        <v>125</v>
      </c>
      <c r="E14" s="58" t="s">
        <v>60</v>
      </c>
      <c r="F14" s="58" t="s">
        <v>119</v>
      </c>
      <c r="G14" s="58" t="s">
        <v>186</v>
      </c>
      <c r="H14" s="59">
        <f>Tabel4[[#This Row],[Prijs incl. btw]]/(1+Tabel4[[#This Row],[BTW %]])/1</f>
        <v>8.3486238532110075</v>
      </c>
      <c r="I14" s="63">
        <v>0.09</v>
      </c>
      <c r="J14" s="64">
        <v>9.1</v>
      </c>
      <c r="K14" s="110" t="s">
        <v>130</v>
      </c>
      <c r="L14" s="111">
        <v>0</v>
      </c>
      <c r="M14" s="109">
        <f>Tabel4[[#This Row],[Prijs incl. btw]]*(1-Tabel4[[#This Row],[Korting %]])</f>
        <v>9.1</v>
      </c>
    </row>
    <row r="15" spans="1:13" x14ac:dyDescent="0.3">
      <c r="A15" s="58" t="s">
        <v>115</v>
      </c>
      <c r="B15" s="58" t="s">
        <v>116</v>
      </c>
      <c r="C15" s="9" t="s">
        <v>117</v>
      </c>
      <c r="D15" s="58" t="s">
        <v>123</v>
      </c>
      <c r="E15" s="58" t="s">
        <v>128</v>
      </c>
      <c r="F15" s="58" t="s">
        <v>119</v>
      </c>
      <c r="G15" s="58" t="s">
        <v>186</v>
      </c>
      <c r="H15" s="59">
        <f>Tabel4[[#This Row],[Prijs incl. btw]]/(1+Tabel4[[#This Row],[BTW %]])/1</f>
        <v>8.3486238532110075</v>
      </c>
      <c r="I15" s="63">
        <v>0.09</v>
      </c>
      <c r="J15" s="64">
        <v>9.1</v>
      </c>
      <c r="K15" s="110" t="s">
        <v>130</v>
      </c>
      <c r="L15" s="111">
        <v>0</v>
      </c>
      <c r="M15" s="109">
        <f>Tabel4[[#This Row],[Prijs incl. btw]]*(1-Tabel4[[#This Row],[Korting %]])</f>
        <v>9.1</v>
      </c>
    </row>
    <row r="16" spans="1:13" x14ac:dyDescent="0.3">
      <c r="A16" s="58" t="s">
        <v>115</v>
      </c>
      <c r="B16" s="58" t="s">
        <v>116</v>
      </c>
      <c r="C16" s="9" t="s">
        <v>117</v>
      </c>
      <c r="D16" s="58" t="s">
        <v>123</v>
      </c>
      <c r="E16" s="58" t="s">
        <v>129</v>
      </c>
      <c r="F16" s="58" t="s">
        <v>119</v>
      </c>
      <c r="G16" s="58" t="s">
        <v>186</v>
      </c>
      <c r="H16" s="59">
        <f>Tabel4[[#This Row],[Prijs incl. btw]]/(1+Tabel4[[#This Row],[BTW %]])/1</f>
        <v>8.3486238532110075</v>
      </c>
      <c r="I16" s="63">
        <v>0.09</v>
      </c>
      <c r="J16" s="64">
        <v>9.1</v>
      </c>
      <c r="K16" s="110" t="s">
        <v>130</v>
      </c>
      <c r="L16" s="111">
        <v>0</v>
      </c>
      <c r="M16" s="109">
        <f>Tabel4[[#This Row],[Prijs incl. btw]]*(1-Tabel4[[#This Row],[Korting %]])</f>
        <v>9.1</v>
      </c>
    </row>
    <row r="17" spans="1:13" x14ac:dyDescent="0.3">
      <c r="A17" s="58" t="s">
        <v>115</v>
      </c>
      <c r="B17" s="58" t="s">
        <v>116</v>
      </c>
      <c r="C17" s="9" t="s">
        <v>117</v>
      </c>
      <c r="D17" s="58" t="s">
        <v>123</v>
      </c>
      <c r="E17" s="58" t="s">
        <v>60</v>
      </c>
      <c r="F17" s="58" t="s">
        <v>119</v>
      </c>
      <c r="G17" s="58" t="s">
        <v>186</v>
      </c>
      <c r="H17" s="59">
        <f>Tabel4[[#This Row],[Prijs incl. btw]]/(1+Tabel4[[#This Row],[BTW %]])/1</f>
        <v>8.3486238532110075</v>
      </c>
      <c r="I17" s="63">
        <v>0.09</v>
      </c>
      <c r="J17" s="64">
        <v>9.1</v>
      </c>
      <c r="K17" s="110" t="s">
        <v>130</v>
      </c>
      <c r="L17" s="111">
        <v>0</v>
      </c>
      <c r="M17" s="109">
        <f>Tabel4[[#This Row],[Prijs incl. btw]]*(1-Tabel4[[#This Row],[Korting %]])</f>
        <v>9.1</v>
      </c>
    </row>
    <row r="18" spans="1:13" x14ac:dyDescent="0.3">
      <c r="A18" s="58" t="s">
        <v>115</v>
      </c>
      <c r="B18" s="58" t="s">
        <v>116</v>
      </c>
      <c r="C18" s="9" t="s">
        <v>117</v>
      </c>
      <c r="D18" s="58" t="s">
        <v>123</v>
      </c>
      <c r="E18" s="58" t="s">
        <v>60</v>
      </c>
      <c r="F18" s="58" t="s">
        <v>119</v>
      </c>
      <c r="G18" s="58" t="s">
        <v>186</v>
      </c>
      <c r="H18" s="59">
        <f>Tabel4[[#This Row],[Prijs incl. btw]]/(1+Tabel4[[#This Row],[BTW %]])/1</f>
        <v>8.3486238532110075</v>
      </c>
      <c r="I18" s="63">
        <v>0.09</v>
      </c>
      <c r="J18" s="64">
        <v>9.1</v>
      </c>
      <c r="K18" s="110" t="s">
        <v>130</v>
      </c>
      <c r="L18" s="111">
        <v>0</v>
      </c>
      <c r="M18" s="109">
        <f>Tabel4[[#This Row],[Prijs incl. btw]]*(1-Tabel4[[#This Row],[Korting %]])</f>
        <v>9.1</v>
      </c>
    </row>
    <row r="19" spans="1:13" x14ac:dyDescent="0.3">
      <c r="A19" s="58" t="s">
        <v>115</v>
      </c>
      <c r="B19" s="58" t="s">
        <v>116</v>
      </c>
      <c r="C19" s="9" t="s">
        <v>117</v>
      </c>
      <c r="D19" s="58" t="s">
        <v>124</v>
      </c>
      <c r="E19" s="58" t="s">
        <v>129</v>
      </c>
      <c r="F19" s="58" t="s">
        <v>119</v>
      </c>
      <c r="G19" s="58" t="s">
        <v>186</v>
      </c>
      <c r="H19" s="59">
        <f>Tabel4[[#This Row],[Prijs incl. btw]]/(1+Tabel4[[#This Row],[BTW %]])/1</f>
        <v>8.3486238532110075</v>
      </c>
      <c r="I19" s="63">
        <v>0.09</v>
      </c>
      <c r="J19" s="64">
        <v>9.1</v>
      </c>
      <c r="K19" s="110" t="s">
        <v>130</v>
      </c>
      <c r="L19" s="111">
        <v>0</v>
      </c>
      <c r="M19" s="109">
        <f>Tabel4[[#This Row],[Prijs incl. btw]]*(1-Tabel4[[#This Row],[Korting %]])</f>
        <v>9.1</v>
      </c>
    </row>
    <row r="20" spans="1:13" x14ac:dyDescent="0.3">
      <c r="A20" s="58" t="s">
        <v>115</v>
      </c>
      <c r="B20" s="58" t="s">
        <v>116</v>
      </c>
      <c r="C20" s="9" t="s">
        <v>117</v>
      </c>
      <c r="D20" s="58" t="s">
        <v>118</v>
      </c>
      <c r="E20" s="58" t="s">
        <v>129</v>
      </c>
      <c r="F20" s="58" t="s">
        <v>119</v>
      </c>
      <c r="G20" s="58" t="s">
        <v>186</v>
      </c>
      <c r="H20" s="59">
        <f>Tabel4[[#This Row],[Prijs incl. btw]]/(1+Tabel4[[#This Row],[BTW %]])/1</f>
        <v>8.3486238532110075</v>
      </c>
      <c r="I20" s="63">
        <v>0.09</v>
      </c>
      <c r="J20" s="65">
        <v>9.1</v>
      </c>
      <c r="K20" s="110" t="s">
        <v>130</v>
      </c>
      <c r="L20" s="111">
        <v>0</v>
      </c>
      <c r="M20" s="109">
        <f>Tabel4[[#This Row],[Prijs incl. btw]]*(1-Tabel4[[#This Row],[Korting %]])</f>
        <v>9.1</v>
      </c>
    </row>
    <row r="21" spans="1:13" x14ac:dyDescent="0.3">
      <c r="A21" s="58" t="s">
        <v>115</v>
      </c>
      <c r="B21" s="58" t="s">
        <v>116</v>
      </c>
      <c r="C21" s="9" t="s">
        <v>117</v>
      </c>
      <c r="D21" s="58" t="s">
        <v>118</v>
      </c>
      <c r="E21" s="58" t="s">
        <v>128</v>
      </c>
      <c r="F21" s="58" t="s">
        <v>119</v>
      </c>
      <c r="G21" s="58" t="s">
        <v>186</v>
      </c>
      <c r="H21" s="59">
        <f>Tabel4[[#This Row],[Prijs incl. btw]]/(1+Tabel4[[#This Row],[BTW %]])/1</f>
        <v>8.3486238532110075</v>
      </c>
      <c r="I21" s="63">
        <v>0.09</v>
      </c>
      <c r="J21" s="65">
        <v>9.1</v>
      </c>
      <c r="K21" s="110" t="s">
        <v>130</v>
      </c>
      <c r="L21" s="111">
        <v>0</v>
      </c>
      <c r="M21" s="109">
        <f>Tabel4[[#This Row],[Prijs incl. btw]]*(1-Tabel4[[#This Row],[Korting %]])</f>
        <v>9.1</v>
      </c>
    </row>
    <row r="22" spans="1:13" x14ac:dyDescent="0.3">
      <c r="A22" s="58" t="s">
        <v>115</v>
      </c>
      <c r="B22" s="58" t="s">
        <v>116</v>
      </c>
      <c r="C22" s="58" t="s">
        <v>117</v>
      </c>
      <c r="D22" s="58" t="s">
        <v>126</v>
      </c>
      <c r="E22" s="58" t="s">
        <v>128</v>
      </c>
      <c r="F22" s="58" t="s">
        <v>119</v>
      </c>
      <c r="G22" s="58" t="s">
        <v>186</v>
      </c>
      <c r="H22" s="59">
        <f>Tabel4[[#This Row],[Prijs incl. btw]]/(1+Tabel4[[#This Row],[BTW %]])/1</f>
        <v>8.3486238532110075</v>
      </c>
      <c r="I22" s="63">
        <v>0.09</v>
      </c>
      <c r="J22" s="64">
        <v>9.1</v>
      </c>
      <c r="K22" s="110" t="s">
        <v>130</v>
      </c>
      <c r="L22" s="111">
        <v>0</v>
      </c>
      <c r="M22" s="109">
        <f>Tabel4[[#This Row],[Prijs incl. btw]]*(1-Tabel4[[#This Row],[Korting %]])</f>
        <v>9.1</v>
      </c>
    </row>
    <row r="23" spans="1:13" x14ac:dyDescent="0.3">
      <c r="A23" s="58" t="s">
        <v>115</v>
      </c>
      <c r="B23" s="58" t="s">
        <v>116</v>
      </c>
      <c r="C23" s="9" t="s">
        <v>117</v>
      </c>
      <c r="D23" s="58" t="s">
        <v>125</v>
      </c>
      <c r="E23" s="58" t="s">
        <v>129</v>
      </c>
      <c r="F23" s="58" t="s">
        <v>119</v>
      </c>
      <c r="G23" s="58" t="s">
        <v>188</v>
      </c>
      <c r="H23" s="59">
        <f>Tabel4[[#This Row],[Prijs incl. btw]]/(1+Tabel4[[#This Row],[BTW %]])/1</f>
        <v>12.660550458715596</v>
      </c>
      <c r="I23" s="63">
        <v>0.09</v>
      </c>
      <c r="J23" s="64">
        <v>13.8</v>
      </c>
      <c r="K23" s="110" t="s">
        <v>130</v>
      </c>
      <c r="L23" s="111">
        <v>0</v>
      </c>
      <c r="M23" s="109">
        <f>Tabel4[[#This Row],[Prijs incl. btw]]*(1-Tabel4[[#This Row],[Korting %]])</f>
        <v>13.8</v>
      </c>
    </row>
    <row r="24" spans="1:13" x14ac:dyDescent="0.3">
      <c r="A24" s="58" t="s">
        <v>115</v>
      </c>
      <c r="B24" s="58" t="s">
        <v>116</v>
      </c>
      <c r="C24" s="9" t="s">
        <v>117</v>
      </c>
      <c r="D24" s="58" t="s">
        <v>123</v>
      </c>
      <c r="E24" s="58" t="s">
        <v>60</v>
      </c>
      <c r="F24" s="58" t="s">
        <v>119</v>
      </c>
      <c r="G24" s="58" t="s">
        <v>188</v>
      </c>
      <c r="H24" s="59">
        <f>Tabel4[[#This Row],[Prijs incl. btw]]/(1+Tabel4[[#This Row],[BTW %]])/1</f>
        <v>12.660550458715596</v>
      </c>
      <c r="I24" s="63">
        <v>0.09</v>
      </c>
      <c r="J24" s="64">
        <v>13.8</v>
      </c>
      <c r="K24" s="110" t="s">
        <v>130</v>
      </c>
      <c r="L24" s="111">
        <v>0</v>
      </c>
      <c r="M24" s="109">
        <f>Tabel4[[#This Row],[Prijs incl. btw]]*(1-Tabel4[[#This Row],[Korting %]])</f>
        <v>13.8</v>
      </c>
    </row>
    <row r="25" spans="1:13" x14ac:dyDescent="0.3">
      <c r="A25" s="58" t="s">
        <v>115</v>
      </c>
      <c r="B25" s="58" t="s">
        <v>116</v>
      </c>
      <c r="C25" s="9" t="s">
        <v>117</v>
      </c>
      <c r="D25" s="58" t="s">
        <v>123</v>
      </c>
      <c r="E25" s="58" t="s">
        <v>129</v>
      </c>
      <c r="F25" s="58" t="s">
        <v>119</v>
      </c>
      <c r="G25" s="58" t="s">
        <v>188</v>
      </c>
      <c r="H25" s="59">
        <f>Tabel4[[#This Row],[Prijs incl. btw]]/(1+Tabel4[[#This Row],[BTW %]])/1</f>
        <v>12.660550458715596</v>
      </c>
      <c r="I25" s="63">
        <v>0.09</v>
      </c>
      <c r="J25" s="64">
        <v>13.8</v>
      </c>
      <c r="K25" s="110" t="s">
        <v>130</v>
      </c>
      <c r="L25" s="111">
        <v>0</v>
      </c>
      <c r="M25" s="109">
        <f>Tabel4[[#This Row],[Prijs incl. btw]]*(1-Tabel4[[#This Row],[Korting %]])</f>
        <v>13.8</v>
      </c>
    </row>
    <row r="26" spans="1:13" x14ac:dyDescent="0.3">
      <c r="A26" s="58" t="s">
        <v>115</v>
      </c>
      <c r="B26" s="58" t="s">
        <v>116</v>
      </c>
      <c r="C26" s="9" t="s">
        <v>117</v>
      </c>
      <c r="D26" s="58" t="s">
        <v>123</v>
      </c>
      <c r="E26" s="58" t="s">
        <v>60</v>
      </c>
      <c r="F26" s="58" t="s">
        <v>119</v>
      </c>
      <c r="G26" s="58" t="s">
        <v>188</v>
      </c>
      <c r="H26" s="59">
        <f>Tabel4[[#This Row],[Prijs incl. btw]]/(1+Tabel4[[#This Row],[BTW %]])/1</f>
        <v>12.660550458715596</v>
      </c>
      <c r="I26" s="63">
        <v>0.09</v>
      </c>
      <c r="J26" s="64">
        <v>13.8</v>
      </c>
      <c r="K26" s="110" t="s">
        <v>130</v>
      </c>
      <c r="L26" s="111">
        <v>0</v>
      </c>
      <c r="M26" s="109">
        <f>Tabel4[[#This Row],[Prijs incl. btw]]*(1-Tabel4[[#This Row],[Korting %]])</f>
        <v>13.8</v>
      </c>
    </row>
    <row r="27" spans="1:13" x14ac:dyDescent="0.3">
      <c r="A27" s="58" t="s">
        <v>115</v>
      </c>
      <c r="B27" s="58" t="s">
        <v>116</v>
      </c>
      <c r="C27" s="9" t="s">
        <v>117</v>
      </c>
      <c r="D27" s="58" t="s">
        <v>123</v>
      </c>
      <c r="E27" s="58" t="s">
        <v>128</v>
      </c>
      <c r="F27" s="58" t="s">
        <v>119</v>
      </c>
      <c r="G27" s="58" t="s">
        <v>188</v>
      </c>
      <c r="H27" s="59">
        <f>Tabel4[[#This Row],[Prijs incl. btw]]/(1+Tabel4[[#This Row],[BTW %]])/1</f>
        <v>12.660550458715596</v>
      </c>
      <c r="I27" s="63">
        <v>0.09</v>
      </c>
      <c r="J27" s="64">
        <v>13.8</v>
      </c>
      <c r="K27" s="110" t="s">
        <v>130</v>
      </c>
      <c r="L27" s="111">
        <v>0</v>
      </c>
      <c r="M27" s="109">
        <f>Tabel4[[#This Row],[Prijs incl. btw]]*(1-Tabel4[[#This Row],[Korting %]])</f>
        <v>13.8</v>
      </c>
    </row>
    <row r="28" spans="1:13" x14ac:dyDescent="0.3">
      <c r="A28" s="58" t="s">
        <v>115</v>
      </c>
      <c r="B28" s="58" t="s">
        <v>116</v>
      </c>
      <c r="C28" s="9" t="s">
        <v>117</v>
      </c>
      <c r="D28" s="58" t="s">
        <v>118</v>
      </c>
      <c r="E28" s="58" t="s">
        <v>60</v>
      </c>
      <c r="F28" s="58" t="s">
        <v>119</v>
      </c>
      <c r="G28" s="58" t="s">
        <v>188</v>
      </c>
      <c r="H28" s="59">
        <f>Tabel4[[#This Row],[Prijs incl. btw]]/(1+Tabel4[[#This Row],[BTW %]])/1</f>
        <v>12.660550458715596</v>
      </c>
      <c r="I28" s="63">
        <v>0.09</v>
      </c>
      <c r="J28" s="65">
        <v>13.8</v>
      </c>
      <c r="K28" s="110" t="s">
        <v>130</v>
      </c>
      <c r="L28" s="111">
        <v>0</v>
      </c>
      <c r="M28" s="109">
        <f>Tabel4[[#This Row],[Prijs incl. btw]]*(1-Tabel4[[#This Row],[Korting %]])</f>
        <v>13.8</v>
      </c>
    </row>
    <row r="29" spans="1:13" x14ac:dyDescent="0.3">
      <c r="A29" s="58" t="s">
        <v>115</v>
      </c>
      <c r="B29" s="58" t="s">
        <v>116</v>
      </c>
      <c r="C29" s="58" t="s">
        <v>117</v>
      </c>
      <c r="D29" s="58" t="s">
        <v>126</v>
      </c>
      <c r="E29" s="58" t="s">
        <v>129</v>
      </c>
      <c r="F29" s="58" t="s">
        <v>119</v>
      </c>
      <c r="G29" s="58" t="s">
        <v>188</v>
      </c>
      <c r="H29" s="59">
        <f>Tabel4[[#This Row],[Prijs incl. btw]]/(1+Tabel4[[#This Row],[BTW %]])/1</f>
        <v>12.660550458715596</v>
      </c>
      <c r="I29" s="63">
        <v>0.09</v>
      </c>
      <c r="J29" s="64">
        <v>13.8</v>
      </c>
      <c r="K29" s="110" t="s">
        <v>130</v>
      </c>
      <c r="L29" s="111">
        <v>0</v>
      </c>
      <c r="M29" s="109">
        <f>Tabel4[[#This Row],[Prijs incl. btw]]*(1-Tabel4[[#This Row],[Korting %]])</f>
        <v>13.8</v>
      </c>
    </row>
    <row r="30" spans="1:13" x14ac:dyDescent="0.3">
      <c r="A30" s="58" t="s">
        <v>115</v>
      </c>
      <c r="B30" s="58" t="s">
        <v>116</v>
      </c>
      <c r="C30" s="9" t="s">
        <v>117</v>
      </c>
      <c r="D30" s="58" t="s">
        <v>125</v>
      </c>
      <c r="E30" s="58" t="s">
        <v>128</v>
      </c>
      <c r="F30" s="58" t="s">
        <v>186</v>
      </c>
      <c r="G30" s="58" t="s">
        <v>119</v>
      </c>
      <c r="H30" s="59">
        <f>Tabel4[[#This Row],[Prijs incl. btw]]/(1+Tabel4[[#This Row],[BTW %]])/1</f>
        <v>8.3486238532110075</v>
      </c>
      <c r="I30" s="63">
        <v>0.09</v>
      </c>
      <c r="J30" s="64">
        <v>9.1</v>
      </c>
      <c r="K30" s="110" t="s">
        <v>130</v>
      </c>
      <c r="L30" s="111">
        <v>0</v>
      </c>
      <c r="M30" s="109">
        <f>Tabel4[[#This Row],[Prijs incl. btw]]*(1-Tabel4[[#This Row],[Korting %]])</f>
        <v>9.1</v>
      </c>
    </row>
    <row r="31" spans="1:13" x14ac:dyDescent="0.3">
      <c r="A31" s="58" t="s">
        <v>115</v>
      </c>
      <c r="B31" s="58" t="s">
        <v>116</v>
      </c>
      <c r="C31" s="58" t="s">
        <v>117</v>
      </c>
      <c r="D31" s="58" t="s">
        <v>125</v>
      </c>
      <c r="E31" s="58" t="s">
        <v>60</v>
      </c>
      <c r="F31" s="58" t="s">
        <v>186</v>
      </c>
      <c r="G31" s="58" t="s">
        <v>119</v>
      </c>
      <c r="H31" s="59">
        <f>Tabel4[[#This Row],[Prijs incl. btw]]/(1+Tabel4[[#This Row],[BTW %]])/1</f>
        <v>8.3486238532110075</v>
      </c>
      <c r="I31" s="63">
        <v>0.09</v>
      </c>
      <c r="J31" s="64">
        <v>9.1</v>
      </c>
      <c r="K31" s="110" t="s">
        <v>130</v>
      </c>
      <c r="L31" s="111">
        <v>0</v>
      </c>
      <c r="M31" s="109">
        <f>Tabel4[[#This Row],[Prijs incl. btw]]*(1-Tabel4[[#This Row],[Korting %]])</f>
        <v>9.1</v>
      </c>
    </row>
    <row r="32" spans="1:13" x14ac:dyDescent="0.3">
      <c r="A32" s="58" t="s">
        <v>115</v>
      </c>
      <c r="B32" s="58" t="s">
        <v>116</v>
      </c>
      <c r="C32" s="9" t="s">
        <v>117</v>
      </c>
      <c r="D32" s="58" t="s">
        <v>124</v>
      </c>
      <c r="E32" s="58" t="s">
        <v>128</v>
      </c>
      <c r="F32" s="58" t="s">
        <v>186</v>
      </c>
      <c r="G32" s="58" t="s">
        <v>119</v>
      </c>
      <c r="H32" s="59">
        <f>Tabel4[[#This Row],[Prijs incl. btw]]/(1+Tabel4[[#This Row],[BTW %]])/1</f>
        <v>8.3486238532110075</v>
      </c>
      <c r="I32" s="63">
        <v>0.09</v>
      </c>
      <c r="J32" s="65">
        <v>9.1</v>
      </c>
      <c r="K32" s="110" t="s">
        <v>130</v>
      </c>
      <c r="L32" s="111">
        <v>0</v>
      </c>
      <c r="M32" s="109">
        <f>Tabel4[[#This Row],[Prijs incl. btw]]*(1-Tabel4[[#This Row],[Korting %]])</f>
        <v>9.1</v>
      </c>
    </row>
    <row r="33" spans="1:13" x14ac:dyDescent="0.3">
      <c r="A33" s="58" t="s">
        <v>115</v>
      </c>
      <c r="B33" s="58" t="s">
        <v>116</v>
      </c>
      <c r="C33" s="58" t="s">
        <v>117</v>
      </c>
      <c r="D33" s="58" t="s">
        <v>124</v>
      </c>
      <c r="E33" s="58" t="s">
        <v>128</v>
      </c>
      <c r="F33" s="58" t="s">
        <v>186</v>
      </c>
      <c r="G33" s="58" t="s">
        <v>119</v>
      </c>
      <c r="H33" s="59">
        <f>Tabel4[[#This Row],[Prijs incl. btw]]/(1+Tabel4[[#This Row],[BTW %]])/1</f>
        <v>8.3486238532110075</v>
      </c>
      <c r="I33" s="63">
        <v>0.09</v>
      </c>
      <c r="J33" s="65">
        <v>9.1</v>
      </c>
      <c r="K33" s="110" t="s">
        <v>130</v>
      </c>
      <c r="L33" s="111">
        <v>0</v>
      </c>
      <c r="M33" s="109">
        <f>Tabel4[[#This Row],[Prijs incl. btw]]*(1-Tabel4[[#This Row],[Korting %]])</f>
        <v>9.1</v>
      </c>
    </row>
    <row r="34" spans="1:13" x14ac:dyDescent="0.3">
      <c r="A34" s="58" t="s">
        <v>115</v>
      </c>
      <c r="B34" s="58" t="s">
        <v>116</v>
      </c>
      <c r="C34" s="9" t="s">
        <v>117</v>
      </c>
      <c r="D34" s="58" t="s">
        <v>118</v>
      </c>
      <c r="E34" s="58" t="s">
        <v>60</v>
      </c>
      <c r="F34" s="58" t="s">
        <v>186</v>
      </c>
      <c r="G34" s="58" t="s">
        <v>119</v>
      </c>
      <c r="H34" s="59">
        <f>Tabel4[[#This Row],[Prijs incl. btw]]/(1+Tabel4[[#This Row],[BTW %]])/1</f>
        <v>8.3486238532110075</v>
      </c>
      <c r="I34" s="63">
        <v>0.09</v>
      </c>
      <c r="J34" s="65">
        <v>9.1</v>
      </c>
      <c r="K34" s="110" t="s">
        <v>130</v>
      </c>
      <c r="L34" s="111">
        <v>0</v>
      </c>
      <c r="M34" s="109">
        <f>Tabel4[[#This Row],[Prijs incl. btw]]*(1-Tabel4[[#This Row],[Korting %]])</f>
        <v>9.1</v>
      </c>
    </row>
    <row r="35" spans="1:13" x14ac:dyDescent="0.3">
      <c r="A35" s="58" t="s">
        <v>115</v>
      </c>
      <c r="B35" s="58" t="s">
        <v>116</v>
      </c>
      <c r="C35" s="58" t="s">
        <v>117</v>
      </c>
      <c r="D35" s="58" t="s">
        <v>118</v>
      </c>
      <c r="E35" s="58" t="s">
        <v>128</v>
      </c>
      <c r="F35" s="58" t="s">
        <v>186</v>
      </c>
      <c r="G35" s="58" t="s">
        <v>119</v>
      </c>
      <c r="H35" s="59">
        <f>Tabel4[[#This Row],[Prijs incl. btw]]/(1+Tabel4[[#This Row],[BTW %]])/1</f>
        <v>8.3486238532110075</v>
      </c>
      <c r="I35" s="63">
        <v>0.09</v>
      </c>
      <c r="J35" s="65">
        <v>9.1</v>
      </c>
      <c r="K35" s="110" t="s">
        <v>130</v>
      </c>
      <c r="L35" s="111">
        <v>0</v>
      </c>
      <c r="M35" s="109">
        <f>Tabel4[[#This Row],[Prijs incl. btw]]*(1-Tabel4[[#This Row],[Korting %]])</f>
        <v>9.1</v>
      </c>
    </row>
    <row r="36" spans="1:13" x14ac:dyDescent="0.3">
      <c r="A36" s="58" t="s">
        <v>115</v>
      </c>
      <c r="B36" s="58" t="s">
        <v>116</v>
      </c>
      <c r="C36" s="58" t="s">
        <v>117</v>
      </c>
      <c r="D36" s="58" t="s">
        <v>118</v>
      </c>
      <c r="E36" s="58" t="s">
        <v>128</v>
      </c>
      <c r="F36" s="58" t="s">
        <v>186</v>
      </c>
      <c r="G36" s="58" t="s">
        <v>119</v>
      </c>
      <c r="H36" s="59">
        <f>Tabel4[[#This Row],[Prijs incl. btw]]/(1+Tabel4[[#This Row],[BTW %]])/1</f>
        <v>8.3486238532110075</v>
      </c>
      <c r="I36" s="63">
        <v>0.09</v>
      </c>
      <c r="J36" s="64">
        <v>9.1</v>
      </c>
      <c r="K36" s="110" t="s">
        <v>130</v>
      </c>
      <c r="L36" s="111">
        <v>0</v>
      </c>
      <c r="M36" s="109">
        <f>Tabel4[[#This Row],[Prijs incl. btw]]*(1-Tabel4[[#This Row],[Korting %]])</f>
        <v>9.1</v>
      </c>
    </row>
    <row r="37" spans="1:13" x14ac:dyDescent="0.3">
      <c r="A37" s="58" t="s">
        <v>115</v>
      </c>
      <c r="B37" s="58" t="s">
        <v>116</v>
      </c>
      <c r="C37" s="58" t="s">
        <v>117</v>
      </c>
      <c r="D37" s="58" t="s">
        <v>126</v>
      </c>
      <c r="E37" s="58" t="s">
        <v>60</v>
      </c>
      <c r="F37" s="58" t="s">
        <v>186</v>
      </c>
      <c r="G37" s="58" t="s">
        <v>119</v>
      </c>
      <c r="H37" s="59">
        <f>Tabel4[[#This Row],[Prijs incl. btw]]/(1+Tabel4[[#This Row],[BTW %]])/1</f>
        <v>8.3486238532110075</v>
      </c>
      <c r="I37" s="63">
        <v>0.09</v>
      </c>
      <c r="J37" s="64">
        <v>9.1</v>
      </c>
      <c r="K37" s="110" t="s">
        <v>130</v>
      </c>
      <c r="L37" s="111">
        <v>0</v>
      </c>
      <c r="M37" s="109">
        <f>Tabel4[[#This Row],[Prijs incl. btw]]*(1-Tabel4[[#This Row],[Korting %]])</f>
        <v>9.1</v>
      </c>
    </row>
    <row r="38" spans="1:13" x14ac:dyDescent="0.3">
      <c r="A38" s="58" t="s">
        <v>115</v>
      </c>
      <c r="B38" s="58" t="s">
        <v>116</v>
      </c>
      <c r="C38" s="58" t="s">
        <v>117</v>
      </c>
      <c r="D38" s="58" t="s">
        <v>125</v>
      </c>
      <c r="E38" s="58" t="s">
        <v>128</v>
      </c>
      <c r="F38" s="58" t="s">
        <v>146</v>
      </c>
      <c r="G38" s="58" t="s">
        <v>119</v>
      </c>
      <c r="H38" s="59">
        <f>Tabel4[[#This Row],[Prijs incl. btw]]/(1+Tabel4[[#This Row],[BTW %]])/1</f>
        <v>4.4954128440366974</v>
      </c>
      <c r="I38" s="63">
        <v>0.09</v>
      </c>
      <c r="J38" s="66">
        <v>4.9000000000000004</v>
      </c>
      <c r="K38" s="110" t="s">
        <v>130</v>
      </c>
      <c r="L38" s="111">
        <v>0</v>
      </c>
      <c r="M38" s="109">
        <f>Tabel4[[#This Row],[Prijs incl. btw]]*(1-Tabel4[[#This Row],[Korting %]])</f>
        <v>4.9000000000000004</v>
      </c>
    </row>
    <row r="39" spans="1:13" x14ac:dyDescent="0.3">
      <c r="A39" s="58" t="s">
        <v>115</v>
      </c>
      <c r="B39" s="58" t="s">
        <v>116</v>
      </c>
      <c r="C39" s="58" t="s">
        <v>117</v>
      </c>
      <c r="D39" s="58" t="s">
        <v>123</v>
      </c>
      <c r="E39" s="58" t="s">
        <v>60</v>
      </c>
      <c r="F39" s="58" t="s">
        <v>188</v>
      </c>
      <c r="G39" s="58" t="s">
        <v>119</v>
      </c>
      <c r="H39" s="59">
        <f>Tabel4[[#This Row],[Prijs incl. btw]]/(1+Tabel4[[#This Row],[BTW %]])/1</f>
        <v>12.660550458715596</v>
      </c>
      <c r="I39" s="63">
        <v>0.09</v>
      </c>
      <c r="J39" s="66">
        <v>13.8</v>
      </c>
      <c r="K39" s="110" t="s">
        <v>130</v>
      </c>
      <c r="L39" s="111">
        <v>0</v>
      </c>
      <c r="M39" s="109">
        <f>Tabel4[[#This Row],[Prijs incl. btw]]*(1-Tabel4[[#This Row],[Korting %]])</f>
        <v>13.8</v>
      </c>
    </row>
    <row r="40" spans="1:13" x14ac:dyDescent="0.3">
      <c r="A40" s="58" t="s">
        <v>115</v>
      </c>
      <c r="B40" s="58" t="s">
        <v>116</v>
      </c>
      <c r="C40" s="58" t="s">
        <v>117</v>
      </c>
      <c r="D40" s="58" t="s">
        <v>124</v>
      </c>
      <c r="E40" s="58" t="s">
        <v>60</v>
      </c>
      <c r="F40" s="58" t="s">
        <v>187</v>
      </c>
      <c r="G40" s="58" t="s">
        <v>119</v>
      </c>
      <c r="H40" s="59">
        <f>Tabel4[[#This Row],[Prijs incl. btw]]/(1+Tabel4[[#This Row],[BTW %]])/1</f>
        <v>7.9816513761467878</v>
      </c>
      <c r="I40" s="63">
        <v>0.09</v>
      </c>
      <c r="J40" s="64">
        <v>8.6999999999999993</v>
      </c>
      <c r="K40" s="110" t="s">
        <v>130</v>
      </c>
      <c r="L40" s="111">
        <v>0</v>
      </c>
      <c r="M40" s="109">
        <f>Tabel4[[#This Row],[Prijs incl. btw]]*(1-Tabel4[[#This Row],[Korting %]])</f>
        <v>8.6999999999999993</v>
      </c>
    </row>
    <row r="41" spans="1:13" x14ac:dyDescent="0.3">
      <c r="A41" s="58" t="s">
        <v>115</v>
      </c>
      <c r="B41" s="58" t="s">
        <v>116</v>
      </c>
      <c r="C41" s="58" t="s">
        <v>117</v>
      </c>
      <c r="D41" s="58" t="s">
        <v>118</v>
      </c>
      <c r="E41" s="58" t="s">
        <v>128</v>
      </c>
      <c r="F41" s="58" t="s">
        <v>146</v>
      </c>
      <c r="G41" s="58" t="s">
        <v>119</v>
      </c>
      <c r="H41" s="59">
        <f>Tabel4[[#This Row],[Prijs incl. btw]]/(1+Tabel4[[#This Row],[BTW %]])/1</f>
        <v>4.4954128440366974</v>
      </c>
      <c r="I41" s="63">
        <v>0.09</v>
      </c>
      <c r="J41" s="65">
        <v>4.9000000000000004</v>
      </c>
      <c r="K41" s="110" t="s">
        <v>130</v>
      </c>
      <c r="L41" s="111">
        <v>0</v>
      </c>
      <c r="M41" s="109">
        <f>Tabel4[[#This Row],[Prijs incl. btw]]*(1-Tabel4[[#This Row],[Korting %]])</f>
        <v>4.9000000000000004</v>
      </c>
    </row>
    <row r="42" spans="1:13" x14ac:dyDescent="0.3">
      <c r="A42" s="58" t="s">
        <v>115</v>
      </c>
      <c r="B42" s="58" t="s">
        <v>116</v>
      </c>
      <c r="C42" s="58" t="s">
        <v>117</v>
      </c>
      <c r="D42" s="58" t="s">
        <v>118</v>
      </c>
      <c r="E42" s="58" t="s">
        <v>129</v>
      </c>
      <c r="F42" s="58" t="s">
        <v>146</v>
      </c>
      <c r="G42" s="58" t="s">
        <v>119</v>
      </c>
      <c r="H42" s="59">
        <f>Tabel4[[#This Row],[Prijs incl. btw]]/(1+Tabel4[[#This Row],[BTW %]])/1</f>
        <v>4.4954128440366974</v>
      </c>
      <c r="I42" s="63">
        <v>0.09</v>
      </c>
      <c r="J42" s="65">
        <v>4.9000000000000004</v>
      </c>
      <c r="K42" s="110" t="s">
        <v>130</v>
      </c>
      <c r="L42" s="111">
        <v>0</v>
      </c>
      <c r="M42" s="109">
        <f>Tabel4[[#This Row],[Prijs incl. btw]]*(1-Tabel4[[#This Row],[Korting %]])</f>
        <v>4.9000000000000004</v>
      </c>
    </row>
    <row r="43" spans="1:13" x14ac:dyDescent="0.3">
      <c r="A43" s="58" t="s">
        <v>115</v>
      </c>
      <c r="B43" s="58" t="s">
        <v>116</v>
      </c>
      <c r="C43" s="58" t="s">
        <v>117</v>
      </c>
      <c r="D43" s="58" t="s">
        <v>126</v>
      </c>
      <c r="E43" s="58" t="s">
        <v>128</v>
      </c>
      <c r="F43" s="58" t="s">
        <v>188</v>
      </c>
      <c r="G43" s="58" t="s">
        <v>119</v>
      </c>
      <c r="H43" s="59">
        <f>Tabel4[[#This Row],[Prijs incl. btw]]/(1+Tabel4[[#This Row],[BTW %]])/1</f>
        <v>12.660550458715596</v>
      </c>
      <c r="I43" s="63">
        <v>0.09</v>
      </c>
      <c r="J43" s="64">
        <v>13.8</v>
      </c>
      <c r="K43" s="110" t="s">
        <v>130</v>
      </c>
      <c r="L43" s="111">
        <v>0</v>
      </c>
      <c r="M43" s="109">
        <f>Tabel4[[#This Row],[Prijs incl. btw]]*(1-Tabel4[[#This Row],[Korting %]])</f>
        <v>13.8</v>
      </c>
    </row>
    <row r="44" spans="1:13" x14ac:dyDescent="0.3">
      <c r="A44" s="58" t="s">
        <v>115</v>
      </c>
      <c r="B44" s="58" t="s">
        <v>116</v>
      </c>
      <c r="C44" s="58" t="s">
        <v>117</v>
      </c>
      <c r="D44" s="58" t="s">
        <v>126</v>
      </c>
      <c r="E44" s="58" t="s">
        <v>60</v>
      </c>
      <c r="F44" s="58" t="s">
        <v>187</v>
      </c>
      <c r="G44" s="58" t="s">
        <v>119</v>
      </c>
      <c r="H44" s="59">
        <f>Tabel4[[#This Row],[Prijs incl. btw]]/(1+Tabel4[[#This Row],[BTW %]])/1</f>
        <v>7.9816513761467878</v>
      </c>
      <c r="I44" s="63">
        <v>0.09</v>
      </c>
      <c r="J44" s="64">
        <v>8.6999999999999993</v>
      </c>
      <c r="K44" s="110" t="s">
        <v>130</v>
      </c>
      <c r="L44" s="111">
        <v>0</v>
      </c>
      <c r="M44" s="109">
        <f>Tabel4[[#This Row],[Prijs incl. btw]]*(1-Tabel4[[#This Row],[Korting %]])</f>
        <v>8.6999999999999993</v>
      </c>
    </row>
    <row r="45" spans="1:13" x14ac:dyDescent="0.3">
      <c r="A45" s="58" t="s">
        <v>115</v>
      </c>
      <c r="B45" s="58" t="s">
        <v>116</v>
      </c>
      <c r="C45" s="58" t="s">
        <v>117</v>
      </c>
      <c r="D45" s="58" t="s">
        <v>125</v>
      </c>
      <c r="E45" s="58" t="s">
        <v>60</v>
      </c>
      <c r="F45" s="58" t="s">
        <v>119</v>
      </c>
      <c r="G45" s="58" t="s">
        <v>146</v>
      </c>
      <c r="H45" s="59">
        <f>Tabel4[[#This Row],[Prijs incl. btw]]/(1+Tabel4[[#This Row],[BTW %]])/1</f>
        <v>4.4954128440366974</v>
      </c>
      <c r="I45" s="63">
        <v>0.09</v>
      </c>
      <c r="J45" s="64">
        <v>4.9000000000000004</v>
      </c>
      <c r="K45" s="110" t="s">
        <v>130</v>
      </c>
      <c r="L45" s="111">
        <v>0</v>
      </c>
      <c r="M45" s="109">
        <f>Tabel4[[#This Row],[Prijs incl. btw]]*(1-Tabel4[[#This Row],[Korting %]])</f>
        <v>4.9000000000000004</v>
      </c>
    </row>
    <row r="46" spans="1:13" x14ac:dyDescent="0.3">
      <c r="A46" s="58" t="s">
        <v>115</v>
      </c>
      <c r="B46" s="58" t="s">
        <v>116</v>
      </c>
      <c r="C46" s="9" t="s">
        <v>117</v>
      </c>
      <c r="D46" s="58" t="s">
        <v>123</v>
      </c>
      <c r="E46" s="58" t="s">
        <v>129</v>
      </c>
      <c r="F46" s="58" t="s">
        <v>119</v>
      </c>
      <c r="G46" s="58" t="s">
        <v>146</v>
      </c>
      <c r="H46" s="59">
        <f>Tabel4[[#This Row],[Prijs incl. btw]]/(1+Tabel4[[#This Row],[BTW %]])/1</f>
        <v>4.4954128440366974</v>
      </c>
      <c r="I46" s="63">
        <v>0.09</v>
      </c>
      <c r="J46" s="64">
        <v>4.9000000000000004</v>
      </c>
      <c r="K46" s="110" t="s">
        <v>130</v>
      </c>
      <c r="L46" s="111">
        <v>0</v>
      </c>
      <c r="M46" s="109">
        <f>Tabel4[[#This Row],[Prijs incl. btw]]*(1-Tabel4[[#This Row],[Korting %]])</f>
        <v>4.9000000000000004</v>
      </c>
    </row>
    <row r="47" spans="1:13" x14ac:dyDescent="0.3">
      <c r="A47" s="58" t="s">
        <v>115</v>
      </c>
      <c r="B47" s="58" t="s">
        <v>116</v>
      </c>
      <c r="C47" s="58" t="s">
        <v>117</v>
      </c>
      <c r="D47" s="58" t="s">
        <v>124</v>
      </c>
      <c r="E47" s="58" t="s">
        <v>128</v>
      </c>
      <c r="F47" s="58" t="s">
        <v>119</v>
      </c>
      <c r="G47" s="58" t="s">
        <v>146</v>
      </c>
      <c r="H47" s="59">
        <f>Tabel4[[#This Row],[Prijs incl. btw]]/(1+Tabel4[[#This Row],[BTW %]])/1</f>
        <v>4.4954128440366974</v>
      </c>
      <c r="I47" s="63">
        <v>0.09</v>
      </c>
      <c r="J47" s="64">
        <v>4.9000000000000004</v>
      </c>
      <c r="K47" s="110" t="s">
        <v>130</v>
      </c>
      <c r="L47" s="111">
        <v>0</v>
      </c>
      <c r="M47" s="109">
        <f>Tabel4[[#This Row],[Prijs incl. btw]]*(1-Tabel4[[#This Row],[Korting %]])</f>
        <v>4.9000000000000004</v>
      </c>
    </row>
    <row r="48" spans="1:13" x14ac:dyDescent="0.3">
      <c r="A48" s="58" t="s">
        <v>115</v>
      </c>
      <c r="B48" s="58" t="s">
        <v>116</v>
      </c>
      <c r="C48" s="9" t="s">
        <v>117</v>
      </c>
      <c r="D48" s="58" t="s">
        <v>124</v>
      </c>
      <c r="E48" s="58" t="s">
        <v>129</v>
      </c>
      <c r="F48" s="58" t="s">
        <v>119</v>
      </c>
      <c r="G48" s="58" t="s">
        <v>146</v>
      </c>
      <c r="H48" s="59">
        <f>Tabel4[[#This Row],[Prijs incl. btw]]/(1+Tabel4[[#This Row],[BTW %]])/1</f>
        <v>4.4954128440366974</v>
      </c>
      <c r="I48" s="63">
        <v>0.09</v>
      </c>
      <c r="J48" s="64">
        <v>4.9000000000000004</v>
      </c>
      <c r="K48" s="110" t="s">
        <v>130</v>
      </c>
      <c r="L48" s="111">
        <v>0</v>
      </c>
      <c r="M48" s="109">
        <f>Tabel4[[#This Row],[Prijs incl. btw]]*(1-Tabel4[[#This Row],[Korting %]])</f>
        <v>4.9000000000000004</v>
      </c>
    </row>
    <row r="49" spans="1:13" x14ac:dyDescent="0.3">
      <c r="A49" s="58" t="s">
        <v>115</v>
      </c>
      <c r="B49" s="58" t="s">
        <v>116</v>
      </c>
      <c r="C49" s="58" t="s">
        <v>117</v>
      </c>
      <c r="D49" s="58" t="s">
        <v>118</v>
      </c>
      <c r="E49" s="58" t="s">
        <v>60</v>
      </c>
      <c r="F49" s="58" t="s">
        <v>119</v>
      </c>
      <c r="G49" s="58" t="s">
        <v>146</v>
      </c>
      <c r="H49" s="59">
        <f>Tabel4[[#This Row],[Prijs incl. btw]]/(1+Tabel4[[#This Row],[BTW %]])/1</f>
        <v>4.4954128440366974</v>
      </c>
      <c r="I49" s="63">
        <v>0.09</v>
      </c>
      <c r="J49" s="65">
        <v>4.9000000000000004</v>
      </c>
      <c r="K49" s="110" t="s">
        <v>130</v>
      </c>
      <c r="L49" s="111">
        <v>0</v>
      </c>
      <c r="M49" s="109">
        <f>Tabel4[[#This Row],[Prijs incl. btw]]*(1-Tabel4[[#This Row],[Korting %]])</f>
        <v>4.9000000000000004</v>
      </c>
    </row>
    <row r="50" spans="1:13" x14ac:dyDescent="0.3">
      <c r="A50" s="58" t="s">
        <v>115</v>
      </c>
      <c r="B50" s="58" t="s">
        <v>116</v>
      </c>
      <c r="C50" s="58" t="s">
        <v>117</v>
      </c>
      <c r="D50" s="58" t="s">
        <v>118</v>
      </c>
      <c r="E50" s="58" t="s">
        <v>128</v>
      </c>
      <c r="F50" s="58" t="s">
        <v>119</v>
      </c>
      <c r="G50" s="58" t="s">
        <v>146</v>
      </c>
      <c r="H50" s="59">
        <f>Tabel4[[#This Row],[Prijs incl. btw]]/(1+Tabel4[[#This Row],[BTW %]])/1</f>
        <v>4.4954128440366974</v>
      </c>
      <c r="I50" s="63">
        <v>0.09</v>
      </c>
      <c r="J50" s="65">
        <v>4.9000000000000004</v>
      </c>
      <c r="K50" s="110" t="s">
        <v>130</v>
      </c>
      <c r="L50" s="111">
        <v>0</v>
      </c>
      <c r="M50" s="109">
        <f>Tabel4[[#This Row],[Prijs incl. btw]]*(1-Tabel4[[#This Row],[Korting %]])</f>
        <v>4.9000000000000004</v>
      </c>
    </row>
    <row r="51" spans="1:13" x14ac:dyDescent="0.3">
      <c r="A51" s="58" t="s">
        <v>115</v>
      </c>
      <c r="B51" s="58" t="s">
        <v>116</v>
      </c>
      <c r="C51" s="58" t="s">
        <v>117</v>
      </c>
      <c r="D51" s="58" t="s">
        <v>126</v>
      </c>
      <c r="E51" s="58" t="s">
        <v>129</v>
      </c>
      <c r="F51" s="58" t="s">
        <v>119</v>
      </c>
      <c r="G51" s="58" t="s">
        <v>146</v>
      </c>
      <c r="H51" s="59">
        <f>Tabel4[[#This Row],[Prijs incl. btw]]/(1+Tabel4[[#This Row],[BTW %]])/1</f>
        <v>4.4954128440366974</v>
      </c>
      <c r="I51" s="63">
        <v>0.09</v>
      </c>
      <c r="J51" s="64">
        <v>4.9000000000000004</v>
      </c>
      <c r="K51" s="110" t="s">
        <v>130</v>
      </c>
      <c r="L51" s="111">
        <v>0</v>
      </c>
      <c r="M51" s="109">
        <f>Tabel4[[#This Row],[Prijs incl. btw]]*(1-Tabel4[[#This Row],[Korting %]])</f>
        <v>4.9000000000000004</v>
      </c>
    </row>
    <row r="52" spans="1:13" x14ac:dyDescent="0.3">
      <c r="A52" s="58" t="s">
        <v>182</v>
      </c>
      <c r="B52" s="58" t="s">
        <v>139</v>
      </c>
      <c r="C52" s="58"/>
      <c r="D52" s="58" t="s">
        <v>125</v>
      </c>
      <c r="E52" s="58" t="s">
        <v>129</v>
      </c>
      <c r="F52" s="58" t="s">
        <v>122</v>
      </c>
      <c r="G52" s="58" t="s">
        <v>119</v>
      </c>
      <c r="H52" s="59">
        <f>Tabel4[[#This Row],[Prijs incl. btw]]/(1+Tabel4[[#This Row],[BTW %]])/1</f>
        <v>2.6146788990825689</v>
      </c>
      <c r="I52" s="63">
        <v>0.09</v>
      </c>
      <c r="J52" s="95">
        <v>2.85</v>
      </c>
      <c r="K52" s="110" t="s">
        <v>130</v>
      </c>
      <c r="L52" s="111">
        <v>0</v>
      </c>
      <c r="M52" s="109">
        <f>Tabel4[[#This Row],[Prijs incl. btw]]*(1-Tabel4[[#This Row],[Korting %]])</f>
        <v>2.85</v>
      </c>
    </row>
    <row r="53" spans="1:13" x14ac:dyDescent="0.3">
      <c r="A53" s="58" t="s">
        <v>182</v>
      </c>
      <c r="B53" s="58" t="s">
        <v>139</v>
      </c>
      <c r="D53" s="58" t="s">
        <v>123</v>
      </c>
      <c r="E53" s="58" t="s">
        <v>128</v>
      </c>
      <c r="F53" s="58" t="s">
        <v>119</v>
      </c>
      <c r="G53" s="58" t="s">
        <v>190</v>
      </c>
      <c r="H53" s="59">
        <f>Tabel4[[#This Row],[Prijs incl. btw]]/(1+Tabel4[[#This Row],[BTW %]])/1</f>
        <v>1.5321100917431192</v>
      </c>
      <c r="I53" s="63">
        <v>0.09</v>
      </c>
      <c r="J53" s="95">
        <v>1.67</v>
      </c>
      <c r="K53" s="110" t="s">
        <v>130</v>
      </c>
      <c r="L53" s="111">
        <v>0</v>
      </c>
      <c r="M53" s="109">
        <f>Tabel4[[#This Row],[Prijs incl. btw]]*(1-Tabel4[[#This Row],[Korting %]])</f>
        <v>1.67</v>
      </c>
    </row>
    <row r="54" spans="1:13" x14ac:dyDescent="0.3">
      <c r="A54" s="58" t="s">
        <v>182</v>
      </c>
      <c r="B54" s="58" t="s">
        <v>139</v>
      </c>
      <c r="C54" s="58"/>
      <c r="D54" s="58" t="s">
        <v>123</v>
      </c>
      <c r="E54" s="58" t="s">
        <v>60</v>
      </c>
      <c r="F54" s="58" t="s">
        <v>190</v>
      </c>
      <c r="G54" s="58" t="s">
        <v>119</v>
      </c>
      <c r="H54" s="59">
        <f>Tabel4[[#This Row],[Prijs incl. btw]]/(1+Tabel4[[#This Row],[BTW %]])/1</f>
        <v>1.5321100917431192</v>
      </c>
      <c r="I54" s="63">
        <v>0.09</v>
      </c>
      <c r="J54" s="95">
        <v>1.67</v>
      </c>
      <c r="K54" s="110" t="s">
        <v>130</v>
      </c>
      <c r="L54" s="111">
        <v>0</v>
      </c>
      <c r="M54" s="109">
        <f>Tabel4[[#This Row],[Prijs incl. btw]]*(1-Tabel4[[#This Row],[Korting %]])</f>
        <v>1.67</v>
      </c>
    </row>
    <row r="55" spans="1:13" x14ac:dyDescent="0.3">
      <c r="A55" s="58" t="s">
        <v>182</v>
      </c>
      <c r="B55" s="58" t="s">
        <v>139</v>
      </c>
      <c r="C55" s="58"/>
      <c r="D55" s="58" t="s">
        <v>124</v>
      </c>
      <c r="E55" s="58" t="s">
        <v>129</v>
      </c>
      <c r="F55" s="58" t="s">
        <v>191</v>
      </c>
      <c r="G55" s="58" t="s">
        <v>119</v>
      </c>
      <c r="H55" s="59">
        <f>Tabel4[[#This Row],[Prijs incl. btw]]/(1+Tabel4[[#This Row],[BTW %]])/1</f>
        <v>2.5412844036697244</v>
      </c>
      <c r="I55" s="63">
        <v>0.09</v>
      </c>
      <c r="J55" s="95">
        <v>2.77</v>
      </c>
      <c r="K55" s="110" t="s">
        <v>130</v>
      </c>
      <c r="L55" s="111">
        <v>0</v>
      </c>
      <c r="M55" s="109">
        <f>Tabel4[[#This Row],[Prijs incl. btw]]*(1-Tabel4[[#This Row],[Korting %]])</f>
        <v>2.77</v>
      </c>
    </row>
    <row r="56" spans="1:13" x14ac:dyDescent="0.3">
      <c r="A56" s="58" t="s">
        <v>182</v>
      </c>
      <c r="B56" s="58" t="s">
        <v>139</v>
      </c>
      <c r="D56" s="58" t="s">
        <v>126</v>
      </c>
      <c r="E56" s="58" t="s">
        <v>129</v>
      </c>
      <c r="F56" s="58" t="s">
        <v>119</v>
      </c>
      <c r="G56" s="58" t="s">
        <v>191</v>
      </c>
      <c r="H56" s="59">
        <f>Tabel4[[#This Row],[Prijs incl. btw]]/(1+Tabel4[[#This Row],[BTW %]])/1</f>
        <v>2.5412844036697244</v>
      </c>
      <c r="I56" s="63">
        <v>0.09</v>
      </c>
      <c r="J56" s="95">
        <v>2.77</v>
      </c>
      <c r="K56" s="110" t="s">
        <v>130</v>
      </c>
      <c r="L56" s="111">
        <v>0</v>
      </c>
      <c r="M56" s="109">
        <f>Tabel4[[#This Row],[Prijs incl. btw]]*(1-Tabel4[[#This Row],[Korting %]])</f>
        <v>2.77</v>
      </c>
    </row>
    <row r="57" spans="1:13" x14ac:dyDescent="0.3">
      <c r="A57" s="58" t="s">
        <v>182</v>
      </c>
      <c r="B57" s="58" t="s">
        <v>139</v>
      </c>
      <c r="C57" s="58"/>
      <c r="D57" s="58" t="s">
        <v>123</v>
      </c>
      <c r="E57" s="58" t="s">
        <v>128</v>
      </c>
      <c r="F57" s="58" t="s">
        <v>119</v>
      </c>
      <c r="G57" s="58" t="s">
        <v>122</v>
      </c>
      <c r="H57" s="59">
        <f>Tabel4[[#This Row],[Prijs incl. btw]]/(1+Tabel4[[#This Row],[BTW %]])/1</f>
        <v>2.6146788990825689</v>
      </c>
      <c r="I57" s="63">
        <v>0.09</v>
      </c>
      <c r="J57" s="96">
        <v>2.85</v>
      </c>
      <c r="K57" s="110" t="s">
        <v>130</v>
      </c>
      <c r="L57" s="111">
        <v>0</v>
      </c>
      <c r="M57" s="109">
        <f>Tabel4[[#This Row],[Prijs incl. btw]]*(1-Tabel4[[#This Row],[Korting %]])</f>
        <v>2.85</v>
      </c>
    </row>
    <row r="58" spans="1:13" x14ac:dyDescent="0.3">
      <c r="A58" s="58" t="s">
        <v>182</v>
      </c>
      <c r="B58" s="58" t="s">
        <v>139</v>
      </c>
      <c r="C58" s="58"/>
      <c r="D58" s="58" t="s">
        <v>123</v>
      </c>
      <c r="E58" s="58" t="s">
        <v>129</v>
      </c>
      <c r="F58" s="58" t="s">
        <v>122</v>
      </c>
      <c r="G58" s="58" t="s">
        <v>119</v>
      </c>
      <c r="H58" s="59">
        <f>Tabel4[[#This Row],[Prijs incl. btw]]/(1+Tabel4[[#This Row],[BTW %]])/1</f>
        <v>2.6146788990825689</v>
      </c>
      <c r="I58" s="63">
        <v>0.09</v>
      </c>
      <c r="J58" s="95">
        <v>2.85</v>
      </c>
      <c r="K58" s="110" t="s">
        <v>130</v>
      </c>
      <c r="L58" s="111">
        <v>0</v>
      </c>
      <c r="M58" s="109">
        <f>Tabel4[[#This Row],[Prijs incl. btw]]*(1-Tabel4[[#This Row],[Korting %]])</f>
        <v>2.85</v>
      </c>
    </row>
    <row r="59" spans="1:13" x14ac:dyDescent="0.3">
      <c r="A59" s="58" t="s">
        <v>182</v>
      </c>
      <c r="B59" s="58" t="s">
        <v>139</v>
      </c>
      <c r="C59" s="58"/>
      <c r="D59" s="58" t="s">
        <v>124</v>
      </c>
      <c r="E59" s="58" t="s">
        <v>60</v>
      </c>
      <c r="F59" s="58" t="s">
        <v>122</v>
      </c>
      <c r="G59" s="58" t="s">
        <v>119</v>
      </c>
      <c r="H59" s="59">
        <f>Tabel4[[#This Row],[Prijs incl. btw]]/(1+Tabel4[[#This Row],[BTW %]])/1</f>
        <v>2.6146788990825689</v>
      </c>
      <c r="I59" s="63">
        <v>0.09</v>
      </c>
      <c r="J59" s="95">
        <v>2.85</v>
      </c>
      <c r="K59" s="110" t="s">
        <v>130</v>
      </c>
      <c r="L59" s="111">
        <v>0</v>
      </c>
      <c r="M59" s="109">
        <f>Tabel4[[#This Row],[Prijs incl. btw]]*(1-Tabel4[[#This Row],[Korting %]])</f>
        <v>2.85</v>
      </c>
    </row>
    <row r="60" spans="1:13" x14ac:dyDescent="0.3">
      <c r="A60" s="58" t="s">
        <v>182</v>
      </c>
      <c r="B60" s="58" t="s">
        <v>139</v>
      </c>
      <c r="D60" s="58" t="s">
        <v>124</v>
      </c>
      <c r="E60" s="58" t="s">
        <v>128</v>
      </c>
      <c r="F60" s="58" t="s">
        <v>119</v>
      </c>
      <c r="G60" s="58" t="s">
        <v>122</v>
      </c>
      <c r="H60" s="59">
        <f>Tabel4[[#This Row],[Prijs incl. btw]]/(1+Tabel4[[#This Row],[BTW %]])/1</f>
        <v>2.6146788990825689</v>
      </c>
      <c r="I60" s="63">
        <v>0.09</v>
      </c>
      <c r="J60" s="95">
        <v>2.85</v>
      </c>
      <c r="K60" s="110" t="s">
        <v>130</v>
      </c>
      <c r="L60" s="111">
        <v>0</v>
      </c>
      <c r="M60" s="109">
        <f>Tabel4[[#This Row],[Prijs incl. btw]]*(1-Tabel4[[#This Row],[Korting %]])</f>
        <v>2.85</v>
      </c>
    </row>
    <row r="61" spans="1:13" x14ac:dyDescent="0.3">
      <c r="A61" s="58" t="s">
        <v>182</v>
      </c>
      <c r="B61" s="58" t="s">
        <v>139</v>
      </c>
      <c r="D61" s="58" t="s">
        <v>126</v>
      </c>
      <c r="E61" s="58" t="s">
        <v>129</v>
      </c>
      <c r="F61" s="58" t="s">
        <v>190</v>
      </c>
      <c r="G61" s="58" t="s">
        <v>119</v>
      </c>
      <c r="H61" s="59">
        <f>Tabel4[[#This Row],[Prijs incl. btw]]/(1+Tabel4[[#This Row],[BTW %]])/1</f>
        <v>1.5321100917431192</v>
      </c>
      <c r="I61" s="63">
        <v>0.09</v>
      </c>
      <c r="J61" s="95">
        <v>1.67</v>
      </c>
      <c r="K61" s="110" t="s">
        <v>130</v>
      </c>
      <c r="L61" s="111">
        <v>0</v>
      </c>
      <c r="M61" s="109">
        <f>Tabel4[[#This Row],[Prijs incl. btw]]*(1-Tabel4[[#This Row],[Korting %]])</f>
        <v>1.67</v>
      </c>
    </row>
    <row r="62" spans="1:13" x14ac:dyDescent="0.3">
      <c r="A62" s="58" t="s">
        <v>182</v>
      </c>
      <c r="B62" s="58" t="s">
        <v>139</v>
      </c>
      <c r="D62" s="58" t="s">
        <v>118</v>
      </c>
      <c r="E62" s="58" t="s">
        <v>60</v>
      </c>
      <c r="F62" s="58" t="s">
        <v>119</v>
      </c>
      <c r="G62" s="58" t="s">
        <v>122</v>
      </c>
      <c r="H62" s="59">
        <f>Tabel4[[#This Row],[Prijs incl. btw]]/(1+Tabel4[[#This Row],[BTW %]])/1</f>
        <v>2.6146788990825689</v>
      </c>
      <c r="I62" s="63">
        <v>0.09</v>
      </c>
      <c r="J62" s="97">
        <v>2.85</v>
      </c>
      <c r="K62" s="110" t="s">
        <v>130</v>
      </c>
      <c r="L62" s="111">
        <v>0</v>
      </c>
      <c r="M62" s="109">
        <f>Tabel4[[#This Row],[Prijs incl. btw]]*(1-Tabel4[[#This Row],[Korting %]])</f>
        <v>2.85</v>
      </c>
    </row>
    <row r="63" spans="1:13" x14ac:dyDescent="0.3">
      <c r="A63" s="58" t="s">
        <v>182</v>
      </c>
      <c r="B63" s="58" t="s">
        <v>139</v>
      </c>
      <c r="D63" s="58" t="s">
        <v>118</v>
      </c>
      <c r="E63" s="58" t="s">
        <v>60</v>
      </c>
      <c r="F63" s="58" t="s">
        <v>119</v>
      </c>
      <c r="G63" s="58" t="s">
        <v>122</v>
      </c>
      <c r="H63" s="59">
        <f>Tabel4[[#This Row],[Prijs incl. btw]]/(1+Tabel4[[#This Row],[BTW %]])/1</f>
        <v>2.6146788990825689</v>
      </c>
      <c r="I63" s="63">
        <v>0.09</v>
      </c>
      <c r="J63" s="97">
        <v>2.85</v>
      </c>
      <c r="K63" s="110" t="s">
        <v>130</v>
      </c>
      <c r="L63" s="111">
        <v>0</v>
      </c>
      <c r="M63" s="109">
        <f>Tabel4[[#This Row],[Prijs incl. btw]]*(1-Tabel4[[#This Row],[Korting %]])</f>
        <v>2.85</v>
      </c>
    </row>
    <row r="64" spans="1:13" x14ac:dyDescent="0.3">
      <c r="A64" s="58" t="s">
        <v>182</v>
      </c>
      <c r="B64" s="58" t="s">
        <v>139</v>
      </c>
      <c r="C64" s="58"/>
      <c r="D64" s="58" t="s">
        <v>118</v>
      </c>
      <c r="E64" s="58" t="s">
        <v>129</v>
      </c>
      <c r="F64" s="58" t="s">
        <v>122</v>
      </c>
      <c r="G64" s="58" t="s">
        <v>119</v>
      </c>
      <c r="H64" s="59">
        <f>Tabel4[[#This Row],[Prijs incl. btw]]/(1+Tabel4[[#This Row],[BTW %]])/1</f>
        <v>2.6146788990825689</v>
      </c>
      <c r="I64" s="63">
        <v>0.09</v>
      </c>
      <c r="J64" s="95">
        <v>2.85</v>
      </c>
      <c r="K64" s="110" t="s">
        <v>130</v>
      </c>
      <c r="L64" s="111">
        <v>0</v>
      </c>
      <c r="M64" s="109">
        <f>Tabel4[[#This Row],[Prijs incl. btw]]*(1-Tabel4[[#This Row],[Korting %]])</f>
        <v>2.85</v>
      </c>
    </row>
    <row r="65" spans="1:13" x14ac:dyDescent="0.3">
      <c r="A65" s="58" t="s">
        <v>182</v>
      </c>
      <c r="B65" s="58" t="s">
        <v>139</v>
      </c>
      <c r="C65" s="58"/>
      <c r="D65" s="58" t="s">
        <v>126</v>
      </c>
      <c r="E65" s="58" t="s">
        <v>60</v>
      </c>
      <c r="F65" s="58" t="s">
        <v>122</v>
      </c>
      <c r="G65" s="58" t="s">
        <v>119</v>
      </c>
      <c r="H65" s="59">
        <f>Tabel4[[#This Row],[Prijs incl. btw]]/(1+Tabel4[[#This Row],[BTW %]])/1</f>
        <v>2.6146788990825689</v>
      </c>
      <c r="I65" s="63">
        <v>0.09</v>
      </c>
      <c r="J65" s="64">
        <v>2.85</v>
      </c>
      <c r="K65" s="110" t="s">
        <v>130</v>
      </c>
      <c r="L65" s="111">
        <v>0</v>
      </c>
      <c r="M65" s="109">
        <f>Tabel4[[#This Row],[Prijs incl. btw]]*(1-Tabel4[[#This Row],[Korting %]])</f>
        <v>2.85</v>
      </c>
    </row>
    <row r="66" spans="1:13" x14ac:dyDescent="0.3">
      <c r="A66" s="58" t="s">
        <v>182</v>
      </c>
      <c r="B66" s="58" t="s">
        <v>139</v>
      </c>
      <c r="C66" s="58"/>
      <c r="D66" s="58" t="s">
        <v>126</v>
      </c>
      <c r="E66" s="58" t="s">
        <v>128</v>
      </c>
      <c r="F66" s="58" t="s">
        <v>119</v>
      </c>
      <c r="G66" s="58" t="s">
        <v>122</v>
      </c>
      <c r="H66" s="59">
        <f>Tabel4[[#This Row],[Prijs incl. btw]]/(1+Tabel4[[#This Row],[BTW %]])/1</f>
        <v>2.6146788990825689</v>
      </c>
      <c r="I66" s="63">
        <v>0.09</v>
      </c>
      <c r="J66" s="64">
        <v>2.85</v>
      </c>
      <c r="K66" s="110" t="s">
        <v>130</v>
      </c>
      <c r="L66" s="111">
        <v>0</v>
      </c>
      <c r="M66" s="109">
        <f>Tabel4[[#This Row],[Prijs incl. btw]]*(1-Tabel4[[#This Row],[Korting %]])</f>
        <v>2.85</v>
      </c>
    </row>
    <row r="67" spans="1:13" ht="14.5" x14ac:dyDescent="0.35">
      <c r="A67" s="67" t="s">
        <v>58</v>
      </c>
      <c r="B67" s="68"/>
      <c r="C67" s="68"/>
      <c r="D67" s="68"/>
      <c r="E67" s="68"/>
      <c r="F67" s="162"/>
      <c r="G67" s="162"/>
      <c r="H67" s="69">
        <f>SUM(Tabel4[Prijs excl. btw])</f>
        <v>450.9633027522932</v>
      </c>
      <c r="I67" s="68"/>
      <c r="J67" s="69">
        <f>SUM(Tabel4[Prijs incl. btw])</f>
        <v>491.55000000000018</v>
      </c>
      <c r="K67" s="163" t="s">
        <v>150</v>
      </c>
      <c r="L67" s="163"/>
      <c r="M67" s="99">
        <f>SUM(M2:M66)</f>
        <v>491.55000000000018</v>
      </c>
    </row>
    <row r="69" spans="1:13" x14ac:dyDescent="0.3">
      <c r="A69" s="70" t="s">
        <v>25</v>
      </c>
      <c r="B69" s="70" t="s">
        <v>132</v>
      </c>
      <c r="C69" s="70" t="s">
        <v>133</v>
      </c>
    </row>
    <row r="70" spans="1:13" x14ac:dyDescent="0.3">
      <c r="A70" s="71" t="s">
        <v>127</v>
      </c>
      <c r="B70" s="110" t="s">
        <v>130</v>
      </c>
      <c r="C70" s="112">
        <v>0</v>
      </c>
    </row>
    <row r="71" spans="1:13" x14ac:dyDescent="0.3">
      <c r="A71" s="71" t="s">
        <v>127</v>
      </c>
      <c r="B71" s="110" t="s">
        <v>130</v>
      </c>
      <c r="C71" s="112">
        <v>0</v>
      </c>
    </row>
    <row r="72" spans="1:13" x14ac:dyDescent="0.3">
      <c r="A72" s="71" t="s">
        <v>127</v>
      </c>
      <c r="B72" s="110" t="s">
        <v>130</v>
      </c>
      <c r="C72" s="112">
        <v>0</v>
      </c>
    </row>
    <row r="73" spans="1:13" x14ac:dyDescent="0.3">
      <c r="A73" s="67" t="s">
        <v>58</v>
      </c>
      <c r="B73" s="72"/>
      <c r="C73" s="73">
        <f>SUM(C70:C72)</f>
        <v>0</v>
      </c>
    </row>
    <row r="74" spans="1:13" x14ac:dyDescent="0.3">
      <c r="A74" s="58"/>
      <c r="B74" s="58"/>
      <c r="C74" s="58"/>
    </row>
    <row r="75" spans="1:13" x14ac:dyDescent="0.3">
      <c r="A75" s="67" t="s">
        <v>214</v>
      </c>
      <c r="B75" s="68"/>
      <c r="C75" s="58"/>
    </row>
    <row r="76" spans="1:13" ht="27" x14ac:dyDescent="0.3">
      <c r="A76" s="74" t="s">
        <v>215</v>
      </c>
      <c r="B76" s="75">
        <f>M67+C73</f>
        <v>491.55000000000018</v>
      </c>
      <c r="C76" s="58"/>
    </row>
    <row r="77" spans="1:13" x14ac:dyDescent="0.3">
      <c r="A77" s="68"/>
      <c r="B77" s="68"/>
      <c r="C77" s="58"/>
    </row>
  </sheetData>
  <sheetProtection algorithmName="SHA-512" hashValue="BBQasVEQ80o8iMXmSc6uHwaVMQfWKRbsD0Mv5GnRD6NFRG0sgcthAVh43uuoG7dl22Jad0W/gPzcOb1R2DNvVg==" saltValue="LHKVacyXKphYTCtaZRsx1w==" spinCount="100000" sheet="1" objects="1" scenarios="1"/>
  <mergeCells count="2">
    <mergeCell ref="F67:G67"/>
    <mergeCell ref="K67:L67"/>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BA292-A833-4486-AF78-5EB8FD7FC906}">
  <dimension ref="A1:M34"/>
  <sheetViews>
    <sheetView topLeftCell="A7" workbookViewId="0">
      <selection activeCell="D34" sqref="D34"/>
    </sheetView>
  </sheetViews>
  <sheetFormatPr defaultColWidth="8.81640625" defaultRowHeight="13.5" x14ac:dyDescent="0.3"/>
  <cols>
    <col min="1" max="1" width="35.1796875" style="9" bestFit="1" customWidth="1"/>
    <col min="2" max="2" width="25.1796875" style="9" bestFit="1" customWidth="1"/>
    <col min="3" max="3" width="9.90625" style="9" bestFit="1" customWidth="1"/>
    <col min="4" max="4" width="7.36328125" style="9" bestFit="1" customWidth="1"/>
    <col min="5" max="5" width="12.90625" style="9" bestFit="1" customWidth="1"/>
    <col min="6" max="7" width="29.1796875" style="9" bestFit="1" customWidth="1"/>
    <col min="8" max="8" width="18" style="9" bestFit="1" customWidth="1"/>
    <col min="9" max="9" width="10.90625" style="9" bestFit="1" customWidth="1"/>
    <col min="10" max="10" width="17.54296875" style="9" bestFit="1" customWidth="1"/>
    <col min="11" max="11" width="26.36328125" style="9" bestFit="1" customWidth="1"/>
    <col min="12" max="12" width="13.81640625" style="9" bestFit="1" customWidth="1"/>
    <col min="13" max="13" width="29.54296875" style="9" bestFit="1" customWidth="1"/>
    <col min="14" max="16384" width="8.81640625" style="9"/>
  </cols>
  <sheetData>
    <row r="1" spans="1:13" x14ac:dyDescent="0.3">
      <c r="A1" s="76" t="s">
        <v>103</v>
      </c>
      <c r="B1" s="76" t="s">
        <v>104</v>
      </c>
      <c r="C1" s="76" t="s">
        <v>105</v>
      </c>
      <c r="D1" s="76" t="s">
        <v>106</v>
      </c>
      <c r="E1" s="76" t="s">
        <v>143</v>
      </c>
      <c r="F1" s="76" t="s">
        <v>107</v>
      </c>
      <c r="G1" s="76" t="s">
        <v>108</v>
      </c>
      <c r="H1" s="76" t="s">
        <v>109</v>
      </c>
      <c r="I1" s="76" t="s">
        <v>110</v>
      </c>
      <c r="J1" s="76" t="s">
        <v>111</v>
      </c>
      <c r="K1" s="76" t="s">
        <v>112</v>
      </c>
      <c r="L1" s="76" t="s">
        <v>113</v>
      </c>
      <c r="M1" s="76" t="s">
        <v>114</v>
      </c>
    </row>
    <row r="2" spans="1:13" x14ac:dyDescent="0.3">
      <c r="A2" s="58" t="s">
        <v>115</v>
      </c>
      <c r="B2" s="58" t="s">
        <v>116</v>
      </c>
      <c r="C2" s="58" t="s">
        <v>117</v>
      </c>
      <c r="D2" s="58" t="s">
        <v>123</v>
      </c>
      <c r="E2" s="77" t="s">
        <v>60</v>
      </c>
      <c r="F2" s="58" t="s">
        <v>189</v>
      </c>
      <c r="G2" s="58" t="s">
        <v>119</v>
      </c>
      <c r="H2" s="78">
        <f>Tabel5[[#This Row],[Prijs incl. btw]]/(1+Tabel5[[#This Row],[BTW %]])/1</f>
        <v>3.6697247706422016</v>
      </c>
      <c r="I2" s="63">
        <v>0.09</v>
      </c>
      <c r="J2" s="59">
        <v>4</v>
      </c>
      <c r="K2" s="110" t="s">
        <v>130</v>
      </c>
      <c r="L2" s="111">
        <v>0</v>
      </c>
      <c r="M2" s="113">
        <f>Tabel5[[#This Row],[Prijs incl. btw]]*(1-Tabel5[[#This Row],[Korting %]])</f>
        <v>4</v>
      </c>
    </row>
    <row r="3" spans="1:13" x14ac:dyDescent="0.3">
      <c r="A3" s="58" t="s">
        <v>115</v>
      </c>
      <c r="B3" s="58" t="s">
        <v>116</v>
      </c>
      <c r="C3" s="58" t="s">
        <v>117</v>
      </c>
      <c r="D3" s="58" t="s">
        <v>124</v>
      </c>
      <c r="E3" s="77" t="s">
        <v>129</v>
      </c>
      <c r="F3" s="58" t="s">
        <v>189</v>
      </c>
      <c r="G3" s="58" t="s">
        <v>119</v>
      </c>
      <c r="H3" s="78">
        <f>Tabel5[[#This Row],[Prijs incl. btw]]/(1+Tabel5[[#This Row],[BTW %]])/1</f>
        <v>3.6697247706422016</v>
      </c>
      <c r="I3" s="63">
        <v>0.09</v>
      </c>
      <c r="J3" s="59">
        <v>4</v>
      </c>
      <c r="K3" s="110" t="s">
        <v>130</v>
      </c>
      <c r="L3" s="111">
        <v>0</v>
      </c>
      <c r="M3" s="113">
        <f>Tabel5[[#This Row],[Prijs incl. btw]]*(1-Tabel5[[#This Row],[Korting %]])</f>
        <v>4</v>
      </c>
    </row>
    <row r="4" spans="1:13" x14ac:dyDescent="0.3">
      <c r="A4" s="58" t="s">
        <v>115</v>
      </c>
      <c r="B4" s="58" t="s">
        <v>116</v>
      </c>
      <c r="C4" s="58" t="s">
        <v>117</v>
      </c>
      <c r="D4" s="58" t="s">
        <v>123</v>
      </c>
      <c r="E4" s="77" t="s">
        <v>129</v>
      </c>
      <c r="F4" s="58" t="s">
        <v>120</v>
      </c>
      <c r="G4" s="58" t="s">
        <v>119</v>
      </c>
      <c r="H4" s="78">
        <f>Tabel5[[#This Row],[Prijs incl. btw]]/(1+Tabel5[[#This Row],[BTW %]])/1</f>
        <v>8.8073394495412831</v>
      </c>
      <c r="I4" s="63">
        <v>0.09</v>
      </c>
      <c r="J4" s="59">
        <v>9.6</v>
      </c>
      <c r="K4" s="110" t="s">
        <v>130</v>
      </c>
      <c r="L4" s="111">
        <v>0</v>
      </c>
      <c r="M4" s="113">
        <f>Tabel5[[#This Row],[Prijs incl. btw]]*(1-Tabel5[[#This Row],[Korting %]])</f>
        <v>9.6</v>
      </c>
    </row>
    <row r="5" spans="1:13" x14ac:dyDescent="0.3">
      <c r="A5" s="58" t="s">
        <v>115</v>
      </c>
      <c r="B5" s="58" t="s">
        <v>116</v>
      </c>
      <c r="C5" s="58" t="s">
        <v>117</v>
      </c>
      <c r="D5" s="58" t="s">
        <v>123</v>
      </c>
      <c r="E5" s="77" t="s">
        <v>129</v>
      </c>
      <c r="F5" s="58" t="s">
        <v>120</v>
      </c>
      <c r="G5" s="58" t="s">
        <v>119</v>
      </c>
      <c r="H5" s="78">
        <f>Tabel5[[#This Row],[Prijs incl. btw]]/(1+Tabel5[[#This Row],[BTW %]])/1</f>
        <v>8.8073394495412831</v>
      </c>
      <c r="I5" s="63">
        <v>0.09</v>
      </c>
      <c r="J5" s="59">
        <v>9.6</v>
      </c>
      <c r="K5" s="110" t="s">
        <v>130</v>
      </c>
      <c r="L5" s="111">
        <v>0</v>
      </c>
      <c r="M5" s="113">
        <f>Tabel5[[#This Row],[Prijs incl. btw]]*(1-Tabel5[[#This Row],[Korting %]])</f>
        <v>9.6</v>
      </c>
    </row>
    <row r="6" spans="1:13" x14ac:dyDescent="0.3">
      <c r="A6" s="58" t="s">
        <v>115</v>
      </c>
      <c r="B6" s="58" t="s">
        <v>116</v>
      </c>
      <c r="C6" s="58" t="s">
        <v>117</v>
      </c>
      <c r="D6" s="58" t="s">
        <v>124</v>
      </c>
      <c r="E6" s="77" t="s">
        <v>128</v>
      </c>
      <c r="F6" s="58" t="s">
        <v>120</v>
      </c>
      <c r="G6" s="58" t="s">
        <v>119</v>
      </c>
      <c r="H6" s="78">
        <f>Tabel5[[#This Row],[Prijs incl. btw]]/(1+Tabel5[[#This Row],[BTW %]])/1</f>
        <v>8.8073394495412831</v>
      </c>
      <c r="I6" s="63">
        <v>0.09</v>
      </c>
      <c r="J6" s="59">
        <v>9.6</v>
      </c>
      <c r="K6" s="110" t="s">
        <v>130</v>
      </c>
      <c r="L6" s="111">
        <v>0</v>
      </c>
      <c r="M6" s="113">
        <f>Tabel5[[#This Row],[Prijs incl. btw]]*(1-Tabel5[[#This Row],[Korting %]])</f>
        <v>9.6</v>
      </c>
    </row>
    <row r="7" spans="1:13" x14ac:dyDescent="0.3">
      <c r="A7" s="58" t="s">
        <v>115</v>
      </c>
      <c r="B7" s="58" t="s">
        <v>116</v>
      </c>
      <c r="C7" s="58" t="s">
        <v>117</v>
      </c>
      <c r="D7" s="58" t="s">
        <v>124</v>
      </c>
      <c r="E7" s="77" t="s">
        <v>128</v>
      </c>
      <c r="F7" s="58" t="s">
        <v>120</v>
      </c>
      <c r="G7" s="58" t="s">
        <v>119</v>
      </c>
      <c r="H7" s="78">
        <f>Tabel5[[#This Row],[Prijs incl. btw]]/(1+Tabel5[[#This Row],[BTW %]])/1</f>
        <v>8.8073394495412831</v>
      </c>
      <c r="I7" s="63">
        <v>0.09</v>
      </c>
      <c r="J7" s="59">
        <v>9.6</v>
      </c>
      <c r="K7" s="110" t="s">
        <v>130</v>
      </c>
      <c r="L7" s="111">
        <v>0</v>
      </c>
      <c r="M7" s="113">
        <f>Tabel5[[#This Row],[Prijs incl. btw]]*(1-Tabel5[[#This Row],[Korting %]])</f>
        <v>9.6</v>
      </c>
    </row>
    <row r="8" spans="1:13" x14ac:dyDescent="0.3">
      <c r="A8" s="58" t="s">
        <v>115</v>
      </c>
      <c r="B8" s="58" t="s">
        <v>116</v>
      </c>
      <c r="C8" s="58" t="s">
        <v>117</v>
      </c>
      <c r="D8" s="58" t="s">
        <v>118</v>
      </c>
      <c r="E8" s="77" t="s">
        <v>129</v>
      </c>
      <c r="F8" s="58" t="s">
        <v>120</v>
      </c>
      <c r="G8" s="58" t="s">
        <v>119</v>
      </c>
      <c r="H8" s="78">
        <f>Tabel5[[#This Row],[Prijs incl. btw]]/(1+Tabel5[[#This Row],[BTW %]])/1</f>
        <v>8.8073394495412831</v>
      </c>
      <c r="I8" s="63">
        <v>0.09</v>
      </c>
      <c r="J8" s="59">
        <v>9.6</v>
      </c>
      <c r="K8" s="110" t="s">
        <v>130</v>
      </c>
      <c r="L8" s="111">
        <v>0</v>
      </c>
      <c r="M8" s="113">
        <f>Tabel5[[#This Row],[Prijs incl. btw]]*(1-Tabel5[[#This Row],[Korting %]])</f>
        <v>9.6</v>
      </c>
    </row>
    <row r="9" spans="1:13" x14ac:dyDescent="0.3">
      <c r="A9" s="58" t="s">
        <v>115</v>
      </c>
      <c r="B9" s="58" t="s">
        <v>116</v>
      </c>
      <c r="C9" s="58" t="s">
        <v>117</v>
      </c>
      <c r="D9" s="58" t="s">
        <v>118</v>
      </c>
      <c r="E9" s="77" t="s">
        <v>60</v>
      </c>
      <c r="F9" s="58" t="s">
        <v>120</v>
      </c>
      <c r="G9" s="58" t="s">
        <v>119</v>
      </c>
      <c r="H9" s="78">
        <f>Tabel5[[#This Row],[Prijs incl. btw]]/(1+Tabel5[[#This Row],[BTW %]])/1</f>
        <v>8.8073394495412831</v>
      </c>
      <c r="I9" s="63">
        <v>0.09</v>
      </c>
      <c r="J9" s="59">
        <v>9.6</v>
      </c>
      <c r="K9" s="110" t="s">
        <v>130</v>
      </c>
      <c r="L9" s="111">
        <v>0</v>
      </c>
      <c r="M9" s="113">
        <f>Tabel5[[#This Row],[Prijs incl. btw]]*(1-Tabel5[[#This Row],[Korting %]])</f>
        <v>9.6</v>
      </c>
    </row>
    <row r="10" spans="1:13" x14ac:dyDescent="0.3">
      <c r="A10" s="58" t="s">
        <v>115</v>
      </c>
      <c r="B10" s="58" t="s">
        <v>116</v>
      </c>
      <c r="C10" s="58" t="s">
        <v>117</v>
      </c>
      <c r="D10" s="58" t="s">
        <v>124</v>
      </c>
      <c r="E10" s="77" t="s">
        <v>60</v>
      </c>
      <c r="F10" s="58" t="s">
        <v>119</v>
      </c>
      <c r="G10" s="58" t="s">
        <v>189</v>
      </c>
      <c r="H10" s="78">
        <f>Tabel5[[#This Row],[Prijs incl. btw]]/(1+Tabel5[[#This Row],[BTW %]])/1</f>
        <v>3.6697247706422016</v>
      </c>
      <c r="I10" s="63">
        <v>0.09</v>
      </c>
      <c r="J10" s="59">
        <v>4</v>
      </c>
      <c r="K10" s="110" t="s">
        <v>130</v>
      </c>
      <c r="L10" s="111">
        <v>0</v>
      </c>
      <c r="M10" s="113">
        <f>Tabel5[[#This Row],[Prijs incl. btw]]*(1-Tabel5[[#This Row],[Korting %]])</f>
        <v>4</v>
      </c>
    </row>
    <row r="11" spans="1:13" x14ac:dyDescent="0.3">
      <c r="A11" s="58" t="s">
        <v>115</v>
      </c>
      <c r="B11" s="58" t="s">
        <v>116</v>
      </c>
      <c r="C11" s="58" t="s">
        <v>117</v>
      </c>
      <c r="D11" s="58" t="s">
        <v>125</v>
      </c>
      <c r="E11" s="77" t="s">
        <v>60</v>
      </c>
      <c r="F11" s="58" t="s">
        <v>119</v>
      </c>
      <c r="G11" s="58" t="s">
        <v>120</v>
      </c>
      <c r="H11" s="78">
        <f>Tabel5[[#This Row],[Prijs incl. btw]]/(1+Tabel5[[#This Row],[BTW %]])/1</f>
        <v>8.8073394495412831</v>
      </c>
      <c r="I11" s="63">
        <v>0.09</v>
      </c>
      <c r="J11" s="59">
        <v>9.6</v>
      </c>
      <c r="K11" s="110" t="s">
        <v>130</v>
      </c>
      <c r="L11" s="111">
        <v>0</v>
      </c>
      <c r="M11" s="113">
        <f>Tabel5[[#This Row],[Prijs incl. btw]]*(1-Tabel5[[#This Row],[Korting %]])</f>
        <v>9.6</v>
      </c>
    </row>
    <row r="12" spans="1:13" x14ac:dyDescent="0.3">
      <c r="A12" s="58" t="s">
        <v>115</v>
      </c>
      <c r="B12" s="58" t="s">
        <v>116</v>
      </c>
      <c r="C12" s="58" t="s">
        <v>117</v>
      </c>
      <c r="D12" s="58" t="s">
        <v>125</v>
      </c>
      <c r="E12" s="77" t="s">
        <v>128</v>
      </c>
      <c r="F12" s="58" t="s">
        <v>119</v>
      </c>
      <c r="G12" s="58" t="s">
        <v>120</v>
      </c>
      <c r="H12" s="78">
        <f>Tabel5[[#This Row],[Prijs incl. btw]]/(1+Tabel5[[#This Row],[BTW %]])/1</f>
        <v>8.8073394495412831</v>
      </c>
      <c r="I12" s="63">
        <v>0.09</v>
      </c>
      <c r="J12" s="59">
        <v>9.6</v>
      </c>
      <c r="K12" s="110" t="s">
        <v>130</v>
      </c>
      <c r="L12" s="111">
        <v>0</v>
      </c>
      <c r="M12" s="113">
        <f>Tabel5[[#This Row],[Prijs incl. btw]]*(1-Tabel5[[#This Row],[Korting %]])</f>
        <v>9.6</v>
      </c>
    </row>
    <row r="13" spans="1:13" x14ac:dyDescent="0.3">
      <c r="A13" s="58" t="s">
        <v>115</v>
      </c>
      <c r="B13" s="58" t="s">
        <v>116</v>
      </c>
      <c r="C13" s="58" t="s">
        <v>117</v>
      </c>
      <c r="D13" s="58" t="s">
        <v>125</v>
      </c>
      <c r="E13" s="77" t="s">
        <v>128</v>
      </c>
      <c r="F13" s="58" t="s">
        <v>119</v>
      </c>
      <c r="G13" s="58" t="s">
        <v>120</v>
      </c>
      <c r="H13" s="78">
        <f>Tabel5[[#This Row],[Prijs incl. btw]]/(1+Tabel5[[#This Row],[BTW %]])/1</f>
        <v>8.8073394495412831</v>
      </c>
      <c r="I13" s="63">
        <v>0.09</v>
      </c>
      <c r="J13" s="59">
        <v>9.6</v>
      </c>
      <c r="K13" s="110" t="s">
        <v>130</v>
      </c>
      <c r="L13" s="111">
        <v>0</v>
      </c>
      <c r="M13" s="113">
        <f>Tabel5[[#This Row],[Prijs incl. btw]]*(1-Tabel5[[#This Row],[Korting %]])</f>
        <v>9.6</v>
      </c>
    </row>
    <row r="14" spans="1:13" x14ac:dyDescent="0.3">
      <c r="A14" s="58" t="s">
        <v>115</v>
      </c>
      <c r="B14" s="58" t="s">
        <v>116</v>
      </c>
      <c r="C14" s="58" t="s">
        <v>117</v>
      </c>
      <c r="D14" s="58" t="s">
        <v>123</v>
      </c>
      <c r="E14" s="77" t="s">
        <v>60</v>
      </c>
      <c r="F14" s="58" t="s">
        <v>119</v>
      </c>
      <c r="G14" s="58" t="s">
        <v>120</v>
      </c>
      <c r="H14" s="78">
        <f>Tabel5[[#This Row],[Prijs incl. btw]]/(1+Tabel5[[#This Row],[BTW %]])/1</f>
        <v>8.8073394495412831</v>
      </c>
      <c r="I14" s="63">
        <v>0.09</v>
      </c>
      <c r="J14" s="59">
        <v>9.6</v>
      </c>
      <c r="K14" s="110" t="s">
        <v>130</v>
      </c>
      <c r="L14" s="111">
        <v>0</v>
      </c>
      <c r="M14" s="113">
        <f>Tabel5[[#This Row],[Prijs incl. btw]]*(1-Tabel5[[#This Row],[Korting %]])</f>
        <v>9.6</v>
      </c>
    </row>
    <row r="15" spans="1:13" x14ac:dyDescent="0.3">
      <c r="A15" s="58" t="s">
        <v>115</v>
      </c>
      <c r="B15" s="58" t="s">
        <v>116</v>
      </c>
      <c r="C15" s="58" t="s">
        <v>117</v>
      </c>
      <c r="D15" s="58" t="s">
        <v>123</v>
      </c>
      <c r="E15" s="77" t="s">
        <v>128</v>
      </c>
      <c r="F15" s="58" t="s">
        <v>119</v>
      </c>
      <c r="G15" s="58" t="s">
        <v>120</v>
      </c>
      <c r="H15" s="78">
        <f>Tabel5[[#This Row],[Prijs incl. btw]]/(1+Tabel5[[#This Row],[BTW %]])/1</f>
        <v>8.8073394495412831</v>
      </c>
      <c r="I15" s="63">
        <v>0.09</v>
      </c>
      <c r="J15" s="59">
        <v>9.6</v>
      </c>
      <c r="K15" s="110" t="s">
        <v>130</v>
      </c>
      <c r="L15" s="111">
        <v>0</v>
      </c>
      <c r="M15" s="113">
        <f>Tabel5[[#This Row],[Prijs incl. btw]]*(1-Tabel5[[#This Row],[Korting %]])</f>
        <v>9.6</v>
      </c>
    </row>
    <row r="16" spans="1:13" x14ac:dyDescent="0.3">
      <c r="A16" s="58" t="s">
        <v>115</v>
      </c>
      <c r="B16" s="58" t="s">
        <v>116</v>
      </c>
      <c r="C16" s="58" t="s">
        <v>117</v>
      </c>
      <c r="D16" s="58" t="s">
        <v>118</v>
      </c>
      <c r="E16" s="77" t="s">
        <v>128</v>
      </c>
      <c r="F16" s="58" t="s">
        <v>119</v>
      </c>
      <c r="G16" s="58" t="s">
        <v>120</v>
      </c>
      <c r="H16" s="78">
        <f>Tabel5[[#This Row],[Prijs incl. btw]]/(1+Tabel5[[#This Row],[BTW %]])/1</f>
        <v>8.8073394495412831</v>
      </c>
      <c r="I16" s="63">
        <v>0.09</v>
      </c>
      <c r="J16" s="59">
        <v>9.6</v>
      </c>
      <c r="K16" s="110" t="s">
        <v>130</v>
      </c>
      <c r="L16" s="111">
        <v>0</v>
      </c>
      <c r="M16" s="113">
        <f>Tabel5[[#This Row],[Prijs incl. btw]]*(1-Tabel5[[#This Row],[Korting %]])</f>
        <v>9.6</v>
      </c>
    </row>
    <row r="17" spans="1:13" x14ac:dyDescent="0.3">
      <c r="A17" s="58" t="s">
        <v>115</v>
      </c>
      <c r="B17" s="58" t="s">
        <v>116</v>
      </c>
      <c r="C17" s="58" t="s">
        <v>117</v>
      </c>
      <c r="D17" s="58" t="s">
        <v>118</v>
      </c>
      <c r="E17" s="77" t="s">
        <v>60</v>
      </c>
      <c r="F17" s="58" t="s">
        <v>119</v>
      </c>
      <c r="G17" s="58" t="s">
        <v>120</v>
      </c>
      <c r="H17" s="78">
        <f>Tabel5[[#This Row],[Prijs incl. btw]]/(1+Tabel5[[#This Row],[BTW %]])/1</f>
        <v>8.8073394495412831</v>
      </c>
      <c r="I17" s="63">
        <v>0.09</v>
      </c>
      <c r="J17" s="59">
        <v>9.6</v>
      </c>
      <c r="K17" s="110" t="s">
        <v>130</v>
      </c>
      <c r="L17" s="111">
        <v>0</v>
      </c>
      <c r="M17" s="113">
        <f>Tabel5[[#This Row],[Prijs incl. btw]]*(1-Tabel5[[#This Row],[Korting %]])</f>
        <v>9.6</v>
      </c>
    </row>
    <row r="18" spans="1:13" x14ac:dyDescent="0.3">
      <c r="A18" s="58" t="s">
        <v>115</v>
      </c>
      <c r="B18" s="58" t="s">
        <v>116</v>
      </c>
      <c r="C18" s="58" t="s">
        <v>117</v>
      </c>
      <c r="D18" s="58" t="s">
        <v>126</v>
      </c>
      <c r="E18" s="77" t="s">
        <v>129</v>
      </c>
      <c r="F18" s="58" t="s">
        <v>119</v>
      </c>
      <c r="G18" s="58" t="s">
        <v>120</v>
      </c>
      <c r="H18" s="78">
        <f>Tabel5[[#This Row],[Prijs incl. btw]]/(1+Tabel5[[#This Row],[BTW %]])/1</f>
        <v>8.8073394495412831</v>
      </c>
      <c r="I18" s="63">
        <v>0.09</v>
      </c>
      <c r="J18" s="59">
        <v>9.6</v>
      </c>
      <c r="K18" s="110" t="s">
        <v>130</v>
      </c>
      <c r="L18" s="111">
        <v>0</v>
      </c>
      <c r="M18" s="113">
        <f>Tabel5[[#This Row],[Prijs incl. btw]]*(1-Tabel5[[#This Row],[Korting %]])</f>
        <v>9.6</v>
      </c>
    </row>
    <row r="19" spans="1:13" x14ac:dyDescent="0.3">
      <c r="A19" s="58" t="s">
        <v>115</v>
      </c>
      <c r="B19" s="58" t="s">
        <v>116</v>
      </c>
      <c r="C19" s="58" t="s">
        <v>117</v>
      </c>
      <c r="D19" s="58" t="s">
        <v>118</v>
      </c>
      <c r="E19" s="77" t="s">
        <v>129</v>
      </c>
      <c r="F19" s="58" t="s">
        <v>119</v>
      </c>
      <c r="G19" s="58" t="s">
        <v>183</v>
      </c>
      <c r="H19" s="78">
        <f>Tabel5[[#This Row],[Prijs incl. btw]]/(1+Tabel5[[#This Row],[BTW %]])/1</f>
        <v>2.6146788990825689</v>
      </c>
      <c r="I19" s="63">
        <v>0.09</v>
      </c>
      <c r="J19" s="59">
        <v>2.85</v>
      </c>
      <c r="K19" s="110" t="s">
        <v>130</v>
      </c>
      <c r="L19" s="111">
        <v>0</v>
      </c>
      <c r="M19" s="113">
        <f>Tabel5[[#This Row],[Prijs incl. btw]]*(1-Tabel5[[#This Row],[Korting %]])</f>
        <v>2.85</v>
      </c>
    </row>
    <row r="20" spans="1:13" x14ac:dyDescent="0.3">
      <c r="A20" s="58" t="s">
        <v>115</v>
      </c>
      <c r="B20" s="58" t="s">
        <v>116</v>
      </c>
      <c r="C20" s="58" t="s">
        <v>117</v>
      </c>
      <c r="D20" s="58" t="s">
        <v>126</v>
      </c>
      <c r="E20" s="77" t="s">
        <v>60</v>
      </c>
      <c r="F20" s="58" t="s">
        <v>119</v>
      </c>
      <c r="G20" s="58" t="s">
        <v>183</v>
      </c>
      <c r="H20" s="78">
        <f>Tabel5[[#This Row],[Prijs incl. btw]]/(1+Tabel5[[#This Row],[BTW %]])/1</f>
        <v>2.6146788990825689</v>
      </c>
      <c r="I20" s="63">
        <v>0.09</v>
      </c>
      <c r="J20" s="59">
        <v>2.85</v>
      </c>
      <c r="K20" s="110" t="s">
        <v>130</v>
      </c>
      <c r="L20" s="111">
        <v>0</v>
      </c>
      <c r="M20" s="113">
        <f>Tabel5[[#This Row],[Prijs incl. btw]]*(1-Tabel5[[#This Row],[Korting %]])</f>
        <v>2.85</v>
      </c>
    </row>
    <row r="21" spans="1:13" x14ac:dyDescent="0.3">
      <c r="A21" s="58" t="s">
        <v>115</v>
      </c>
      <c r="B21" s="58" t="s">
        <v>116</v>
      </c>
      <c r="C21" s="58" t="s">
        <v>117</v>
      </c>
      <c r="D21" s="58" t="s">
        <v>125</v>
      </c>
      <c r="E21" s="77" t="s">
        <v>129</v>
      </c>
      <c r="F21" s="58" t="s">
        <v>183</v>
      </c>
      <c r="G21" s="58" t="s">
        <v>119</v>
      </c>
      <c r="H21" s="78">
        <f>Tabel5[[#This Row],[Prijs incl. btw]]/(1+Tabel5[[#This Row],[BTW %]])/1</f>
        <v>2.6146788990825689</v>
      </c>
      <c r="I21" s="63">
        <v>0.09</v>
      </c>
      <c r="J21" s="59">
        <v>2.85</v>
      </c>
      <c r="K21" s="110" t="s">
        <v>130</v>
      </c>
      <c r="L21" s="111">
        <v>0</v>
      </c>
      <c r="M21" s="113">
        <f>Tabel5[[#This Row],[Prijs incl. btw]]*(1-Tabel5[[#This Row],[Korting %]])</f>
        <v>2.85</v>
      </c>
    </row>
    <row r="22" spans="1:13" x14ac:dyDescent="0.3">
      <c r="A22" s="58" t="s">
        <v>115</v>
      </c>
      <c r="B22" s="58" t="s">
        <v>116</v>
      </c>
      <c r="C22" s="58" t="s">
        <v>117</v>
      </c>
      <c r="D22" s="58" t="s">
        <v>123</v>
      </c>
      <c r="E22" s="77" t="s">
        <v>128</v>
      </c>
      <c r="F22" s="58" t="s">
        <v>183</v>
      </c>
      <c r="G22" s="58" t="s">
        <v>119</v>
      </c>
      <c r="H22" s="78">
        <f>Tabel5[[#This Row],[Prijs incl. btw]]/(1+Tabel5[[#This Row],[BTW %]])/1</f>
        <v>2.6146788990825689</v>
      </c>
      <c r="I22" s="63">
        <v>0.09</v>
      </c>
      <c r="J22" s="59">
        <v>2.85</v>
      </c>
      <c r="K22" s="110" t="s">
        <v>130</v>
      </c>
      <c r="L22" s="111">
        <v>0</v>
      </c>
      <c r="M22" s="113">
        <f>Tabel5[[#This Row],[Prijs incl. btw]]*(1-Tabel5[[#This Row],[Korting %]])</f>
        <v>2.85</v>
      </c>
    </row>
    <row r="23" spans="1:13" x14ac:dyDescent="0.3">
      <c r="A23" s="58" t="s">
        <v>115</v>
      </c>
      <c r="B23" s="58" t="s">
        <v>116</v>
      </c>
      <c r="C23" s="58" t="s">
        <v>117</v>
      </c>
      <c r="D23" s="58" t="s">
        <v>126</v>
      </c>
      <c r="E23" s="77" t="s">
        <v>128</v>
      </c>
      <c r="F23" s="58" t="s">
        <v>183</v>
      </c>
      <c r="G23" s="58" t="s">
        <v>119</v>
      </c>
      <c r="H23" s="78">
        <f>Tabel5[[#This Row],[Prijs incl. btw]]/(1+Tabel5[[#This Row],[BTW %]])/1</f>
        <v>2.6146788990825689</v>
      </c>
      <c r="I23" s="63">
        <v>0.09</v>
      </c>
      <c r="J23" s="59">
        <v>2.85</v>
      </c>
      <c r="K23" s="110" t="s">
        <v>130</v>
      </c>
      <c r="L23" s="111">
        <v>0</v>
      </c>
      <c r="M23" s="113">
        <f>Tabel5[[#This Row],[Prijs incl. btw]]*(1-Tabel5[[#This Row],[Korting %]])</f>
        <v>2.85</v>
      </c>
    </row>
    <row r="24" spans="1:13" x14ac:dyDescent="0.3">
      <c r="A24" s="67" t="s">
        <v>58</v>
      </c>
      <c r="B24" s="68"/>
      <c r="C24" s="68"/>
      <c r="D24" s="162"/>
      <c r="E24" s="162"/>
      <c r="F24" s="162"/>
      <c r="G24" s="162"/>
      <c r="H24" s="73">
        <f>SUM(Tabel5[Prijs excl. btw])</f>
        <v>147.38532110091748</v>
      </c>
      <c r="I24" s="68"/>
      <c r="J24" s="73">
        <f>SUM(Tabel5[Prijs incl. btw])</f>
        <v>160.64999999999995</v>
      </c>
      <c r="K24" s="163" t="s">
        <v>149</v>
      </c>
      <c r="L24" s="163"/>
      <c r="M24" s="79">
        <f>SUM(Tabel5[Prijs incl. btw -/- korting])</f>
        <v>160.64999999999995</v>
      </c>
    </row>
    <row r="25" spans="1:13" x14ac:dyDescent="0.3">
      <c r="A25" s="58"/>
      <c r="B25" s="58"/>
      <c r="C25" s="58"/>
      <c r="D25" s="58"/>
      <c r="E25" s="58"/>
      <c r="F25" s="58"/>
      <c r="G25" s="58"/>
      <c r="H25" s="58"/>
      <c r="I25" s="58"/>
      <c r="J25" s="58"/>
      <c r="K25" s="58"/>
      <c r="L25" s="58"/>
      <c r="M25" s="58"/>
    </row>
    <row r="26" spans="1:13" x14ac:dyDescent="0.3">
      <c r="A26" s="70" t="s">
        <v>25</v>
      </c>
      <c r="B26" s="70" t="s">
        <v>132</v>
      </c>
      <c r="C26" s="70" t="s">
        <v>133</v>
      </c>
      <c r="D26" s="58"/>
      <c r="E26" s="58"/>
      <c r="F26" s="58"/>
      <c r="G26" s="58"/>
      <c r="H26" s="58"/>
      <c r="I26" s="58"/>
      <c r="J26" s="58"/>
      <c r="K26" s="58"/>
      <c r="L26" s="58"/>
      <c r="M26" s="58"/>
    </row>
    <row r="27" spans="1:13" x14ac:dyDescent="0.3">
      <c r="A27" s="71" t="s">
        <v>127</v>
      </c>
      <c r="B27" s="110" t="s">
        <v>130</v>
      </c>
      <c r="C27" s="112">
        <v>0</v>
      </c>
      <c r="D27" s="58"/>
      <c r="E27" s="58"/>
      <c r="F27" s="58"/>
      <c r="G27" s="58"/>
      <c r="H27" s="58"/>
      <c r="I27" s="58"/>
    </row>
    <row r="28" spans="1:13" x14ac:dyDescent="0.3">
      <c r="A28" s="71" t="s">
        <v>127</v>
      </c>
      <c r="B28" s="110" t="s">
        <v>130</v>
      </c>
      <c r="C28" s="112">
        <v>0</v>
      </c>
      <c r="D28" s="58"/>
      <c r="E28" s="58"/>
      <c r="F28" s="58"/>
      <c r="G28" s="58"/>
      <c r="H28" s="58"/>
      <c r="I28" s="58"/>
    </row>
    <row r="29" spans="1:13" x14ac:dyDescent="0.3">
      <c r="A29" s="71" t="s">
        <v>127</v>
      </c>
      <c r="B29" s="110" t="s">
        <v>130</v>
      </c>
      <c r="C29" s="112">
        <v>0</v>
      </c>
      <c r="D29" s="58"/>
      <c r="E29" s="58"/>
      <c r="F29" s="58"/>
      <c r="G29" s="58"/>
      <c r="H29" s="58"/>
      <c r="I29" s="58"/>
    </row>
    <row r="30" spans="1:13" x14ac:dyDescent="0.3">
      <c r="A30" s="67" t="s">
        <v>58</v>
      </c>
      <c r="B30" s="72"/>
      <c r="C30" s="73">
        <f>SUM(C27:C29)</f>
        <v>0</v>
      </c>
    </row>
    <row r="31" spans="1:13" x14ac:dyDescent="0.3">
      <c r="A31" s="58"/>
      <c r="B31" s="58"/>
      <c r="C31" s="58"/>
    </row>
    <row r="32" spans="1:13" x14ac:dyDescent="0.3">
      <c r="A32" s="67" t="s">
        <v>216</v>
      </c>
      <c r="B32" s="68"/>
      <c r="C32" s="58"/>
    </row>
    <row r="33" spans="1:3" ht="27" x14ac:dyDescent="0.3">
      <c r="A33" s="74" t="s">
        <v>217</v>
      </c>
      <c r="B33" s="75">
        <f>M24+C30</f>
        <v>160.64999999999995</v>
      </c>
      <c r="C33" s="58"/>
    </row>
    <row r="34" spans="1:3" x14ac:dyDescent="0.3">
      <c r="A34" s="68"/>
      <c r="B34" s="68"/>
      <c r="C34" s="58"/>
    </row>
  </sheetData>
  <sheetProtection algorithmName="SHA-512" hashValue="OWXuMTWYtXefRGwtIuyy1FH0c5wj7n8LRu6XGHwL9UXOYdAX78uutmmuNJ9PK7VCF2bPpi4mZYugplXHR75sqQ==" saltValue="bBwMn/aVDFQhmyV8D8s+Ug==" spinCount="100000" sheet="1" objects="1" scenarios="1"/>
  <mergeCells count="3">
    <mergeCell ref="D24:E24"/>
    <mergeCell ref="F24:G24"/>
    <mergeCell ref="K24:L24"/>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701EE-2884-4E97-BBD4-A1B5D1CD239F}">
  <dimension ref="A1:M44"/>
  <sheetViews>
    <sheetView workbookViewId="0">
      <selection activeCell="D41" sqref="D41"/>
    </sheetView>
  </sheetViews>
  <sheetFormatPr defaultColWidth="8.81640625" defaultRowHeight="13.5" x14ac:dyDescent="0.3"/>
  <cols>
    <col min="1" max="1" width="35.1796875" style="9" bestFit="1" customWidth="1"/>
    <col min="2" max="2" width="25.1796875" style="9" bestFit="1" customWidth="1"/>
    <col min="3" max="3" width="9.90625" style="9" bestFit="1" customWidth="1"/>
    <col min="4" max="4" width="7.36328125" style="9" bestFit="1" customWidth="1"/>
    <col min="5" max="5" width="12.90625" style="9" bestFit="1" customWidth="1"/>
    <col min="6" max="6" width="29.1796875" style="9" bestFit="1" customWidth="1"/>
    <col min="7" max="7" width="30.90625" style="9" bestFit="1" customWidth="1"/>
    <col min="8" max="8" width="18" style="9" bestFit="1" customWidth="1"/>
    <col min="9" max="9" width="10.90625" style="9" bestFit="1" customWidth="1"/>
    <col min="10" max="10" width="17.54296875" style="9" bestFit="1" customWidth="1"/>
    <col min="11" max="11" width="26.36328125" style="9" bestFit="1" customWidth="1"/>
    <col min="12" max="12" width="13.81640625" style="9" bestFit="1" customWidth="1"/>
    <col min="13" max="13" width="29.54296875" style="9" bestFit="1" customWidth="1"/>
    <col min="14" max="16384" width="8.81640625" style="9"/>
  </cols>
  <sheetData>
    <row r="1" spans="1:13" x14ac:dyDescent="0.3">
      <c r="A1" s="80" t="s">
        <v>103</v>
      </c>
      <c r="B1" s="80" t="s">
        <v>104</v>
      </c>
      <c r="C1" s="80" t="s">
        <v>105</v>
      </c>
      <c r="D1" s="80" t="s">
        <v>106</v>
      </c>
      <c r="E1" s="80" t="s">
        <v>143</v>
      </c>
      <c r="F1" s="80" t="s">
        <v>107</v>
      </c>
      <c r="G1" s="80" t="s">
        <v>108</v>
      </c>
      <c r="H1" s="80" t="s">
        <v>109</v>
      </c>
      <c r="I1" s="80" t="s">
        <v>110</v>
      </c>
      <c r="J1" s="80" t="s">
        <v>111</v>
      </c>
      <c r="K1" s="80" t="s">
        <v>112</v>
      </c>
      <c r="L1" s="80" t="s">
        <v>113</v>
      </c>
      <c r="M1" s="80" t="s">
        <v>114</v>
      </c>
    </row>
    <row r="2" spans="1:13" x14ac:dyDescent="0.3">
      <c r="A2" s="58" t="s">
        <v>115</v>
      </c>
      <c r="B2" s="58" t="s">
        <v>116</v>
      </c>
      <c r="C2" s="58" t="s">
        <v>117</v>
      </c>
      <c r="D2" s="58" t="s">
        <v>125</v>
      </c>
      <c r="E2" s="58" t="s">
        <v>128</v>
      </c>
      <c r="F2" s="58" t="s">
        <v>119</v>
      </c>
      <c r="G2" s="58" t="s">
        <v>136</v>
      </c>
      <c r="H2" s="98">
        <f>Tabel6[[#This Row],[Prijs incl. btw]]/(1+Tabel6[[#This Row],[BTW %]])/1</f>
        <v>5.5045871559633026</v>
      </c>
      <c r="I2" s="63">
        <v>0.09</v>
      </c>
      <c r="J2" s="96">
        <v>6</v>
      </c>
      <c r="K2" s="110" t="s">
        <v>130</v>
      </c>
      <c r="L2" s="111">
        <v>0</v>
      </c>
      <c r="M2" s="114">
        <f>Tabel6[[#This Row],[Prijs incl. btw]]*(1-Tabel6[[#This Row],[Korting %]])</f>
        <v>6</v>
      </c>
    </row>
    <row r="3" spans="1:13" x14ac:dyDescent="0.3">
      <c r="A3" s="58" t="s">
        <v>115</v>
      </c>
      <c r="B3" s="58" t="s">
        <v>116</v>
      </c>
      <c r="C3" s="58" t="s">
        <v>117</v>
      </c>
      <c r="D3" s="58" t="s">
        <v>125</v>
      </c>
      <c r="E3" s="58" t="s">
        <v>60</v>
      </c>
      <c r="F3" s="58" t="s">
        <v>136</v>
      </c>
      <c r="G3" s="58" t="s">
        <v>119</v>
      </c>
      <c r="H3" s="98">
        <f>Tabel6[[#This Row],[Prijs incl. btw]]/(1+Tabel6[[#This Row],[BTW %]])/1</f>
        <v>5.5045871559633026</v>
      </c>
      <c r="I3" s="63">
        <v>0.09</v>
      </c>
      <c r="J3" s="95">
        <v>6</v>
      </c>
      <c r="K3" s="110" t="s">
        <v>130</v>
      </c>
      <c r="L3" s="111">
        <v>0</v>
      </c>
      <c r="M3" s="114">
        <f>Tabel6[[#This Row],[Prijs incl. btw]]*(1-Tabel6[[#This Row],[Korting %]])</f>
        <v>6</v>
      </c>
    </row>
    <row r="4" spans="1:13" x14ac:dyDescent="0.3">
      <c r="A4" s="58" t="s">
        <v>115</v>
      </c>
      <c r="B4" s="58" t="s">
        <v>116</v>
      </c>
      <c r="C4" s="58" t="s">
        <v>117</v>
      </c>
      <c r="D4" s="58" t="s">
        <v>123</v>
      </c>
      <c r="E4" s="58" t="s">
        <v>129</v>
      </c>
      <c r="F4" s="58" t="s">
        <v>119</v>
      </c>
      <c r="G4" s="58" t="s">
        <v>136</v>
      </c>
      <c r="H4" s="98">
        <f>Tabel6[[#This Row],[Prijs incl. btw]]/(1+Tabel6[[#This Row],[BTW %]])/1</f>
        <v>5.5045871559633026</v>
      </c>
      <c r="I4" s="63">
        <v>0.09</v>
      </c>
      <c r="J4" s="95">
        <v>6</v>
      </c>
      <c r="K4" s="110" t="s">
        <v>130</v>
      </c>
      <c r="L4" s="111">
        <v>0</v>
      </c>
      <c r="M4" s="114">
        <f>Tabel6[[#This Row],[Prijs incl. btw]]*(1-Tabel6[[#This Row],[Korting %]])</f>
        <v>6</v>
      </c>
    </row>
    <row r="5" spans="1:13" x14ac:dyDescent="0.3">
      <c r="A5" s="58" t="s">
        <v>115</v>
      </c>
      <c r="B5" s="58" t="s">
        <v>116</v>
      </c>
      <c r="C5" s="58" t="s">
        <v>117</v>
      </c>
      <c r="D5" s="58" t="s">
        <v>123</v>
      </c>
      <c r="E5" s="58" t="s">
        <v>128</v>
      </c>
      <c r="F5" s="58" t="s">
        <v>136</v>
      </c>
      <c r="G5" s="58" t="s">
        <v>119</v>
      </c>
      <c r="H5" s="98">
        <f>Tabel6[[#This Row],[Prijs incl. btw]]/(1+Tabel6[[#This Row],[BTW %]])/1</f>
        <v>5.5045871559633026</v>
      </c>
      <c r="I5" s="63">
        <v>0.09</v>
      </c>
      <c r="J5" s="95">
        <v>6</v>
      </c>
      <c r="K5" s="110" t="s">
        <v>130</v>
      </c>
      <c r="L5" s="111">
        <v>0</v>
      </c>
      <c r="M5" s="114">
        <f>Tabel6[[#This Row],[Prijs incl. btw]]*(1-Tabel6[[#This Row],[Korting %]])</f>
        <v>6</v>
      </c>
    </row>
    <row r="6" spans="1:13" x14ac:dyDescent="0.3">
      <c r="A6" s="58" t="s">
        <v>115</v>
      </c>
      <c r="B6" s="58" t="s">
        <v>116</v>
      </c>
      <c r="C6" s="58" t="s">
        <v>117</v>
      </c>
      <c r="D6" s="58" t="s">
        <v>123</v>
      </c>
      <c r="E6" s="58" t="s">
        <v>60</v>
      </c>
      <c r="F6" s="58" t="s">
        <v>136</v>
      </c>
      <c r="G6" s="58" t="s">
        <v>119</v>
      </c>
      <c r="H6" s="98">
        <f>Tabel6[[#This Row],[Prijs incl. btw]]/(1+Tabel6[[#This Row],[BTW %]])/1</f>
        <v>5.5045871559633026</v>
      </c>
      <c r="I6" s="63">
        <v>0.09</v>
      </c>
      <c r="J6" s="95">
        <v>6</v>
      </c>
      <c r="K6" s="110" t="s">
        <v>130</v>
      </c>
      <c r="L6" s="111">
        <v>0</v>
      </c>
      <c r="M6" s="114">
        <f>Tabel6[[#This Row],[Prijs incl. btw]]*(1-Tabel6[[#This Row],[Korting %]])</f>
        <v>6</v>
      </c>
    </row>
    <row r="7" spans="1:13" x14ac:dyDescent="0.3">
      <c r="A7" s="58" t="s">
        <v>115</v>
      </c>
      <c r="B7" s="58" t="s">
        <v>116</v>
      </c>
      <c r="C7" s="58" t="s">
        <v>117</v>
      </c>
      <c r="D7" s="58" t="s">
        <v>123</v>
      </c>
      <c r="E7" s="58" t="s">
        <v>129</v>
      </c>
      <c r="F7" s="58" t="s">
        <v>119</v>
      </c>
      <c r="G7" s="58" t="s">
        <v>136</v>
      </c>
      <c r="H7" s="98">
        <f>Tabel6[[#This Row],[Prijs incl. btw]]/(1+Tabel6[[#This Row],[BTW %]])/1</f>
        <v>5.5045871559633026</v>
      </c>
      <c r="I7" s="63">
        <v>0.09</v>
      </c>
      <c r="J7" s="95">
        <v>6</v>
      </c>
      <c r="K7" s="110" t="s">
        <v>130</v>
      </c>
      <c r="L7" s="111">
        <v>0</v>
      </c>
      <c r="M7" s="114">
        <f>Tabel6[[#This Row],[Prijs incl. btw]]*(1-Tabel6[[#This Row],[Korting %]])</f>
        <v>6</v>
      </c>
    </row>
    <row r="8" spans="1:13" x14ac:dyDescent="0.3">
      <c r="A8" s="58" t="s">
        <v>115</v>
      </c>
      <c r="B8" s="58" t="s">
        <v>116</v>
      </c>
      <c r="C8" s="58" t="s">
        <v>117</v>
      </c>
      <c r="D8" s="58" t="s">
        <v>124</v>
      </c>
      <c r="E8" s="58" t="s">
        <v>128</v>
      </c>
      <c r="F8" s="58" t="s">
        <v>136</v>
      </c>
      <c r="G8" s="58" t="s">
        <v>119</v>
      </c>
      <c r="H8" s="98">
        <f>Tabel6[[#This Row],[Prijs incl. btw]]/(1+Tabel6[[#This Row],[BTW %]])/1</f>
        <v>5.5045871559633026</v>
      </c>
      <c r="I8" s="63">
        <v>0.09</v>
      </c>
      <c r="J8" s="95">
        <v>6</v>
      </c>
      <c r="K8" s="110" t="s">
        <v>130</v>
      </c>
      <c r="L8" s="111">
        <v>0</v>
      </c>
      <c r="M8" s="114">
        <f>Tabel6[[#This Row],[Prijs incl. btw]]*(1-Tabel6[[#This Row],[Korting %]])</f>
        <v>6</v>
      </c>
    </row>
    <row r="9" spans="1:13" x14ac:dyDescent="0.3">
      <c r="A9" s="58" t="s">
        <v>115</v>
      </c>
      <c r="B9" s="58" t="s">
        <v>116</v>
      </c>
      <c r="C9" s="58" t="s">
        <v>117</v>
      </c>
      <c r="D9" s="58" t="s">
        <v>124</v>
      </c>
      <c r="E9" s="58" t="s">
        <v>129</v>
      </c>
      <c r="F9" s="58" t="s">
        <v>119</v>
      </c>
      <c r="G9" s="58" t="s">
        <v>136</v>
      </c>
      <c r="H9" s="98">
        <f>Tabel6[[#This Row],[Prijs incl. btw]]/(1+Tabel6[[#This Row],[BTW %]])/1</f>
        <v>5.5045871559633026</v>
      </c>
      <c r="I9" s="63">
        <v>0.09</v>
      </c>
      <c r="J9" s="95">
        <v>6</v>
      </c>
      <c r="K9" s="110" t="s">
        <v>130</v>
      </c>
      <c r="L9" s="111">
        <v>0</v>
      </c>
      <c r="M9" s="114">
        <f>Tabel6[[#This Row],[Prijs incl. btw]]*(1-Tabel6[[#This Row],[Korting %]])</f>
        <v>6</v>
      </c>
    </row>
    <row r="10" spans="1:13" x14ac:dyDescent="0.3">
      <c r="A10" s="58" t="s">
        <v>115</v>
      </c>
      <c r="B10" s="58" t="s">
        <v>116</v>
      </c>
      <c r="C10" s="58" t="s">
        <v>117</v>
      </c>
      <c r="D10" s="58" t="s">
        <v>118</v>
      </c>
      <c r="E10" s="58" t="s">
        <v>129</v>
      </c>
      <c r="F10" s="58" t="s">
        <v>119</v>
      </c>
      <c r="G10" s="58" t="s">
        <v>136</v>
      </c>
      <c r="H10" s="98">
        <f>Tabel6[[#This Row],[Prijs incl. btw]]/(1+Tabel6[[#This Row],[BTW %]])/1</f>
        <v>5.5045871559633026</v>
      </c>
      <c r="I10" s="63">
        <v>0.09</v>
      </c>
      <c r="J10" s="95">
        <v>6</v>
      </c>
      <c r="K10" s="110" t="s">
        <v>130</v>
      </c>
      <c r="L10" s="111">
        <v>0</v>
      </c>
      <c r="M10" s="114">
        <f>Tabel6[[#This Row],[Prijs incl. btw]]*(1-Tabel6[[#This Row],[Korting %]])</f>
        <v>6</v>
      </c>
    </row>
    <row r="11" spans="1:13" x14ac:dyDescent="0.3">
      <c r="A11" s="58" t="s">
        <v>115</v>
      </c>
      <c r="B11" s="58" t="s">
        <v>116</v>
      </c>
      <c r="C11" s="58" t="s">
        <v>117</v>
      </c>
      <c r="D11" s="58" t="s">
        <v>118</v>
      </c>
      <c r="E11" s="58" t="s">
        <v>128</v>
      </c>
      <c r="F11" s="58" t="s">
        <v>136</v>
      </c>
      <c r="G11" s="58" t="s">
        <v>119</v>
      </c>
      <c r="H11" s="98">
        <f>Tabel6[[#This Row],[Prijs incl. btw]]/(1+Tabel6[[#This Row],[BTW %]])/1</f>
        <v>5.5045871559633026</v>
      </c>
      <c r="I11" s="63">
        <v>0.09</v>
      </c>
      <c r="J11" s="95">
        <v>6</v>
      </c>
      <c r="K11" s="110" t="s">
        <v>130</v>
      </c>
      <c r="L11" s="111">
        <v>0</v>
      </c>
      <c r="M11" s="114">
        <f>Tabel6[[#This Row],[Prijs incl. btw]]*(1-Tabel6[[#This Row],[Korting %]])</f>
        <v>6</v>
      </c>
    </row>
    <row r="12" spans="1:13" x14ac:dyDescent="0.3">
      <c r="A12" s="58" t="s">
        <v>115</v>
      </c>
      <c r="B12" s="58" t="s">
        <v>116</v>
      </c>
      <c r="C12" s="58" t="s">
        <v>117</v>
      </c>
      <c r="D12" s="58" t="s">
        <v>118</v>
      </c>
      <c r="E12" s="58" t="s">
        <v>128</v>
      </c>
      <c r="F12" s="58" t="s">
        <v>119</v>
      </c>
      <c r="G12" s="58" t="s">
        <v>136</v>
      </c>
      <c r="H12" s="98">
        <f>Tabel6[[#This Row],[Prijs incl. btw]]/(1+Tabel6[[#This Row],[BTW %]])/1</f>
        <v>5.5045871559633026</v>
      </c>
      <c r="I12" s="63">
        <v>0.09</v>
      </c>
      <c r="J12" s="95">
        <v>6</v>
      </c>
      <c r="K12" s="110" t="s">
        <v>130</v>
      </c>
      <c r="L12" s="111">
        <v>0</v>
      </c>
      <c r="M12" s="114">
        <f>Tabel6[[#This Row],[Prijs incl. btw]]*(1-Tabel6[[#This Row],[Korting %]])</f>
        <v>6</v>
      </c>
    </row>
    <row r="13" spans="1:13" x14ac:dyDescent="0.3">
      <c r="A13" s="58" t="s">
        <v>115</v>
      </c>
      <c r="B13" s="58" t="s">
        <v>116</v>
      </c>
      <c r="C13" s="58" t="s">
        <v>117</v>
      </c>
      <c r="D13" s="58" t="s">
        <v>118</v>
      </c>
      <c r="E13" s="58" t="s">
        <v>60</v>
      </c>
      <c r="F13" s="58" t="s">
        <v>136</v>
      </c>
      <c r="G13" s="58" t="s">
        <v>119</v>
      </c>
      <c r="H13" s="98">
        <f>Tabel6[[#This Row],[Prijs incl. btw]]/(1+Tabel6[[#This Row],[BTW %]])/1</f>
        <v>5.5045871559633026</v>
      </c>
      <c r="I13" s="63">
        <v>0.09</v>
      </c>
      <c r="J13" s="95">
        <v>6</v>
      </c>
      <c r="K13" s="110" t="s">
        <v>130</v>
      </c>
      <c r="L13" s="111">
        <v>0</v>
      </c>
      <c r="M13" s="114">
        <f>Tabel6[[#This Row],[Prijs incl. btw]]*(1-Tabel6[[#This Row],[Korting %]])</f>
        <v>6</v>
      </c>
    </row>
    <row r="14" spans="1:13" x14ac:dyDescent="0.3">
      <c r="A14" s="58" t="s">
        <v>115</v>
      </c>
      <c r="B14" s="58" t="s">
        <v>116</v>
      </c>
      <c r="C14" s="58" t="s">
        <v>117</v>
      </c>
      <c r="D14" s="58" t="s">
        <v>126</v>
      </c>
      <c r="E14" s="58" t="s">
        <v>128</v>
      </c>
      <c r="F14" s="58" t="s">
        <v>119</v>
      </c>
      <c r="G14" s="58" t="s">
        <v>136</v>
      </c>
      <c r="H14" s="98">
        <f>Tabel6[[#This Row],[Prijs incl. btw]]/(1+Tabel6[[#This Row],[BTW %]])/1</f>
        <v>5.5045871559633026</v>
      </c>
      <c r="I14" s="63">
        <v>0.09</v>
      </c>
      <c r="J14" s="95">
        <v>6</v>
      </c>
      <c r="K14" s="110" t="s">
        <v>130</v>
      </c>
      <c r="L14" s="111">
        <v>0</v>
      </c>
      <c r="M14" s="114">
        <f>Tabel6[[#This Row],[Prijs incl. btw]]*(1-Tabel6[[#This Row],[Korting %]])</f>
        <v>6</v>
      </c>
    </row>
    <row r="15" spans="1:13" x14ac:dyDescent="0.3">
      <c r="A15" s="58" t="s">
        <v>115</v>
      </c>
      <c r="B15" s="58" t="s">
        <v>116</v>
      </c>
      <c r="C15" s="58" t="s">
        <v>117</v>
      </c>
      <c r="D15" s="58" t="s">
        <v>125</v>
      </c>
      <c r="E15" s="58" t="s">
        <v>129</v>
      </c>
      <c r="F15" s="58" t="s">
        <v>144</v>
      </c>
      <c r="G15" s="58" t="s">
        <v>119</v>
      </c>
      <c r="H15" s="98">
        <f>Tabel6[[#This Row],[Prijs incl. btw]]/(1+Tabel6[[#This Row],[BTW %]])/1</f>
        <v>2.7522935779816513</v>
      </c>
      <c r="I15" s="63">
        <v>0.09</v>
      </c>
      <c r="J15" s="95">
        <v>3</v>
      </c>
      <c r="K15" s="110" t="s">
        <v>130</v>
      </c>
      <c r="L15" s="111">
        <v>0</v>
      </c>
      <c r="M15" s="114">
        <f>Tabel6[[#This Row],[Prijs incl. btw]]*(1-Tabel6[[#This Row],[Korting %]])</f>
        <v>3</v>
      </c>
    </row>
    <row r="16" spans="1:13" x14ac:dyDescent="0.3">
      <c r="A16" s="58" t="s">
        <v>115</v>
      </c>
      <c r="B16" s="58" t="s">
        <v>116</v>
      </c>
      <c r="C16" s="58" t="s">
        <v>117</v>
      </c>
      <c r="D16" s="58" t="s">
        <v>125</v>
      </c>
      <c r="E16" s="58" t="s">
        <v>60</v>
      </c>
      <c r="F16" s="58" t="s">
        <v>119</v>
      </c>
      <c r="G16" s="58" t="s">
        <v>144</v>
      </c>
      <c r="H16" s="98">
        <f>Tabel6[[#This Row],[Prijs incl. btw]]/(1+Tabel6[[#This Row],[BTW %]])/1</f>
        <v>2.7522935779816513</v>
      </c>
      <c r="I16" s="63">
        <v>0.09</v>
      </c>
      <c r="J16" s="95">
        <v>3</v>
      </c>
      <c r="K16" s="110" t="s">
        <v>130</v>
      </c>
      <c r="L16" s="111">
        <v>0</v>
      </c>
      <c r="M16" s="114">
        <f>Tabel6[[#This Row],[Prijs incl. btw]]*(1-Tabel6[[#This Row],[Korting %]])</f>
        <v>3</v>
      </c>
    </row>
    <row r="17" spans="1:13" x14ac:dyDescent="0.3">
      <c r="A17" s="58" t="s">
        <v>115</v>
      </c>
      <c r="B17" s="58" t="s">
        <v>116</v>
      </c>
      <c r="C17" s="58" t="s">
        <v>117</v>
      </c>
      <c r="D17" s="58" t="s">
        <v>124</v>
      </c>
      <c r="E17" s="58" t="s">
        <v>129</v>
      </c>
      <c r="F17" s="58" t="s">
        <v>144</v>
      </c>
      <c r="G17" s="58" t="s">
        <v>119</v>
      </c>
      <c r="H17" s="98">
        <f>Tabel6[[#This Row],[Prijs incl. btw]]/(1+Tabel6[[#This Row],[BTW %]])/1</f>
        <v>2.7522935779816513</v>
      </c>
      <c r="I17" s="63">
        <v>0.09</v>
      </c>
      <c r="J17" s="95">
        <v>3</v>
      </c>
      <c r="K17" s="110" t="s">
        <v>130</v>
      </c>
      <c r="L17" s="111">
        <v>0</v>
      </c>
      <c r="M17" s="114">
        <f>Tabel6[[#This Row],[Prijs incl. btw]]*(1-Tabel6[[#This Row],[Korting %]])</f>
        <v>3</v>
      </c>
    </row>
    <row r="18" spans="1:13" x14ac:dyDescent="0.3">
      <c r="A18" s="58" t="s">
        <v>115</v>
      </c>
      <c r="B18" s="58" t="s">
        <v>116</v>
      </c>
      <c r="C18" s="58" t="s">
        <v>117</v>
      </c>
      <c r="D18" s="58" t="s">
        <v>118</v>
      </c>
      <c r="E18" s="58" t="s">
        <v>60</v>
      </c>
      <c r="F18" s="58" t="s">
        <v>144</v>
      </c>
      <c r="G18" s="58" t="s">
        <v>119</v>
      </c>
      <c r="H18" s="98">
        <f>Tabel6[[#This Row],[Prijs incl. btw]]/(1+Tabel6[[#This Row],[BTW %]])/1</f>
        <v>2.7522935779816513</v>
      </c>
      <c r="I18" s="63">
        <v>0.09</v>
      </c>
      <c r="J18" s="95">
        <v>3</v>
      </c>
      <c r="K18" s="110" t="s">
        <v>130</v>
      </c>
      <c r="L18" s="111">
        <v>0</v>
      </c>
      <c r="M18" s="114">
        <f>Tabel6[[#This Row],[Prijs incl. btw]]*(1-Tabel6[[#This Row],[Korting %]])</f>
        <v>3</v>
      </c>
    </row>
    <row r="19" spans="1:13" x14ac:dyDescent="0.3">
      <c r="A19" s="58" t="s">
        <v>115</v>
      </c>
      <c r="B19" s="58" t="s">
        <v>116</v>
      </c>
      <c r="C19" s="58" t="s">
        <v>117</v>
      </c>
      <c r="D19" s="58" t="s">
        <v>126</v>
      </c>
      <c r="E19" s="58" t="s">
        <v>60</v>
      </c>
      <c r="F19" s="58" t="s">
        <v>144</v>
      </c>
      <c r="G19" s="58" t="s">
        <v>119</v>
      </c>
      <c r="H19" s="98">
        <f>Tabel6[[#This Row],[Prijs incl. btw]]/(1+Tabel6[[#This Row],[BTW %]])/1</f>
        <v>2.7522935779816513</v>
      </c>
      <c r="I19" s="63">
        <v>0.09</v>
      </c>
      <c r="J19" s="95">
        <v>3</v>
      </c>
      <c r="K19" s="110" t="s">
        <v>130</v>
      </c>
      <c r="L19" s="111">
        <v>0</v>
      </c>
      <c r="M19" s="114">
        <f>Tabel6[[#This Row],[Prijs incl. btw]]*(1-Tabel6[[#This Row],[Korting %]])</f>
        <v>3</v>
      </c>
    </row>
    <row r="20" spans="1:13" x14ac:dyDescent="0.3">
      <c r="A20" s="58" t="s">
        <v>115</v>
      </c>
      <c r="B20" s="58" t="s">
        <v>116</v>
      </c>
      <c r="C20" s="58" t="s">
        <v>117</v>
      </c>
      <c r="D20" s="58" t="s">
        <v>124</v>
      </c>
      <c r="E20" s="58" t="s">
        <v>60</v>
      </c>
      <c r="F20" s="58" t="s">
        <v>119</v>
      </c>
      <c r="G20" s="58" t="s">
        <v>144</v>
      </c>
      <c r="H20" s="98">
        <f>Tabel6[[#This Row],[Prijs incl. btw]]/(1+Tabel6[[#This Row],[BTW %]])/1</f>
        <v>2.7522935779816513</v>
      </c>
      <c r="I20" s="63">
        <v>0.09</v>
      </c>
      <c r="J20" s="95">
        <v>3</v>
      </c>
      <c r="K20" s="110" t="s">
        <v>130</v>
      </c>
      <c r="L20" s="111">
        <v>0</v>
      </c>
      <c r="M20" s="114">
        <f>Tabel6[[#This Row],[Prijs incl. btw]]*(1-Tabel6[[#This Row],[Korting %]])</f>
        <v>3</v>
      </c>
    </row>
    <row r="21" spans="1:13" x14ac:dyDescent="0.3">
      <c r="A21" s="58" t="s">
        <v>115</v>
      </c>
      <c r="B21" s="58" t="s">
        <v>116</v>
      </c>
      <c r="C21" s="58" t="s">
        <v>117</v>
      </c>
      <c r="D21" s="58" t="s">
        <v>124</v>
      </c>
      <c r="E21" s="58" t="s">
        <v>128</v>
      </c>
      <c r="F21" s="58" t="s">
        <v>119</v>
      </c>
      <c r="G21" s="58" t="s">
        <v>144</v>
      </c>
      <c r="H21" s="98">
        <f>Tabel6[[#This Row],[Prijs incl. btw]]/(1+Tabel6[[#This Row],[BTW %]])/1</f>
        <v>2.7522935779816513</v>
      </c>
      <c r="I21" s="63">
        <v>0.09</v>
      </c>
      <c r="J21" s="95">
        <v>3</v>
      </c>
      <c r="K21" s="110" t="s">
        <v>130</v>
      </c>
      <c r="L21" s="111">
        <v>0</v>
      </c>
      <c r="M21" s="114">
        <f>Tabel6[[#This Row],[Prijs incl. btw]]*(1-Tabel6[[#This Row],[Korting %]])</f>
        <v>3</v>
      </c>
    </row>
    <row r="22" spans="1:13" x14ac:dyDescent="0.3">
      <c r="A22" s="58" t="s">
        <v>115</v>
      </c>
      <c r="B22" s="58" t="s">
        <v>116</v>
      </c>
      <c r="C22" s="58" t="s">
        <v>117</v>
      </c>
      <c r="D22" s="58" t="s">
        <v>126</v>
      </c>
      <c r="E22" s="58" t="s">
        <v>129</v>
      </c>
      <c r="F22" s="58" t="s">
        <v>119</v>
      </c>
      <c r="G22" s="58" t="s">
        <v>144</v>
      </c>
      <c r="H22" s="98">
        <f>Tabel6[[#This Row],[Prijs incl. btw]]/(1+Tabel6[[#This Row],[BTW %]])/1</f>
        <v>2.7522935779816513</v>
      </c>
      <c r="I22" s="63">
        <v>0.09</v>
      </c>
      <c r="J22" s="95">
        <v>3</v>
      </c>
      <c r="K22" s="110" t="s">
        <v>130</v>
      </c>
      <c r="L22" s="111">
        <v>0</v>
      </c>
      <c r="M22" s="114">
        <f>Tabel6[[#This Row],[Prijs incl. btw]]*(1-Tabel6[[#This Row],[Korting %]])</f>
        <v>3</v>
      </c>
    </row>
    <row r="23" spans="1:13" x14ac:dyDescent="0.3">
      <c r="A23" s="58" t="s">
        <v>115</v>
      </c>
      <c r="B23" s="58" t="s">
        <v>116</v>
      </c>
      <c r="C23" s="58" t="s">
        <v>117</v>
      </c>
      <c r="D23" s="58" t="s">
        <v>125</v>
      </c>
      <c r="E23" s="58" t="s">
        <v>128</v>
      </c>
      <c r="F23" s="58" t="s">
        <v>146</v>
      </c>
      <c r="G23" s="58" t="s">
        <v>119</v>
      </c>
      <c r="H23" s="98">
        <f>Tabel6[[#This Row],[Prijs incl. btw]]/(1+Tabel6[[#This Row],[BTW %]])/1</f>
        <v>4.4954128440366974</v>
      </c>
      <c r="I23" s="63">
        <v>0.09</v>
      </c>
      <c r="J23" s="95">
        <v>4.9000000000000004</v>
      </c>
      <c r="K23" s="110" t="s">
        <v>130</v>
      </c>
      <c r="L23" s="111">
        <v>0</v>
      </c>
      <c r="M23" s="114">
        <f>Tabel6[[#This Row],[Prijs incl. btw]]*(1-Tabel6[[#This Row],[Korting %]])</f>
        <v>4.9000000000000004</v>
      </c>
    </row>
    <row r="24" spans="1:13" x14ac:dyDescent="0.3">
      <c r="A24" s="58" t="s">
        <v>115</v>
      </c>
      <c r="B24" s="58" t="s">
        <v>116</v>
      </c>
      <c r="C24" s="58" t="s">
        <v>117</v>
      </c>
      <c r="D24" s="58" t="s">
        <v>125</v>
      </c>
      <c r="E24" s="58" t="s">
        <v>129</v>
      </c>
      <c r="F24" s="58" t="s">
        <v>119</v>
      </c>
      <c r="G24" s="58" t="s">
        <v>146</v>
      </c>
      <c r="H24" s="98">
        <f>Tabel6[[#This Row],[Prijs incl. btw]]/(1+Tabel6[[#This Row],[BTW %]])/1</f>
        <v>4.4954128440366974</v>
      </c>
      <c r="I24" s="63">
        <v>0.09</v>
      </c>
      <c r="J24" s="95">
        <v>4.9000000000000004</v>
      </c>
      <c r="K24" s="110" t="s">
        <v>130</v>
      </c>
      <c r="L24" s="111">
        <v>0</v>
      </c>
      <c r="M24" s="114">
        <f>Tabel6[[#This Row],[Prijs incl. btw]]*(1-Tabel6[[#This Row],[Korting %]])</f>
        <v>4.9000000000000004</v>
      </c>
    </row>
    <row r="25" spans="1:13" x14ac:dyDescent="0.3">
      <c r="A25" s="58" t="s">
        <v>115</v>
      </c>
      <c r="B25" s="58" t="s">
        <v>116</v>
      </c>
      <c r="C25" s="58" t="s">
        <v>117</v>
      </c>
      <c r="D25" s="58" t="s">
        <v>123</v>
      </c>
      <c r="E25" s="58" t="s">
        <v>60</v>
      </c>
      <c r="F25" s="58" t="s">
        <v>119</v>
      </c>
      <c r="G25" s="58" t="s">
        <v>146</v>
      </c>
      <c r="H25" s="98">
        <f>Tabel6[[#This Row],[Prijs incl. btw]]/(1+Tabel6[[#This Row],[BTW %]])/1</f>
        <v>4.4954128440366974</v>
      </c>
      <c r="I25" s="63">
        <v>0.09</v>
      </c>
      <c r="J25" s="95">
        <v>4.9000000000000004</v>
      </c>
      <c r="K25" s="110" t="s">
        <v>130</v>
      </c>
      <c r="L25" s="111">
        <v>0</v>
      </c>
      <c r="M25" s="114">
        <f>Tabel6[[#This Row],[Prijs incl. btw]]*(1-Tabel6[[#This Row],[Korting %]])</f>
        <v>4.9000000000000004</v>
      </c>
    </row>
    <row r="26" spans="1:13" x14ac:dyDescent="0.3">
      <c r="A26" s="58" t="s">
        <v>115</v>
      </c>
      <c r="B26" s="58" t="s">
        <v>116</v>
      </c>
      <c r="C26" s="58" t="s">
        <v>117</v>
      </c>
      <c r="D26" s="58" t="s">
        <v>123</v>
      </c>
      <c r="E26" s="58" t="s">
        <v>128</v>
      </c>
      <c r="F26" s="58" t="s">
        <v>146</v>
      </c>
      <c r="G26" s="58" t="s">
        <v>119</v>
      </c>
      <c r="H26" s="98">
        <f>Tabel6[[#This Row],[Prijs incl. btw]]/(1+Tabel6[[#This Row],[BTW %]])/1</f>
        <v>4.4954128440366974</v>
      </c>
      <c r="I26" s="63">
        <v>0.09</v>
      </c>
      <c r="J26" s="95">
        <v>4.9000000000000004</v>
      </c>
      <c r="K26" s="110" t="s">
        <v>130</v>
      </c>
      <c r="L26" s="111">
        <v>0</v>
      </c>
      <c r="M26" s="114">
        <f>Tabel6[[#This Row],[Prijs incl. btw]]*(1-Tabel6[[#This Row],[Korting %]])</f>
        <v>4.9000000000000004</v>
      </c>
    </row>
    <row r="27" spans="1:13" x14ac:dyDescent="0.3">
      <c r="A27" s="58" t="s">
        <v>115</v>
      </c>
      <c r="B27" s="58" t="s">
        <v>116</v>
      </c>
      <c r="C27" s="58" t="s">
        <v>117</v>
      </c>
      <c r="D27" s="58" t="s">
        <v>123</v>
      </c>
      <c r="E27" s="58" t="s">
        <v>60</v>
      </c>
      <c r="F27" s="58" t="s">
        <v>119</v>
      </c>
      <c r="G27" s="58" t="s">
        <v>146</v>
      </c>
      <c r="H27" s="98">
        <f>Tabel6[[#This Row],[Prijs incl. btw]]/(1+Tabel6[[#This Row],[BTW %]])/1</f>
        <v>4.4954128440366974</v>
      </c>
      <c r="I27" s="63">
        <v>0.09</v>
      </c>
      <c r="J27" s="95">
        <v>4.9000000000000004</v>
      </c>
      <c r="K27" s="110" t="s">
        <v>130</v>
      </c>
      <c r="L27" s="111">
        <v>0</v>
      </c>
      <c r="M27" s="114">
        <f>Tabel6[[#This Row],[Prijs incl. btw]]*(1-Tabel6[[#This Row],[Korting %]])</f>
        <v>4.9000000000000004</v>
      </c>
    </row>
    <row r="28" spans="1:13" x14ac:dyDescent="0.3">
      <c r="A28" s="58" t="s">
        <v>115</v>
      </c>
      <c r="B28" s="58" t="s">
        <v>116</v>
      </c>
      <c r="C28" s="58" t="s">
        <v>117</v>
      </c>
      <c r="D28" s="58" t="s">
        <v>123</v>
      </c>
      <c r="E28" s="58" t="s">
        <v>128</v>
      </c>
      <c r="F28" s="58" t="s">
        <v>146</v>
      </c>
      <c r="G28" s="58" t="s">
        <v>119</v>
      </c>
      <c r="H28" s="98">
        <f>Tabel6[[#This Row],[Prijs incl. btw]]/(1+Tabel6[[#This Row],[BTW %]])/1</f>
        <v>4.4954128440366974</v>
      </c>
      <c r="I28" s="63">
        <v>0.09</v>
      </c>
      <c r="J28" s="95">
        <v>4.9000000000000004</v>
      </c>
      <c r="K28" s="110" t="s">
        <v>130</v>
      </c>
      <c r="L28" s="111">
        <v>0</v>
      </c>
      <c r="M28" s="114">
        <f>Tabel6[[#This Row],[Prijs incl. btw]]*(1-Tabel6[[#This Row],[Korting %]])</f>
        <v>4.9000000000000004</v>
      </c>
    </row>
    <row r="29" spans="1:13" x14ac:dyDescent="0.3">
      <c r="A29" s="58" t="s">
        <v>115</v>
      </c>
      <c r="B29" s="58" t="s">
        <v>116</v>
      </c>
      <c r="C29" s="58" t="s">
        <v>117</v>
      </c>
      <c r="D29" s="58" t="s">
        <v>124</v>
      </c>
      <c r="E29" s="58" t="s">
        <v>60</v>
      </c>
      <c r="F29" s="58" t="s">
        <v>119</v>
      </c>
      <c r="G29" s="58" t="s">
        <v>146</v>
      </c>
      <c r="H29" s="98">
        <f>Tabel6[[#This Row],[Prijs incl. btw]]/(1+Tabel6[[#This Row],[BTW %]])/1</f>
        <v>4.4954128440366974</v>
      </c>
      <c r="I29" s="63">
        <v>0.09</v>
      </c>
      <c r="J29" s="95">
        <v>4.9000000000000004</v>
      </c>
      <c r="K29" s="110" t="s">
        <v>130</v>
      </c>
      <c r="L29" s="111">
        <v>0</v>
      </c>
      <c r="M29" s="114">
        <f>Tabel6[[#This Row],[Prijs incl. btw]]*(1-Tabel6[[#This Row],[Korting %]])</f>
        <v>4.9000000000000004</v>
      </c>
    </row>
    <row r="30" spans="1:13" x14ac:dyDescent="0.3">
      <c r="A30" s="58" t="s">
        <v>115</v>
      </c>
      <c r="B30" s="58" t="s">
        <v>116</v>
      </c>
      <c r="C30" s="58" t="s">
        <v>117</v>
      </c>
      <c r="D30" s="58" t="s">
        <v>118</v>
      </c>
      <c r="E30" s="58" t="s">
        <v>128</v>
      </c>
      <c r="F30" s="58" t="s">
        <v>146</v>
      </c>
      <c r="G30" s="58" t="s">
        <v>119</v>
      </c>
      <c r="H30" s="98">
        <f>Tabel6[[#This Row],[Prijs incl. btw]]/(1+Tabel6[[#This Row],[BTW %]])/1</f>
        <v>4.4954128440366974</v>
      </c>
      <c r="I30" s="63">
        <v>0.09</v>
      </c>
      <c r="J30" s="95">
        <v>4.9000000000000004</v>
      </c>
      <c r="K30" s="110" t="s">
        <v>130</v>
      </c>
      <c r="L30" s="111">
        <v>0</v>
      </c>
      <c r="M30" s="114">
        <f>Tabel6[[#This Row],[Prijs incl. btw]]*(1-Tabel6[[#This Row],[Korting %]])</f>
        <v>4.9000000000000004</v>
      </c>
    </row>
    <row r="31" spans="1:13" x14ac:dyDescent="0.3">
      <c r="A31" s="58" t="s">
        <v>115</v>
      </c>
      <c r="B31" s="58" t="s">
        <v>116</v>
      </c>
      <c r="C31" s="58" t="s">
        <v>117</v>
      </c>
      <c r="D31" s="58" t="s">
        <v>118</v>
      </c>
      <c r="E31" s="58" t="s">
        <v>60</v>
      </c>
      <c r="F31" s="58" t="s">
        <v>119</v>
      </c>
      <c r="G31" s="58" t="s">
        <v>146</v>
      </c>
      <c r="H31" s="98">
        <f>Tabel6[[#This Row],[Prijs incl. btw]]/(1+Tabel6[[#This Row],[BTW %]])/1</f>
        <v>4.4954128440366974</v>
      </c>
      <c r="I31" s="63">
        <v>0.09</v>
      </c>
      <c r="J31" s="95">
        <v>4.9000000000000004</v>
      </c>
      <c r="K31" s="110" t="s">
        <v>130</v>
      </c>
      <c r="L31" s="111">
        <v>0</v>
      </c>
      <c r="M31" s="114">
        <f>Tabel6[[#This Row],[Prijs incl. btw]]*(1-Tabel6[[#This Row],[Korting %]])</f>
        <v>4.9000000000000004</v>
      </c>
    </row>
    <row r="32" spans="1:13" x14ac:dyDescent="0.3">
      <c r="A32" s="58" t="s">
        <v>115</v>
      </c>
      <c r="B32" s="58" t="s">
        <v>116</v>
      </c>
      <c r="C32" s="58" t="s">
        <v>117</v>
      </c>
      <c r="D32" s="58" t="s">
        <v>118</v>
      </c>
      <c r="E32" s="58" t="s">
        <v>129</v>
      </c>
      <c r="F32" s="58" t="s">
        <v>119</v>
      </c>
      <c r="G32" s="58" t="s">
        <v>146</v>
      </c>
      <c r="H32" s="98">
        <f>Tabel6[[#This Row],[Prijs incl. btw]]/(1+Tabel6[[#This Row],[BTW %]])/1</f>
        <v>4.4954128440366974</v>
      </c>
      <c r="I32" s="63">
        <v>0.09</v>
      </c>
      <c r="J32" s="95">
        <v>4.9000000000000004</v>
      </c>
      <c r="K32" s="110" t="s">
        <v>130</v>
      </c>
      <c r="L32" s="111">
        <v>0</v>
      </c>
      <c r="M32" s="114">
        <f>Tabel6[[#This Row],[Prijs incl. btw]]*(1-Tabel6[[#This Row],[Korting %]])</f>
        <v>4.9000000000000004</v>
      </c>
    </row>
    <row r="33" spans="1:13" x14ac:dyDescent="0.3">
      <c r="A33" s="58" t="s">
        <v>115</v>
      </c>
      <c r="B33" s="58" t="s">
        <v>116</v>
      </c>
      <c r="C33" s="58" t="s">
        <v>117</v>
      </c>
      <c r="D33" s="58" t="s">
        <v>126</v>
      </c>
      <c r="E33" s="58" t="s">
        <v>128</v>
      </c>
      <c r="F33" s="58" t="s">
        <v>146</v>
      </c>
      <c r="G33" s="58" t="s">
        <v>119</v>
      </c>
      <c r="H33" s="98">
        <f>Tabel6[[#This Row],[Prijs incl. btw]]/(1+Tabel6[[#This Row],[BTW %]])/1</f>
        <v>4.4954128440366974</v>
      </c>
      <c r="I33" s="63">
        <v>0.09</v>
      </c>
      <c r="J33" s="95">
        <v>4.9000000000000004</v>
      </c>
      <c r="K33" s="110" t="s">
        <v>130</v>
      </c>
      <c r="L33" s="111">
        <v>0</v>
      </c>
      <c r="M33" s="114">
        <f>Tabel6[[#This Row],[Prijs incl. btw]]*(1-Tabel6[[#This Row],[Korting %]])</f>
        <v>4.9000000000000004</v>
      </c>
    </row>
    <row r="34" spans="1:13" x14ac:dyDescent="0.3">
      <c r="A34" s="70" t="s">
        <v>58</v>
      </c>
      <c r="B34" s="81"/>
      <c r="C34" s="81"/>
      <c r="D34" s="164"/>
      <c r="E34" s="164"/>
      <c r="F34" s="164"/>
      <c r="G34" s="164"/>
      <c r="H34" s="82">
        <f>SUM(Tabel6[Prijs excl. btw])</f>
        <v>143.02752293577976</v>
      </c>
      <c r="I34" s="81"/>
      <c r="J34" s="82">
        <f>SUM(Tabel6[Prijs incl. btw])</f>
        <v>155.90000000000006</v>
      </c>
      <c r="K34" s="165" t="s">
        <v>148</v>
      </c>
      <c r="L34" s="165"/>
      <c r="M34" s="79">
        <f>SUM(Tabel6[Prijs incl. btw -/- korting])</f>
        <v>155.90000000000006</v>
      </c>
    </row>
    <row r="36" spans="1:13" x14ac:dyDescent="0.3">
      <c r="A36" s="70" t="s">
        <v>25</v>
      </c>
      <c r="B36" s="70" t="s">
        <v>132</v>
      </c>
      <c r="C36" s="70" t="s">
        <v>133</v>
      </c>
    </row>
    <row r="37" spans="1:13" x14ac:dyDescent="0.3">
      <c r="A37" s="71" t="s">
        <v>127</v>
      </c>
      <c r="B37" s="110" t="s">
        <v>130</v>
      </c>
      <c r="C37" s="112">
        <v>0</v>
      </c>
    </row>
    <row r="38" spans="1:13" x14ac:dyDescent="0.3">
      <c r="A38" s="71" t="s">
        <v>127</v>
      </c>
      <c r="B38" s="110" t="s">
        <v>130</v>
      </c>
      <c r="C38" s="112">
        <v>0</v>
      </c>
    </row>
    <row r="39" spans="1:13" x14ac:dyDescent="0.3">
      <c r="A39" s="71" t="s">
        <v>127</v>
      </c>
      <c r="B39" s="110" t="s">
        <v>130</v>
      </c>
      <c r="C39" s="112">
        <v>0</v>
      </c>
    </row>
    <row r="40" spans="1:13" x14ac:dyDescent="0.3">
      <c r="A40" s="67" t="s">
        <v>58</v>
      </c>
      <c r="B40" s="72"/>
      <c r="C40" s="73">
        <f>SUM(C37:C39)</f>
        <v>0</v>
      </c>
    </row>
    <row r="41" spans="1:13" x14ac:dyDescent="0.3">
      <c r="A41" s="58"/>
      <c r="B41" s="58"/>
      <c r="C41" s="58"/>
    </row>
    <row r="42" spans="1:13" x14ac:dyDescent="0.3">
      <c r="A42" s="67" t="s">
        <v>218</v>
      </c>
      <c r="B42" s="68"/>
      <c r="C42" s="58"/>
    </row>
    <row r="43" spans="1:13" ht="27" x14ac:dyDescent="0.3">
      <c r="A43" s="74" t="s">
        <v>219</v>
      </c>
      <c r="B43" s="75">
        <f>M34+C40</f>
        <v>155.90000000000006</v>
      </c>
      <c r="C43" s="58"/>
    </row>
    <row r="44" spans="1:13" x14ac:dyDescent="0.3">
      <c r="A44" s="68"/>
      <c r="B44" s="68"/>
      <c r="C44" s="58"/>
    </row>
  </sheetData>
  <sheetProtection algorithmName="SHA-512" hashValue="hQIvM4y3j0tlgU3y2A11I3O0RMKrjPHKfBd8AG7dYL0HRCQiHSskWfjcwUFJA2vNbq/w0xY9+4zaEByc/lWBDA==" saltValue="b9zfy42tcvutXjFifmkRhA==" spinCount="100000" sheet="1" objects="1" scenarios="1"/>
  <mergeCells count="3">
    <mergeCell ref="D34:E34"/>
    <mergeCell ref="F34:G34"/>
    <mergeCell ref="K34:L34"/>
  </mergeCells>
  <pageMargins left="0.7" right="0.7" top="0.75" bottom="0.75" header="0.3" footer="0.3"/>
  <ignoredErrors>
    <ignoredError sqref="H2" calculatedColumn="1"/>
  </ignoredErrors>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5544C-F328-4A82-8C77-E4ADBF0B5884}">
  <dimension ref="A1:M24"/>
  <sheetViews>
    <sheetView workbookViewId="0">
      <selection activeCell="G20" sqref="G20"/>
    </sheetView>
  </sheetViews>
  <sheetFormatPr defaultRowHeight="14.5" x14ac:dyDescent="0.35"/>
  <cols>
    <col min="1" max="1" width="32.81640625" bestFit="1" customWidth="1"/>
    <col min="2" max="2" width="16.08984375" bestFit="1" customWidth="1"/>
    <col min="3" max="3" width="8.54296875" bestFit="1" customWidth="1"/>
    <col min="4" max="4" width="6.36328125" bestFit="1" customWidth="1"/>
    <col min="5" max="5" width="12.90625" bestFit="1" customWidth="1"/>
    <col min="6" max="6" width="16.36328125" bestFit="1" customWidth="1"/>
    <col min="7" max="7" width="20.453125" bestFit="1" customWidth="1"/>
    <col min="8" max="8" width="15.08984375" bestFit="1" customWidth="1"/>
    <col min="9" max="9" width="9.08984375" bestFit="1" customWidth="1"/>
    <col min="10" max="10" width="14.54296875" bestFit="1" customWidth="1"/>
    <col min="11" max="11" width="22.1796875" bestFit="1" customWidth="1"/>
    <col min="12" max="12" width="11.1796875" bestFit="1" customWidth="1"/>
    <col min="13" max="13" width="24" bestFit="1" customWidth="1"/>
  </cols>
  <sheetData>
    <row r="1" spans="1:13" x14ac:dyDescent="0.35">
      <c r="A1" s="49" t="s">
        <v>103</v>
      </c>
      <c r="B1" s="50" t="s">
        <v>104</v>
      </c>
      <c r="C1" s="50" t="s">
        <v>105</v>
      </c>
      <c r="D1" s="50" t="s">
        <v>106</v>
      </c>
      <c r="E1" s="50" t="s">
        <v>143</v>
      </c>
      <c r="F1" s="50" t="s">
        <v>107</v>
      </c>
      <c r="G1" s="50" t="s">
        <v>108</v>
      </c>
      <c r="H1" s="50" t="s">
        <v>109</v>
      </c>
      <c r="I1" s="50" t="s">
        <v>110</v>
      </c>
      <c r="J1" s="50" t="s">
        <v>111</v>
      </c>
      <c r="K1" s="39" t="s">
        <v>112</v>
      </c>
      <c r="L1" s="39" t="s">
        <v>113</v>
      </c>
      <c r="M1" s="51" t="s">
        <v>114</v>
      </c>
    </row>
    <row r="2" spans="1:13" x14ac:dyDescent="0.35">
      <c r="A2" s="58" t="s">
        <v>115</v>
      </c>
      <c r="B2" s="58" t="s">
        <v>116</v>
      </c>
      <c r="C2" s="58" t="s">
        <v>117</v>
      </c>
      <c r="D2" s="58" t="s">
        <v>123</v>
      </c>
      <c r="E2" s="58" t="s">
        <v>129</v>
      </c>
      <c r="F2" s="58" t="s">
        <v>136</v>
      </c>
      <c r="G2" s="58" t="s">
        <v>119</v>
      </c>
      <c r="H2" s="98">
        <f>Tabel7[[#This Row],[Prijs incl. btw]]/(1+Tabel7[[#This Row],[BTW %]])/1</f>
        <v>5.5045871559633026</v>
      </c>
      <c r="I2" s="63">
        <v>0.09</v>
      </c>
      <c r="J2" s="95">
        <v>6</v>
      </c>
      <c r="K2" s="110" t="s">
        <v>130</v>
      </c>
      <c r="L2" s="111">
        <v>0</v>
      </c>
      <c r="M2" s="114">
        <f>Tabel7[[#This Row],[Prijs incl. btw]]*(1-Tabel7[[#This Row],[Korting %]])</f>
        <v>6</v>
      </c>
    </row>
    <row r="3" spans="1:13" x14ac:dyDescent="0.35">
      <c r="A3" s="58" t="s">
        <v>115</v>
      </c>
      <c r="B3" s="58" t="s">
        <v>116</v>
      </c>
      <c r="C3" s="58" t="s">
        <v>117</v>
      </c>
      <c r="D3" s="58" t="s">
        <v>123</v>
      </c>
      <c r="E3" s="58" t="s">
        <v>128</v>
      </c>
      <c r="F3" s="58" t="s">
        <v>136</v>
      </c>
      <c r="G3" s="58" t="s">
        <v>119</v>
      </c>
      <c r="H3" s="98">
        <f>Tabel7[[#This Row],[Prijs incl. btw]]/(1+Tabel7[[#This Row],[BTW %]])/1</f>
        <v>5.5045871559633026</v>
      </c>
      <c r="I3" s="63">
        <v>0.09</v>
      </c>
      <c r="J3" s="97">
        <v>6</v>
      </c>
      <c r="K3" s="110" t="s">
        <v>130</v>
      </c>
      <c r="L3" s="111">
        <v>0</v>
      </c>
      <c r="M3" s="114">
        <f>Tabel7[[#This Row],[Prijs incl. btw]]*(1-Tabel7[[#This Row],[Korting %]])</f>
        <v>6</v>
      </c>
    </row>
    <row r="4" spans="1:13" x14ac:dyDescent="0.35">
      <c r="A4" s="58" t="s">
        <v>115</v>
      </c>
      <c r="B4" s="58" t="s">
        <v>116</v>
      </c>
      <c r="C4" s="58" t="s">
        <v>117</v>
      </c>
      <c r="D4" s="58" t="s">
        <v>125</v>
      </c>
      <c r="E4" s="58" t="s">
        <v>60</v>
      </c>
      <c r="F4" s="58" t="s">
        <v>145</v>
      </c>
      <c r="G4" s="58" t="s">
        <v>119</v>
      </c>
      <c r="H4" s="98">
        <f>Tabel7[[#This Row],[Prijs incl. btw]]/(1+Tabel7[[#This Row],[BTW %]])/1</f>
        <v>4.8623853211009171</v>
      </c>
      <c r="I4" s="63">
        <v>0.09</v>
      </c>
      <c r="J4" s="95">
        <v>5.3</v>
      </c>
      <c r="K4" s="110" t="s">
        <v>130</v>
      </c>
      <c r="L4" s="111">
        <v>0</v>
      </c>
      <c r="M4" s="114">
        <f>Tabel7[[#This Row],[Prijs incl. btw]]*(1-Tabel7[[#This Row],[Korting %]])</f>
        <v>5.3</v>
      </c>
    </row>
    <row r="5" spans="1:13" x14ac:dyDescent="0.35">
      <c r="A5" s="58" t="s">
        <v>115</v>
      </c>
      <c r="B5" s="58" t="s">
        <v>116</v>
      </c>
      <c r="C5" s="58" t="s">
        <v>117</v>
      </c>
      <c r="D5" s="58" t="s">
        <v>123</v>
      </c>
      <c r="E5" s="58" t="s">
        <v>60</v>
      </c>
      <c r="F5" s="58" t="s">
        <v>119</v>
      </c>
      <c r="G5" s="58" t="s">
        <v>145</v>
      </c>
      <c r="H5" s="98">
        <f>Tabel7[[#This Row],[Prijs incl. btw]]/(1+Tabel7[[#This Row],[BTW %]])/1</f>
        <v>4.8623853211009171</v>
      </c>
      <c r="I5" s="63">
        <v>0.09</v>
      </c>
      <c r="J5" s="95">
        <v>5.3</v>
      </c>
      <c r="K5" s="110" t="s">
        <v>130</v>
      </c>
      <c r="L5" s="111">
        <v>0</v>
      </c>
      <c r="M5" s="114">
        <f>Tabel7[[#This Row],[Prijs incl. btw]]*(1-Tabel7[[#This Row],[Korting %]])</f>
        <v>5.3</v>
      </c>
    </row>
    <row r="6" spans="1:13" x14ac:dyDescent="0.35">
      <c r="A6" s="58" t="s">
        <v>115</v>
      </c>
      <c r="B6" s="58" t="s">
        <v>116</v>
      </c>
      <c r="C6" s="58" t="s">
        <v>117</v>
      </c>
      <c r="D6" s="58" t="s">
        <v>118</v>
      </c>
      <c r="E6" s="58" t="s">
        <v>128</v>
      </c>
      <c r="F6" s="58" t="s">
        <v>145</v>
      </c>
      <c r="G6" s="58" t="s">
        <v>119</v>
      </c>
      <c r="H6" s="98">
        <f>Tabel7[[#This Row],[Prijs incl. btw]]/(1+Tabel7[[#This Row],[BTW %]])/1</f>
        <v>4.8623853211009171</v>
      </c>
      <c r="I6" s="63">
        <v>0.09</v>
      </c>
      <c r="J6" s="95">
        <v>5.3</v>
      </c>
      <c r="K6" s="110" t="s">
        <v>130</v>
      </c>
      <c r="L6" s="111">
        <v>0</v>
      </c>
      <c r="M6" s="114">
        <f>Tabel7[[#This Row],[Prijs incl. btw]]*(1-Tabel7[[#This Row],[Korting %]])</f>
        <v>5.3</v>
      </c>
    </row>
    <row r="7" spans="1:13" x14ac:dyDescent="0.35">
      <c r="A7" s="58" t="s">
        <v>115</v>
      </c>
      <c r="B7" s="58" t="s">
        <v>116</v>
      </c>
      <c r="C7" s="58" t="s">
        <v>117</v>
      </c>
      <c r="D7" s="58" t="s">
        <v>118</v>
      </c>
      <c r="E7" s="58" t="s">
        <v>60</v>
      </c>
      <c r="F7" s="58" t="s">
        <v>119</v>
      </c>
      <c r="G7" s="58" t="s">
        <v>145</v>
      </c>
      <c r="H7" s="98">
        <f>Tabel7[[#This Row],[Prijs incl. btw]]/(1+Tabel7[[#This Row],[BTW %]])/1</f>
        <v>4.8623853211009171</v>
      </c>
      <c r="I7" s="63">
        <v>0.09</v>
      </c>
      <c r="J7" s="95">
        <v>5.3</v>
      </c>
      <c r="K7" s="110" t="s">
        <v>130</v>
      </c>
      <c r="L7" s="111">
        <v>0</v>
      </c>
      <c r="M7" s="114">
        <f>Tabel7[[#This Row],[Prijs incl. btw]]*(1-Tabel7[[#This Row],[Korting %]])</f>
        <v>5.3</v>
      </c>
    </row>
    <row r="8" spans="1:13" x14ac:dyDescent="0.35">
      <c r="A8" s="58" t="s">
        <v>182</v>
      </c>
      <c r="B8" s="58" t="s">
        <v>139</v>
      </c>
      <c r="C8" s="9"/>
      <c r="D8" s="58" t="s">
        <v>125</v>
      </c>
      <c r="E8" s="58" t="s">
        <v>129</v>
      </c>
      <c r="F8" s="58" t="s">
        <v>119</v>
      </c>
      <c r="G8" s="58" t="s">
        <v>140</v>
      </c>
      <c r="H8" s="98">
        <f>Tabel7[[#This Row],[Prijs incl. btw]]/(1+Tabel7[[#This Row],[BTW %]])/1</f>
        <v>2.2293577981651378</v>
      </c>
      <c r="I8" s="63">
        <v>0.09</v>
      </c>
      <c r="J8" s="95">
        <v>2.4300000000000002</v>
      </c>
      <c r="K8" s="110" t="s">
        <v>130</v>
      </c>
      <c r="L8" s="111">
        <v>0</v>
      </c>
      <c r="M8" s="114">
        <f>Tabel7[[#This Row],[Prijs incl. btw]]*(1-Tabel7[[#This Row],[Korting %]])</f>
        <v>2.4300000000000002</v>
      </c>
    </row>
    <row r="9" spans="1:13" x14ac:dyDescent="0.35">
      <c r="A9" s="58" t="s">
        <v>182</v>
      </c>
      <c r="B9" s="58" t="s">
        <v>139</v>
      </c>
      <c r="C9" s="58"/>
      <c r="D9" s="58" t="s">
        <v>124</v>
      </c>
      <c r="E9" s="58" t="s">
        <v>60</v>
      </c>
      <c r="F9" s="58" t="s">
        <v>119</v>
      </c>
      <c r="G9" s="58" t="s">
        <v>140</v>
      </c>
      <c r="H9" s="98">
        <f>Tabel7[[#This Row],[Prijs incl. btw]]/(1+Tabel7[[#This Row],[BTW %]])/1</f>
        <v>2.2293577981651378</v>
      </c>
      <c r="I9" s="63">
        <v>0.09</v>
      </c>
      <c r="J9" s="95">
        <v>2.4300000000000002</v>
      </c>
      <c r="K9" s="110" t="s">
        <v>130</v>
      </c>
      <c r="L9" s="111">
        <v>0</v>
      </c>
      <c r="M9" s="114">
        <f>Tabel7[[#This Row],[Prijs incl. btw]]*(1-Tabel7[[#This Row],[Korting %]])</f>
        <v>2.4300000000000002</v>
      </c>
    </row>
    <row r="10" spans="1:13" x14ac:dyDescent="0.35">
      <c r="A10" s="58" t="s">
        <v>182</v>
      </c>
      <c r="B10" s="58" t="s">
        <v>139</v>
      </c>
      <c r="C10" s="9"/>
      <c r="D10" s="58" t="s">
        <v>124</v>
      </c>
      <c r="E10" s="58" t="s">
        <v>129</v>
      </c>
      <c r="F10" s="58" t="s">
        <v>140</v>
      </c>
      <c r="G10" s="58" t="s">
        <v>119</v>
      </c>
      <c r="H10" s="98">
        <f>Tabel7[[#This Row],[Prijs incl. btw]]/(1+Tabel7[[#This Row],[BTW %]])/1</f>
        <v>2.2293577981651378</v>
      </c>
      <c r="I10" s="63">
        <v>0.09</v>
      </c>
      <c r="J10" s="95">
        <v>2.4300000000000002</v>
      </c>
      <c r="K10" s="110" t="s">
        <v>130</v>
      </c>
      <c r="L10" s="111">
        <v>0</v>
      </c>
      <c r="M10" s="114">
        <f>Tabel7[[#This Row],[Prijs incl. btw]]*(1-Tabel7[[#This Row],[Korting %]])</f>
        <v>2.4300000000000002</v>
      </c>
    </row>
    <row r="11" spans="1:13" x14ac:dyDescent="0.35">
      <c r="A11" s="58" t="s">
        <v>182</v>
      </c>
      <c r="B11" s="58" t="s">
        <v>139</v>
      </c>
      <c r="C11" s="58"/>
      <c r="D11" s="58" t="s">
        <v>118</v>
      </c>
      <c r="E11" s="58" t="s">
        <v>129</v>
      </c>
      <c r="F11" s="58" t="s">
        <v>119</v>
      </c>
      <c r="G11" s="58" t="s">
        <v>140</v>
      </c>
      <c r="H11" s="98">
        <f>Tabel7[[#This Row],[Prijs incl. btw]]/(1+Tabel7[[#This Row],[BTW %]])/1</f>
        <v>2.2293577981651378</v>
      </c>
      <c r="I11" s="63">
        <v>0.09</v>
      </c>
      <c r="J11" s="95">
        <v>2.4300000000000002</v>
      </c>
      <c r="K11" s="110" t="s">
        <v>130</v>
      </c>
      <c r="L11" s="111">
        <v>0</v>
      </c>
      <c r="M11" s="114">
        <f>Tabel7[[#This Row],[Prijs incl. btw]]*(1-Tabel7[[#This Row],[Korting %]])</f>
        <v>2.4300000000000002</v>
      </c>
    </row>
    <row r="12" spans="1:13" x14ac:dyDescent="0.35">
      <c r="A12" s="58" t="s">
        <v>115</v>
      </c>
      <c r="B12" s="58" t="s">
        <v>116</v>
      </c>
      <c r="C12" s="9" t="s">
        <v>117</v>
      </c>
      <c r="D12" s="58" t="s">
        <v>126</v>
      </c>
      <c r="E12" s="58" t="s">
        <v>129</v>
      </c>
      <c r="F12" s="58" t="s">
        <v>119</v>
      </c>
      <c r="G12" s="58" t="s">
        <v>145</v>
      </c>
      <c r="H12" s="98">
        <f>Tabel7[[#This Row],[Prijs incl. btw]]/(1+Tabel7[[#This Row],[BTW %]])/1</f>
        <v>4.8623853211009171</v>
      </c>
      <c r="I12" s="63">
        <v>0.09</v>
      </c>
      <c r="J12" s="95">
        <v>5.3</v>
      </c>
      <c r="K12" s="110" t="s">
        <v>130</v>
      </c>
      <c r="L12" s="111">
        <v>0</v>
      </c>
      <c r="M12" s="114">
        <f>Tabel7[[#This Row],[Prijs incl. btw]]*(1-Tabel7[[#This Row],[Korting %]])</f>
        <v>5.3</v>
      </c>
    </row>
    <row r="13" spans="1:13" x14ac:dyDescent="0.35">
      <c r="A13" s="58" t="s">
        <v>182</v>
      </c>
      <c r="B13" s="58" t="s">
        <v>139</v>
      </c>
      <c r="C13" s="58"/>
      <c r="D13" s="58" t="s">
        <v>126</v>
      </c>
      <c r="E13" s="58" t="s">
        <v>60</v>
      </c>
      <c r="F13" s="58" t="s">
        <v>119</v>
      </c>
      <c r="G13" s="58" t="s">
        <v>140</v>
      </c>
      <c r="H13" s="98">
        <f>Tabel7[[#This Row],[Prijs incl. btw]]/(1+Tabel7[[#This Row],[BTW %]])/1</f>
        <v>2.2293577981651378</v>
      </c>
      <c r="I13" s="63">
        <v>0.09</v>
      </c>
      <c r="J13" s="95">
        <v>2.4300000000000002</v>
      </c>
      <c r="K13" s="110" t="s">
        <v>130</v>
      </c>
      <c r="L13" s="111">
        <v>0</v>
      </c>
      <c r="M13" s="114">
        <f>Tabel7[[#This Row],[Prijs incl. btw]]*(1-Tabel7[[#This Row],[Korting %]])</f>
        <v>2.4300000000000002</v>
      </c>
    </row>
    <row r="14" spans="1:13" x14ac:dyDescent="0.35">
      <c r="A14" s="37" t="s">
        <v>58</v>
      </c>
      <c r="B14" s="47"/>
      <c r="C14" s="47"/>
      <c r="D14" s="166"/>
      <c r="E14" s="166"/>
      <c r="F14" s="166"/>
      <c r="G14" s="166"/>
      <c r="H14" s="48">
        <f>SUM(Tabel7[Prijs excl. btw])</f>
        <v>46.467889908256886</v>
      </c>
      <c r="I14" s="47"/>
      <c r="J14" s="48">
        <f>SUM(Tabel7[Prijs incl. btw])</f>
        <v>50.65</v>
      </c>
      <c r="K14" s="167" t="s">
        <v>147</v>
      </c>
      <c r="L14" s="167"/>
      <c r="M14" s="48">
        <f>SUM(Tabel7[Prijs incl. btw -/- korting])</f>
        <v>50.65</v>
      </c>
    </row>
    <row r="16" spans="1:13" x14ac:dyDescent="0.35">
      <c r="A16" s="40" t="s">
        <v>25</v>
      </c>
      <c r="B16" s="40" t="s">
        <v>132</v>
      </c>
      <c r="C16" s="40" t="s">
        <v>133</v>
      </c>
    </row>
    <row r="17" spans="1:3" x14ac:dyDescent="0.35">
      <c r="A17" s="41" t="s">
        <v>127</v>
      </c>
      <c r="B17" s="115" t="s">
        <v>130</v>
      </c>
      <c r="C17" s="116">
        <v>0</v>
      </c>
    </row>
    <row r="18" spans="1:3" x14ac:dyDescent="0.35">
      <c r="A18" s="41" t="s">
        <v>127</v>
      </c>
      <c r="B18" s="115" t="s">
        <v>130</v>
      </c>
      <c r="C18" s="116">
        <v>0</v>
      </c>
    </row>
    <row r="19" spans="1:3" x14ac:dyDescent="0.35">
      <c r="A19" s="41" t="s">
        <v>127</v>
      </c>
      <c r="B19" s="115" t="s">
        <v>130</v>
      </c>
      <c r="C19" s="116">
        <v>0</v>
      </c>
    </row>
    <row r="20" spans="1:3" x14ac:dyDescent="0.35">
      <c r="A20" s="42" t="s">
        <v>58</v>
      </c>
      <c r="B20" s="43"/>
      <c r="C20" s="44">
        <f>SUM(C17:C19)</f>
        <v>0</v>
      </c>
    </row>
    <row r="21" spans="1:3" x14ac:dyDescent="0.35">
      <c r="A21" s="38"/>
      <c r="B21" s="38"/>
      <c r="C21" s="38"/>
    </row>
    <row r="22" spans="1:3" x14ac:dyDescent="0.35">
      <c r="A22" s="42" t="s">
        <v>220</v>
      </c>
      <c r="B22" s="45"/>
      <c r="C22" s="38"/>
    </row>
    <row r="23" spans="1:3" ht="29" x14ac:dyDescent="0.35">
      <c r="A23" s="46" t="s">
        <v>221</v>
      </c>
      <c r="B23" s="52">
        <f>M14+C20</f>
        <v>50.65</v>
      </c>
      <c r="C23" s="38"/>
    </row>
    <row r="24" spans="1:3" x14ac:dyDescent="0.35">
      <c r="A24" s="45"/>
      <c r="B24" s="45"/>
      <c r="C24" s="38"/>
    </row>
  </sheetData>
  <sheetProtection algorithmName="SHA-512" hashValue="MQvW4DlVtbthgaeC4Xgn0wstpngKYScZxtbysoQKPgQ23NKj1kc4IoTrT/o+lMiy7mEE5s+IaoxH1frWuHyQeQ==" saltValue="NsqCrxk4g47fVrspCeA6hQ==" spinCount="100000" sheet="1" objects="1" scenarios="1"/>
  <mergeCells count="3">
    <mergeCell ref="D14:E14"/>
    <mergeCell ref="F14:G14"/>
    <mergeCell ref="K14:L14"/>
  </mergeCell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0EC60-AA87-4BEF-9745-66F592161712}">
  <dimension ref="A1:M30"/>
  <sheetViews>
    <sheetView workbookViewId="0">
      <selection activeCell="G17" sqref="G17"/>
    </sheetView>
  </sheetViews>
  <sheetFormatPr defaultColWidth="8.81640625" defaultRowHeight="13.5" x14ac:dyDescent="0.3"/>
  <cols>
    <col min="1" max="1" width="35.1796875" style="9" bestFit="1" customWidth="1"/>
    <col min="2" max="2" width="25.1796875" style="9" bestFit="1" customWidth="1"/>
    <col min="3" max="3" width="9.90625" style="9" bestFit="1" customWidth="1"/>
    <col min="4" max="4" width="7.36328125" style="9" bestFit="1" customWidth="1"/>
    <col min="5" max="5" width="12.90625" style="9" bestFit="1" customWidth="1"/>
    <col min="6" max="6" width="30.08984375" style="9" bestFit="1" customWidth="1"/>
    <col min="7" max="7" width="29.1796875" style="9" bestFit="1" customWidth="1"/>
    <col min="8" max="8" width="18" style="9" bestFit="1" customWidth="1"/>
    <col min="9" max="9" width="10.90625" style="9" bestFit="1" customWidth="1"/>
    <col min="10" max="10" width="17.54296875" style="9" bestFit="1" customWidth="1"/>
    <col min="11" max="11" width="26.36328125" style="9" bestFit="1" customWidth="1"/>
    <col min="12" max="12" width="13.81640625" style="9" bestFit="1" customWidth="1"/>
    <col min="13" max="13" width="29.54296875" style="9" bestFit="1" customWidth="1"/>
    <col min="14" max="16384" width="8.81640625" style="9"/>
  </cols>
  <sheetData>
    <row r="1" spans="1:13" x14ac:dyDescent="0.3">
      <c r="A1" s="83" t="s">
        <v>103</v>
      </c>
      <c r="B1" s="84" t="s">
        <v>104</v>
      </c>
      <c r="C1" s="84" t="s">
        <v>105</v>
      </c>
      <c r="D1" s="84" t="s">
        <v>106</v>
      </c>
      <c r="E1" s="84" t="s">
        <v>143</v>
      </c>
      <c r="F1" s="84" t="s">
        <v>107</v>
      </c>
      <c r="G1" s="84" t="s">
        <v>108</v>
      </c>
      <c r="H1" s="84" t="s">
        <v>109</v>
      </c>
      <c r="I1" s="84" t="s">
        <v>110</v>
      </c>
      <c r="J1" s="84" t="s">
        <v>111</v>
      </c>
      <c r="K1" s="62" t="s">
        <v>112</v>
      </c>
      <c r="L1" s="62" t="s">
        <v>113</v>
      </c>
      <c r="M1" s="85" t="s">
        <v>114</v>
      </c>
    </row>
    <row r="2" spans="1:13" x14ac:dyDescent="0.3">
      <c r="A2" s="58" t="s">
        <v>121</v>
      </c>
      <c r="B2" s="58" t="s">
        <v>139</v>
      </c>
      <c r="C2" s="58"/>
      <c r="D2" s="58" t="s">
        <v>125</v>
      </c>
      <c r="E2" s="9" t="s">
        <v>129</v>
      </c>
      <c r="F2" s="58" t="s">
        <v>119</v>
      </c>
      <c r="G2" s="58" t="s">
        <v>190</v>
      </c>
      <c r="H2" s="98">
        <f>Tabel8[[#This Row],[Prijs incl. btw]]/(1+Tabel8[[#This Row],[BTW %]])/1</f>
        <v>1.5321100917431192</v>
      </c>
      <c r="I2" s="63">
        <v>0.09</v>
      </c>
      <c r="J2" s="100">
        <v>1.67</v>
      </c>
      <c r="K2" s="110" t="s">
        <v>130</v>
      </c>
      <c r="L2" s="111">
        <v>0</v>
      </c>
      <c r="M2" s="114">
        <f>Tabel8[[#This Row],[Prijs incl. btw]]*(1-Tabel8[[#This Row],[Korting %]])</f>
        <v>1.67</v>
      </c>
    </row>
    <row r="3" spans="1:13" x14ac:dyDescent="0.3">
      <c r="A3" s="58" t="s">
        <v>121</v>
      </c>
      <c r="B3" s="58" t="s">
        <v>139</v>
      </c>
      <c r="C3" s="58"/>
      <c r="D3" s="58" t="s">
        <v>123</v>
      </c>
      <c r="E3" s="9" t="s">
        <v>60</v>
      </c>
      <c r="F3" s="58" t="s">
        <v>119</v>
      </c>
      <c r="G3" s="58" t="s">
        <v>190</v>
      </c>
      <c r="H3" s="98">
        <f>Tabel8[[#This Row],[Prijs incl. btw]]/(1+Tabel8[[#This Row],[BTW %]])/1</f>
        <v>1.5321100917431192</v>
      </c>
      <c r="I3" s="63">
        <v>0.09</v>
      </c>
      <c r="J3" s="100">
        <v>1.67</v>
      </c>
      <c r="K3" s="110" t="s">
        <v>130</v>
      </c>
      <c r="L3" s="111">
        <v>0</v>
      </c>
      <c r="M3" s="114">
        <f>Tabel8[[#This Row],[Prijs incl. btw]]*(1-Tabel8[[#This Row],[Korting %]])</f>
        <v>1.67</v>
      </c>
    </row>
    <row r="4" spans="1:13" x14ac:dyDescent="0.3">
      <c r="A4" s="58" t="s">
        <v>121</v>
      </c>
      <c r="B4" s="58" t="s">
        <v>139</v>
      </c>
      <c r="C4" s="58"/>
      <c r="D4" s="58" t="s">
        <v>123</v>
      </c>
      <c r="E4" s="9" t="s">
        <v>60</v>
      </c>
      <c r="F4" s="58" t="s">
        <v>119</v>
      </c>
      <c r="G4" s="58" t="s">
        <v>190</v>
      </c>
      <c r="H4" s="98">
        <f>Tabel8[[#This Row],[Prijs incl. btw]]/(1+Tabel8[[#This Row],[BTW %]])/1</f>
        <v>1.5321100917431192</v>
      </c>
      <c r="I4" s="63">
        <v>0.09</v>
      </c>
      <c r="J4" s="100">
        <v>1.67</v>
      </c>
      <c r="K4" s="110" t="s">
        <v>130</v>
      </c>
      <c r="L4" s="111">
        <v>0</v>
      </c>
      <c r="M4" s="114">
        <f>Tabel8[[#This Row],[Prijs incl. btw]]*(1-Tabel8[[#This Row],[Korting %]])</f>
        <v>1.67</v>
      </c>
    </row>
    <row r="5" spans="1:13" x14ac:dyDescent="0.3">
      <c r="A5" s="58" t="s">
        <v>121</v>
      </c>
      <c r="B5" s="58" t="s">
        <v>139</v>
      </c>
      <c r="C5" s="58"/>
      <c r="D5" s="58" t="s">
        <v>118</v>
      </c>
      <c r="E5" s="9" t="s">
        <v>128</v>
      </c>
      <c r="F5" s="58" t="s">
        <v>119</v>
      </c>
      <c r="G5" s="58" t="s">
        <v>190</v>
      </c>
      <c r="H5" s="98">
        <f>Tabel8[[#This Row],[Prijs incl. btw]]/(1+Tabel8[[#This Row],[BTW %]])/1</f>
        <v>1.5321100917431192</v>
      </c>
      <c r="I5" s="63">
        <v>0.09</v>
      </c>
      <c r="J5" s="100">
        <v>1.67</v>
      </c>
      <c r="K5" s="110" t="s">
        <v>130</v>
      </c>
      <c r="L5" s="111">
        <v>0</v>
      </c>
      <c r="M5" s="114">
        <f>Tabel8[[#This Row],[Prijs incl. btw]]*(1-Tabel8[[#This Row],[Korting %]])</f>
        <v>1.67</v>
      </c>
    </row>
    <row r="6" spans="1:13" x14ac:dyDescent="0.3">
      <c r="A6" s="58" t="s">
        <v>182</v>
      </c>
      <c r="B6" s="58" t="s">
        <v>139</v>
      </c>
      <c r="C6" s="58"/>
      <c r="D6" s="58" t="s">
        <v>125</v>
      </c>
      <c r="E6" s="9" t="s">
        <v>128</v>
      </c>
      <c r="F6" s="58" t="s">
        <v>119</v>
      </c>
      <c r="G6" s="58" t="s">
        <v>122</v>
      </c>
      <c r="H6" s="98">
        <f>Tabel8[[#This Row],[Prijs incl. btw]]/(1+Tabel8[[#This Row],[BTW %]])/1</f>
        <v>2.5779816513761467</v>
      </c>
      <c r="I6" s="63">
        <v>0.09</v>
      </c>
      <c r="J6" s="100">
        <v>2.81</v>
      </c>
      <c r="K6" s="110" t="s">
        <v>130</v>
      </c>
      <c r="L6" s="111">
        <v>0</v>
      </c>
      <c r="M6" s="114">
        <f>Tabel8[[#This Row],[Prijs incl. btw]]*(1-Tabel8[[#This Row],[Korting %]])</f>
        <v>2.81</v>
      </c>
    </row>
    <row r="7" spans="1:13" x14ac:dyDescent="0.3">
      <c r="A7" s="58" t="s">
        <v>182</v>
      </c>
      <c r="B7" s="58" t="s">
        <v>139</v>
      </c>
      <c r="C7" s="58"/>
      <c r="D7" s="58" t="s">
        <v>125</v>
      </c>
      <c r="E7" s="9" t="s">
        <v>128</v>
      </c>
      <c r="F7" s="58" t="s">
        <v>119</v>
      </c>
      <c r="G7" s="58" t="s">
        <v>191</v>
      </c>
      <c r="H7" s="98">
        <f>Tabel8[[#This Row],[Prijs incl. btw]]/(1+Tabel8[[#This Row],[BTW %]])/1</f>
        <v>2.5412844036697244</v>
      </c>
      <c r="I7" s="63">
        <v>0.09</v>
      </c>
      <c r="J7" s="100">
        <v>2.77</v>
      </c>
      <c r="K7" s="110" t="s">
        <v>130</v>
      </c>
      <c r="L7" s="111">
        <v>0</v>
      </c>
      <c r="M7" s="114">
        <f>Tabel8[[#This Row],[Prijs incl. btw]]*(1-Tabel8[[#This Row],[Korting %]])</f>
        <v>2.77</v>
      </c>
    </row>
    <row r="8" spans="1:13" x14ac:dyDescent="0.3">
      <c r="A8" s="58" t="s">
        <v>182</v>
      </c>
      <c r="B8" s="58" t="s">
        <v>139</v>
      </c>
      <c r="C8" s="58"/>
      <c r="D8" s="58" t="s">
        <v>123</v>
      </c>
      <c r="E8" s="9" t="s">
        <v>128</v>
      </c>
      <c r="F8" s="58" t="s">
        <v>119</v>
      </c>
      <c r="G8" s="58" t="s">
        <v>122</v>
      </c>
      <c r="H8" s="98">
        <f>Tabel8[[#This Row],[Prijs incl. btw]]/(1+Tabel8[[#This Row],[BTW %]])/1</f>
        <v>2.5779816513761467</v>
      </c>
      <c r="I8" s="63">
        <v>0.09</v>
      </c>
      <c r="J8" s="100">
        <v>2.81</v>
      </c>
      <c r="K8" s="110" t="s">
        <v>130</v>
      </c>
      <c r="L8" s="111">
        <v>0</v>
      </c>
      <c r="M8" s="114">
        <f>Tabel8[[#This Row],[Prijs incl. btw]]*(1-Tabel8[[#This Row],[Korting %]])</f>
        <v>2.81</v>
      </c>
    </row>
    <row r="9" spans="1:13" x14ac:dyDescent="0.3">
      <c r="A9" s="58" t="s">
        <v>182</v>
      </c>
      <c r="B9" s="58" t="s">
        <v>139</v>
      </c>
      <c r="C9" s="58"/>
      <c r="D9" s="58" t="s">
        <v>124</v>
      </c>
      <c r="E9" s="9" t="s">
        <v>60</v>
      </c>
      <c r="F9" s="58" t="s">
        <v>119</v>
      </c>
      <c r="G9" s="58" t="s">
        <v>191</v>
      </c>
      <c r="H9" s="98">
        <f>Tabel8[[#This Row],[Prijs incl. btw]]/(1+Tabel8[[#This Row],[BTW %]])/1</f>
        <v>2.5412844036697244</v>
      </c>
      <c r="I9" s="63">
        <v>0.09</v>
      </c>
      <c r="J9" s="100">
        <v>2.77</v>
      </c>
      <c r="K9" s="110" t="s">
        <v>130</v>
      </c>
      <c r="L9" s="111">
        <v>0</v>
      </c>
      <c r="M9" s="114">
        <f>Tabel8[[#This Row],[Prijs incl. btw]]*(1-Tabel8[[#This Row],[Korting %]])</f>
        <v>2.77</v>
      </c>
    </row>
    <row r="10" spans="1:13" x14ac:dyDescent="0.3">
      <c r="A10" s="58" t="s">
        <v>182</v>
      </c>
      <c r="B10" s="58" t="s">
        <v>139</v>
      </c>
      <c r="C10" s="58"/>
      <c r="D10" s="58" t="s">
        <v>118</v>
      </c>
      <c r="E10" s="9" t="s">
        <v>128</v>
      </c>
      <c r="F10" s="58" t="s">
        <v>119</v>
      </c>
      <c r="G10" s="58" t="s">
        <v>122</v>
      </c>
      <c r="H10" s="98">
        <f>Tabel8[[#This Row],[Prijs incl. btw]]/(1+Tabel8[[#This Row],[BTW %]])/1</f>
        <v>2.5779816513761467</v>
      </c>
      <c r="I10" s="63">
        <v>0.09</v>
      </c>
      <c r="J10" s="100">
        <v>2.81</v>
      </c>
      <c r="K10" s="110" t="s">
        <v>130</v>
      </c>
      <c r="L10" s="111">
        <v>0</v>
      </c>
      <c r="M10" s="114">
        <f>Tabel8[[#This Row],[Prijs incl. btw]]*(1-Tabel8[[#This Row],[Korting %]])</f>
        <v>2.81</v>
      </c>
    </row>
    <row r="11" spans="1:13" x14ac:dyDescent="0.3">
      <c r="A11" s="58" t="s">
        <v>182</v>
      </c>
      <c r="B11" s="58" t="s">
        <v>139</v>
      </c>
      <c r="C11" s="58"/>
      <c r="D11" s="58" t="s">
        <v>118</v>
      </c>
      <c r="E11" s="9" t="s">
        <v>60</v>
      </c>
      <c r="F11" s="58" t="s">
        <v>119</v>
      </c>
      <c r="G11" s="58" t="s">
        <v>122</v>
      </c>
      <c r="H11" s="98">
        <f>Tabel8[[#This Row],[Prijs incl. btw]]/(1+Tabel8[[#This Row],[BTW %]])/1</f>
        <v>2.5779816513761467</v>
      </c>
      <c r="I11" s="63">
        <v>0.09</v>
      </c>
      <c r="J11" s="100">
        <v>2.81</v>
      </c>
      <c r="K11" s="110" t="s">
        <v>130</v>
      </c>
      <c r="L11" s="111">
        <v>0</v>
      </c>
      <c r="M11" s="114">
        <f>Tabel8[[#This Row],[Prijs incl. btw]]*(1-Tabel8[[#This Row],[Korting %]])</f>
        <v>2.81</v>
      </c>
    </row>
    <row r="12" spans="1:13" x14ac:dyDescent="0.3">
      <c r="A12" s="58" t="s">
        <v>182</v>
      </c>
      <c r="B12" s="58" t="s">
        <v>139</v>
      </c>
      <c r="C12" s="58"/>
      <c r="D12" s="58" t="s">
        <v>125</v>
      </c>
      <c r="E12" s="9" t="s">
        <v>60</v>
      </c>
      <c r="F12" s="58" t="s">
        <v>122</v>
      </c>
      <c r="G12" s="58" t="s">
        <v>119</v>
      </c>
      <c r="H12" s="98">
        <f>Tabel8[[#This Row],[Prijs incl. btw]]/(1+Tabel8[[#This Row],[BTW %]])/1</f>
        <v>2.5779816513761467</v>
      </c>
      <c r="I12" s="63">
        <v>0.09</v>
      </c>
      <c r="J12" s="100">
        <v>2.81</v>
      </c>
      <c r="K12" s="110" t="s">
        <v>130</v>
      </c>
      <c r="L12" s="111">
        <v>0</v>
      </c>
      <c r="M12" s="114">
        <f>Tabel8[[#This Row],[Prijs incl. btw]]*(1-Tabel8[[#This Row],[Korting %]])</f>
        <v>2.81</v>
      </c>
    </row>
    <row r="13" spans="1:13" x14ac:dyDescent="0.3">
      <c r="A13" s="58" t="s">
        <v>182</v>
      </c>
      <c r="B13" s="58" t="s">
        <v>139</v>
      </c>
      <c r="C13" s="58"/>
      <c r="D13" s="58" t="s">
        <v>123</v>
      </c>
      <c r="E13" s="9" t="s">
        <v>129</v>
      </c>
      <c r="F13" s="58" t="s">
        <v>191</v>
      </c>
      <c r="G13" s="58" t="s">
        <v>119</v>
      </c>
      <c r="H13" s="98">
        <f>Tabel8[[#This Row],[Prijs incl. btw]]/(1+Tabel8[[#This Row],[BTW %]])/1</f>
        <v>2.5412844036697244</v>
      </c>
      <c r="I13" s="63">
        <v>0.09</v>
      </c>
      <c r="J13" s="100">
        <v>2.77</v>
      </c>
      <c r="K13" s="110" t="s">
        <v>130</v>
      </c>
      <c r="L13" s="111">
        <v>0</v>
      </c>
      <c r="M13" s="114">
        <f>Tabel8[[#This Row],[Prijs incl. btw]]*(1-Tabel8[[#This Row],[Korting %]])</f>
        <v>2.77</v>
      </c>
    </row>
    <row r="14" spans="1:13" x14ac:dyDescent="0.3">
      <c r="A14" s="58" t="s">
        <v>182</v>
      </c>
      <c r="B14" s="58" t="s">
        <v>139</v>
      </c>
      <c r="C14" s="58"/>
      <c r="D14" s="58" t="s">
        <v>123</v>
      </c>
      <c r="E14" s="9" t="s">
        <v>129</v>
      </c>
      <c r="F14" s="58" t="s">
        <v>191</v>
      </c>
      <c r="G14" s="58" t="s">
        <v>119</v>
      </c>
      <c r="H14" s="98">
        <f>Tabel8[[#This Row],[Prijs incl. btw]]/(1+Tabel8[[#This Row],[BTW %]])/1</f>
        <v>2.5412844036697244</v>
      </c>
      <c r="I14" s="63">
        <v>0.09</v>
      </c>
      <c r="J14" s="100">
        <v>2.77</v>
      </c>
      <c r="K14" s="110" t="s">
        <v>130</v>
      </c>
      <c r="L14" s="111">
        <v>0</v>
      </c>
      <c r="M14" s="114">
        <f>Tabel8[[#This Row],[Prijs incl. btw]]*(1-Tabel8[[#This Row],[Korting %]])</f>
        <v>2.77</v>
      </c>
    </row>
    <row r="15" spans="1:13" x14ac:dyDescent="0.3">
      <c r="A15" s="58" t="s">
        <v>182</v>
      </c>
      <c r="B15" s="58" t="s">
        <v>139</v>
      </c>
      <c r="C15" s="58"/>
      <c r="D15" s="58" t="s">
        <v>124</v>
      </c>
      <c r="E15" s="9" t="s">
        <v>129</v>
      </c>
      <c r="F15" s="58" t="s">
        <v>191</v>
      </c>
      <c r="G15" s="58" t="s">
        <v>119</v>
      </c>
      <c r="H15" s="98">
        <f>Tabel8[[#This Row],[Prijs incl. btw]]/(1+Tabel8[[#This Row],[BTW %]])/1</f>
        <v>2.5412844036697244</v>
      </c>
      <c r="I15" s="63">
        <v>0.09</v>
      </c>
      <c r="J15" s="100">
        <v>2.77</v>
      </c>
      <c r="K15" s="110" t="s">
        <v>130</v>
      </c>
      <c r="L15" s="111">
        <v>0</v>
      </c>
      <c r="M15" s="114">
        <f>Tabel8[[#This Row],[Prijs incl. btw]]*(1-Tabel8[[#This Row],[Korting %]])</f>
        <v>2.77</v>
      </c>
    </row>
    <row r="16" spans="1:13" x14ac:dyDescent="0.3">
      <c r="A16" s="58" t="s">
        <v>182</v>
      </c>
      <c r="B16" s="58" t="s">
        <v>139</v>
      </c>
      <c r="C16" s="58"/>
      <c r="D16" s="58" t="s">
        <v>124</v>
      </c>
      <c r="E16" s="9" t="s">
        <v>128</v>
      </c>
      <c r="F16" s="58" t="s">
        <v>119</v>
      </c>
      <c r="G16" s="58" t="s">
        <v>191</v>
      </c>
      <c r="H16" s="98">
        <f>Tabel8[[#This Row],[Prijs incl. btw]]/(1+Tabel8[[#This Row],[BTW %]])/1</f>
        <v>2.5412844036697244</v>
      </c>
      <c r="I16" s="63">
        <v>0.09</v>
      </c>
      <c r="J16" s="100">
        <v>2.77</v>
      </c>
      <c r="K16" s="110" t="s">
        <v>130</v>
      </c>
      <c r="L16" s="111">
        <v>0</v>
      </c>
      <c r="M16" s="114">
        <f>Tabel8[[#This Row],[Prijs incl. btw]]*(1-Tabel8[[#This Row],[Korting %]])</f>
        <v>2.77</v>
      </c>
    </row>
    <row r="17" spans="1:13" x14ac:dyDescent="0.3">
      <c r="A17" s="58" t="s">
        <v>182</v>
      </c>
      <c r="B17" s="58" t="s">
        <v>139</v>
      </c>
      <c r="C17" s="58"/>
      <c r="D17" s="58" t="s">
        <v>118</v>
      </c>
      <c r="E17" s="9" t="s">
        <v>129</v>
      </c>
      <c r="F17" s="58" t="s">
        <v>190</v>
      </c>
      <c r="G17" s="58" t="s">
        <v>119</v>
      </c>
      <c r="H17" s="98">
        <f>Tabel8[[#This Row],[Prijs incl. btw]]/(1+Tabel8[[#This Row],[BTW %]])/1</f>
        <v>1.5321100917431192</v>
      </c>
      <c r="I17" s="63">
        <v>0.09</v>
      </c>
      <c r="J17" s="100">
        <v>1.67</v>
      </c>
      <c r="K17" s="110" t="s">
        <v>130</v>
      </c>
      <c r="L17" s="111">
        <v>0</v>
      </c>
      <c r="M17" s="114">
        <f>Tabel8[[#This Row],[Prijs incl. btw]]*(1-Tabel8[[#This Row],[Korting %]])</f>
        <v>1.67</v>
      </c>
    </row>
    <row r="18" spans="1:13" x14ac:dyDescent="0.3">
      <c r="A18" s="58" t="s">
        <v>182</v>
      </c>
      <c r="B18" s="58" t="s">
        <v>139</v>
      </c>
      <c r="C18" s="58"/>
      <c r="D18" s="58" t="s">
        <v>126</v>
      </c>
      <c r="E18" s="9" t="s">
        <v>129</v>
      </c>
      <c r="F18" s="58" t="s">
        <v>190</v>
      </c>
      <c r="G18" s="58" t="s">
        <v>119</v>
      </c>
      <c r="H18" s="98">
        <f>Tabel8[[#This Row],[Prijs incl. btw]]/(1+Tabel8[[#This Row],[BTW %]])/1</f>
        <v>1.5321100917431192</v>
      </c>
      <c r="I18" s="63">
        <v>0.09</v>
      </c>
      <c r="J18" s="100">
        <v>1.67</v>
      </c>
      <c r="K18" s="110" t="s">
        <v>130</v>
      </c>
      <c r="L18" s="111">
        <v>0</v>
      </c>
      <c r="M18" s="114">
        <f>Tabel8[[#This Row],[Prijs incl. btw]]*(1-Tabel8[[#This Row],[Korting %]])</f>
        <v>1.67</v>
      </c>
    </row>
    <row r="19" spans="1:13" x14ac:dyDescent="0.3">
      <c r="A19" s="58" t="s">
        <v>182</v>
      </c>
      <c r="B19" s="58" t="s">
        <v>139</v>
      </c>
      <c r="C19" s="58"/>
      <c r="D19" s="58" t="s">
        <v>126</v>
      </c>
      <c r="E19" s="9" t="s">
        <v>60</v>
      </c>
      <c r="F19" s="58" t="s">
        <v>190</v>
      </c>
      <c r="G19" s="58" t="s">
        <v>119</v>
      </c>
      <c r="H19" s="98">
        <f>Tabel8[[#This Row],[Prijs incl. btw]]/(1+Tabel8[[#This Row],[BTW %]])/1</f>
        <v>1.5321100917431192</v>
      </c>
      <c r="I19" s="63">
        <v>0.09</v>
      </c>
      <c r="J19" s="100">
        <v>1.67</v>
      </c>
      <c r="K19" s="110" t="s">
        <v>130</v>
      </c>
      <c r="L19" s="111">
        <v>0</v>
      </c>
      <c r="M19" s="114">
        <f>Tabel8[[#This Row],[Prijs incl. btw]]*(1-Tabel8[[#This Row],[Korting %]])</f>
        <v>1.67</v>
      </c>
    </row>
    <row r="20" spans="1:13" x14ac:dyDescent="0.3">
      <c r="A20" s="70" t="s">
        <v>58</v>
      </c>
      <c r="B20" s="81"/>
      <c r="C20" s="81"/>
      <c r="D20" s="164"/>
      <c r="E20" s="164"/>
      <c r="F20" s="164"/>
      <c r="G20" s="164"/>
      <c r="H20" s="82">
        <f>SUM(Tabel8[Prijs excl. btw])</f>
        <v>38.862385321100916</v>
      </c>
      <c r="I20" s="81"/>
      <c r="J20" s="82">
        <f>SUM(Tabel8[Prijs incl. btw])</f>
        <v>42.360000000000007</v>
      </c>
      <c r="K20" s="165" t="s">
        <v>151</v>
      </c>
      <c r="L20" s="165"/>
      <c r="M20" s="82">
        <f>SUM(Tabel8[Prijs incl. btw -/- korting])</f>
        <v>42.360000000000007</v>
      </c>
    </row>
    <row r="22" spans="1:13" x14ac:dyDescent="0.3">
      <c r="A22" s="70" t="s">
        <v>25</v>
      </c>
      <c r="B22" s="70" t="s">
        <v>132</v>
      </c>
      <c r="C22" s="70" t="s">
        <v>133</v>
      </c>
      <c r="D22" s="58"/>
      <c r="E22" s="58"/>
      <c r="F22" s="58"/>
      <c r="G22" s="58"/>
      <c r="H22" s="58"/>
      <c r="I22" s="58"/>
      <c r="J22" s="58"/>
      <c r="K22" s="58"/>
      <c r="L22" s="58"/>
      <c r="M22" s="58"/>
    </row>
    <row r="23" spans="1:13" x14ac:dyDescent="0.3">
      <c r="A23" s="71" t="s">
        <v>127</v>
      </c>
      <c r="B23" s="110" t="s">
        <v>130</v>
      </c>
      <c r="C23" s="112">
        <v>0</v>
      </c>
      <c r="D23" s="58"/>
      <c r="E23" s="58"/>
      <c r="F23" s="58"/>
      <c r="G23" s="58"/>
      <c r="H23" s="58"/>
      <c r="I23" s="58"/>
      <c r="J23" s="58"/>
      <c r="K23" s="58"/>
      <c r="L23" s="58"/>
      <c r="M23" s="58"/>
    </row>
    <row r="24" spans="1:13" x14ac:dyDescent="0.3">
      <c r="A24" s="71" t="s">
        <v>127</v>
      </c>
      <c r="B24" s="110" t="s">
        <v>130</v>
      </c>
      <c r="C24" s="112">
        <v>0</v>
      </c>
      <c r="D24" s="58"/>
      <c r="E24" s="58"/>
      <c r="F24" s="58"/>
      <c r="G24" s="58"/>
      <c r="H24" s="58"/>
      <c r="I24" s="58"/>
      <c r="J24" s="58"/>
    </row>
    <row r="25" spans="1:13" x14ac:dyDescent="0.3">
      <c r="A25" s="71" t="s">
        <v>127</v>
      </c>
      <c r="B25" s="110" t="s">
        <v>130</v>
      </c>
      <c r="C25" s="112">
        <v>0</v>
      </c>
      <c r="D25" s="58"/>
      <c r="E25" s="58"/>
      <c r="F25" s="58"/>
      <c r="G25" s="58"/>
      <c r="H25" s="58"/>
      <c r="I25" s="58"/>
      <c r="J25" s="58"/>
    </row>
    <row r="26" spans="1:13" x14ac:dyDescent="0.3">
      <c r="A26" s="67" t="s">
        <v>58</v>
      </c>
      <c r="B26" s="72"/>
      <c r="C26" s="73">
        <f>SUM(C23:C25)</f>
        <v>0</v>
      </c>
      <c r="D26" s="58"/>
      <c r="E26" s="58"/>
      <c r="F26" s="58"/>
      <c r="G26" s="58"/>
      <c r="H26" s="58"/>
      <c r="I26" s="58"/>
      <c r="J26" s="58"/>
    </row>
    <row r="27" spans="1:13" x14ac:dyDescent="0.3">
      <c r="A27" s="58"/>
      <c r="B27" s="58"/>
      <c r="C27" s="58"/>
    </row>
    <row r="28" spans="1:13" x14ac:dyDescent="0.3">
      <c r="A28" s="67" t="s">
        <v>222</v>
      </c>
      <c r="B28" s="68"/>
      <c r="C28" s="58"/>
    </row>
    <row r="29" spans="1:13" ht="27" x14ac:dyDescent="0.3">
      <c r="A29" s="74" t="s">
        <v>223</v>
      </c>
      <c r="B29" s="86">
        <f>M20+C26</f>
        <v>42.360000000000007</v>
      </c>
      <c r="C29" s="58"/>
    </row>
    <row r="30" spans="1:13" x14ac:dyDescent="0.3">
      <c r="A30" s="68"/>
      <c r="B30" s="68"/>
      <c r="C30" s="58"/>
    </row>
  </sheetData>
  <sheetProtection algorithmName="SHA-512" hashValue="7v+fX+NL3xMzQfbT8AWV0/TCHWjVqRXyvJnqn+fNf5k5CDxymOfWGWUVAywuf/Z20rcbscBqSal5Q51dMypuWg==" saltValue="/fYX0QQI3r19iCiRADmn+Q==" spinCount="100000" sheet="1" objects="1" scenarios="1"/>
  <mergeCells count="3">
    <mergeCell ref="D20:E20"/>
    <mergeCell ref="F20:G20"/>
    <mergeCell ref="K20:L20"/>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8b42f9-073c-4501-88f1-b29c082ef14f" xsi:nil="true"/>
    <lcf76f155ced4ddcb4097134ff3c332f xmlns="aa3dde5d-d70b-4535-98ed-54b4d24a8381">
      <Terms xmlns="http://schemas.microsoft.com/office/infopath/2007/PartnerControls"/>
    </lcf76f155ced4ddcb4097134ff3c332f>
    <Resultaat xmlns="28349b29-79b2-45aa-b36e-fb891b3ccb4b" xsi:nil="true"/>
    <Procestypenaam xmlns="28349b29-79b2-45aa-b36e-fb891b3ccb4b" xsi:nil="true"/>
    <Bewaartermijn xmlns="28349b29-79b2-45aa-b36e-fb891b3ccb4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33D6E622A41264DBAF162A65D80DAD7" ma:contentTypeVersion="16" ma:contentTypeDescription="Een nieuw document maken." ma:contentTypeScope="" ma:versionID="9837b1f3da061550ccd5bfbd201da107">
  <xsd:schema xmlns:xsd="http://www.w3.org/2001/XMLSchema" xmlns:xs="http://www.w3.org/2001/XMLSchema" xmlns:p="http://schemas.microsoft.com/office/2006/metadata/properties" xmlns:ns2="28349b29-79b2-45aa-b36e-fb891b3ccb4b" xmlns:ns3="aa3dde5d-d70b-4535-98ed-54b4d24a8381" xmlns:ns4="508b42f9-073c-4501-88f1-b29c082ef14f" targetNamespace="http://schemas.microsoft.com/office/2006/metadata/properties" ma:root="true" ma:fieldsID="e32157c5b442913c022441cea548acf2" ns2:_="" ns3:_="" ns4:_="">
    <xsd:import namespace="28349b29-79b2-45aa-b36e-fb891b3ccb4b"/>
    <xsd:import namespace="aa3dde5d-d70b-4535-98ed-54b4d24a8381"/>
    <xsd:import namespace="508b42f9-073c-4501-88f1-b29c082ef14f"/>
    <xsd:element name="properties">
      <xsd:complexType>
        <xsd:sequence>
          <xsd:element name="documentManagement">
            <xsd:complexType>
              <xsd:all>
                <xsd:element ref="ns2:Bewaartermijn" minOccurs="0"/>
                <xsd:element ref="ns2:Procestypenaam" minOccurs="0"/>
                <xsd:element ref="ns2:Resultaat" minOccurs="0"/>
                <xsd:element ref="ns3:lcf76f155ced4ddcb4097134ff3c332f" minOccurs="0"/>
                <xsd:element ref="ns4:TaxCatchAll"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3:MediaLengthInSeconds" minOccurs="0"/>
                <xsd:element ref="ns3:MediaServiceLocation" minOccurs="0"/>
                <xsd:element ref="ns3:MediaServiceObjectDetectorVersions" minOccurs="0"/>
                <xsd:element ref="ns3:MediaServiceSearchPropertie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9b29-79b2-45aa-b36e-fb891b3ccb4b" elementFormDefault="qualified">
    <xsd:import namespace="http://schemas.microsoft.com/office/2006/documentManagement/types"/>
    <xsd:import namespace="http://schemas.microsoft.com/office/infopath/2007/PartnerControls"/>
    <xsd:element name="Bewaartermijn" ma:index="8" nillable="true" ma:displayName="Bewaartermijn" ma:internalName="Bewaartermijn">
      <xsd:simpleType>
        <xsd:restriction base="dms:Choice">
          <xsd:enumeration value="1 jaar"/>
          <xsd:enumeration value="1,5 jaar"/>
          <xsd:enumeration value="10 jaar"/>
          <xsd:enumeration value="11 jaar"/>
          <xsd:enumeration value="110 jaar"/>
          <xsd:enumeration value="12 jaar"/>
          <xsd:enumeration value="15 jaar"/>
          <xsd:enumeration value="16 jaar"/>
          <xsd:enumeration value="19 jaar"/>
          <xsd:enumeration value="2 jaar"/>
          <xsd:enumeration value="20 jaar"/>
          <xsd:enumeration value="21 jaar"/>
          <xsd:enumeration value="3 jaar"/>
          <xsd:enumeration value="4 weken"/>
          <xsd:enumeration value="40 jaar"/>
          <xsd:enumeration value="5 jaar"/>
          <xsd:enumeration value="50 jaar"/>
          <xsd:enumeration value="6 maanden"/>
          <xsd:enumeration value="6 weken"/>
          <xsd:enumeration value="67 jaar"/>
          <xsd:enumeration value="7 jaar"/>
          <xsd:enumeration value="9 maanden"/>
          <xsd:enumeration value="Bewaren"/>
        </xsd:restriction>
      </xsd:simpleType>
    </xsd:element>
    <xsd:element name="Procestypenaam" ma:index="9" nillable="true" ma:displayName="Procestypenaam" ma:internalName="Procestypenaam">
      <xsd:simpleType>
        <xsd:restriction base="dms:Choice">
          <xsd:enumeration value="1. Instellen en inrichten organisatie"/>
          <xsd:enumeration value="2. Beleid en regelgeving opstellen"/>
          <xsd:enumeration value="3. Plannen opstellen"/>
          <xsd:enumeration value="4. Evaluatie uitvoeren"/>
          <xsd:enumeration value="5. Producten en diensten leveren"/>
          <xsd:enumeration value="6. Verzoeken behandelen"/>
          <xsd:enumeration value="7. Aangiften behandelen"/>
          <xsd:enumeration value="8. Voorzieningen verstrekken"/>
          <xsd:enumeration value="9. Status toekennen"/>
          <xsd:enumeration value="10. Heffen"/>
          <xsd:enumeration value="11. Toestemming verlenen"/>
          <xsd:enumeration value="12. Toezien en handhaven"/>
          <xsd:enumeration value="13. Geschillen behandelen"/>
          <xsd:enumeration value="14. Openbare ruimte inrichten"/>
          <xsd:enumeration value="15. Onderhouden en repareren"/>
          <xsd:enumeration value="16. Overeenkomsten aangaan"/>
          <xsd:enumeration value="17. Personenen aanstellen"/>
          <xsd:enumeration value="18. Betalen en innen"/>
          <xsd:enumeration value="19. Secretariaat voeren en gegevens administreren/verwerken"/>
          <xsd:enumeration value="20. Informeren"/>
          <xsd:enumeration value="21. Adviseren"/>
          <xsd:enumeration value="22. Gebeurtenis organiseren"/>
          <xsd:enumeration value="23. Voorziening aanvragen"/>
          <xsd:enumeration value="24. Toestemming vragen"/>
          <xsd:enumeration value="25. Toezicht en handhaving ondergaan"/>
          <xsd:enumeration value="26. Betwisten"/>
          <xsd:enumeration value="27. Status aanvragen"/>
          <xsd:enumeration value="28. Product of dienst aanvragen"/>
          <xsd:enumeration value="29. Aangifte doen"/>
        </xsd:restriction>
      </xsd:simpleType>
    </xsd:element>
    <xsd:element name="Resultaat" ma:index="10" nillable="true" ma:displayName="Resultaat" ma:internalName="Resultaat">
      <xsd:simpleType>
        <xsd:restriction base="dms:Choice">
          <xsd:enumeration value="Aangegaan"/>
          <xsd:enumeration value="Aangesteld"/>
          <xsd:enumeration value="Afgebroken"/>
          <xsd:enumeration value="Afgehandeld"/>
          <xsd:enumeration value="Afgewezen"/>
          <xsd:enumeration value="Beëindigd"/>
          <xsd:enumeration value="Betaald"/>
          <xsd:enumeration value="Geïnd"/>
          <xsd:enumeration value="Geleverd"/>
          <xsd:enumeration value="Geweigerd"/>
          <xsd:enumeration value="Gewijzigd"/>
          <xsd:enumeration value="Uitgevoerd"/>
          <xsd:enumeration value="Ingericht"/>
          <xsd:enumeration value="Ingesteld"/>
          <xsd:enumeration value="Ingetrokken"/>
          <xsd:enumeration value="Ingewilligd"/>
          <xsd:enumeration value="Niet aangesteld"/>
          <xsd:enumeration value="Niet betaald"/>
          <xsd:enumeration value="Niet doorgegaan"/>
          <xsd:enumeration value="Niet geïnd"/>
          <xsd:enumeration value="Niet geleverd"/>
          <xsd:enumeration value="Niet gewijzigd"/>
          <xsd:enumeration value="Niet opgelegd"/>
          <xsd:enumeration value="Niet toegekend"/>
          <xsd:enumeration value="Niet uitgevoerd"/>
          <xsd:enumeration value="Niet vastgesteld"/>
          <xsd:enumeration value="Niet verkregen"/>
          <xsd:enumeration value="Niet verstrekt"/>
          <xsd:enumeration value="Niet verwerkt"/>
          <xsd:enumeration value="Opgeheven"/>
          <xsd:enumeration value="Opgelegd"/>
          <xsd:enumeration value="Toegekend"/>
          <xsd:enumeration value="Uitgevoerd"/>
          <xsd:enumeration value="Vastgesteld"/>
          <xsd:enumeration value="Verkregen"/>
          <xsd:enumeration value="Verleend"/>
          <xsd:enumeration value="Verstrekt"/>
          <xsd:enumeration value="Verwerkt"/>
        </xsd:restriction>
      </xsd:simpleType>
    </xsd:element>
  </xsd:schema>
  <xsd:schema xmlns:xsd="http://www.w3.org/2001/XMLSchema" xmlns:xs="http://www.w3.org/2001/XMLSchema" xmlns:dms="http://schemas.microsoft.com/office/2006/documentManagement/types" xmlns:pc="http://schemas.microsoft.com/office/infopath/2007/PartnerControls" targetNamespace="aa3dde5d-d70b-4535-98ed-54b4d24a8381"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b86d5498-23a0-42a0-876b-b3c9112a049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8b42f9-073c-4501-88f1-b29c082ef1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d581f60-9e4d-4e6f-84d0-fe3f6979e6a7}" ma:internalName="TaxCatchAll" ma:showField="CatchAllData" ma:web="508b42f9-073c-4501-88f1-b29c082ef1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86d5498-23a0-42a0-876b-b3c9112a049c" ContentTypeId="0x0101" PreviousValue="false"/>
</file>

<file path=customXml/itemProps1.xml><?xml version="1.0" encoding="utf-8"?>
<ds:datastoreItem xmlns:ds="http://schemas.openxmlformats.org/officeDocument/2006/customXml" ds:itemID="{FC5321D4-88B4-444F-B637-A071FFF07D05}">
  <ds:schemaRefs>
    <ds:schemaRef ds:uri="aa3dde5d-d70b-4535-98ed-54b4d24a8381"/>
    <ds:schemaRef ds:uri="http://purl.org/dc/terms/"/>
    <ds:schemaRef ds:uri="http://schemas.microsoft.com/office/2006/documentManagement/types"/>
    <ds:schemaRef ds:uri="508b42f9-073c-4501-88f1-b29c082ef14f"/>
    <ds:schemaRef ds:uri="http://schemas.microsoft.com/office/infopath/2007/PartnerControls"/>
    <ds:schemaRef ds:uri="http://www.w3.org/XML/1998/namespace"/>
    <ds:schemaRef ds:uri="http://schemas.microsoft.com/office/2006/metadata/properties"/>
    <ds:schemaRef ds:uri="http://purl.org/dc/elements/1.1/"/>
    <ds:schemaRef ds:uri="http://schemas.openxmlformats.org/package/2006/metadata/core-properties"/>
    <ds:schemaRef ds:uri="28349b29-79b2-45aa-b36e-fb891b3ccb4b"/>
    <ds:schemaRef ds:uri="http://purl.org/dc/dcmitype/"/>
  </ds:schemaRefs>
</ds:datastoreItem>
</file>

<file path=customXml/itemProps2.xml><?xml version="1.0" encoding="utf-8"?>
<ds:datastoreItem xmlns:ds="http://schemas.openxmlformats.org/officeDocument/2006/customXml" ds:itemID="{1A848EC1-55C2-4579-977F-C0BAB11B2C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9b29-79b2-45aa-b36e-fb891b3ccb4b"/>
    <ds:schemaRef ds:uri="aa3dde5d-d70b-4535-98ed-54b4d24a8381"/>
    <ds:schemaRef ds:uri="508b42f9-073c-4501-88f1-b29c082e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2FC344-F48B-4FCF-9BC5-E642300C069C}">
  <ds:schemaRefs>
    <ds:schemaRef ds:uri="http://schemas.microsoft.com/sharepoint/v3/contenttype/forms"/>
  </ds:schemaRefs>
</ds:datastoreItem>
</file>

<file path=customXml/itemProps4.xml><?xml version="1.0" encoding="utf-8"?>
<ds:datastoreItem xmlns:ds="http://schemas.openxmlformats.org/officeDocument/2006/customXml" ds:itemID="{92AE1C8D-AE71-452F-BEB8-2238C6981B7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Instructies</vt:lpstr>
      <vt:lpstr>Reisdata</vt:lpstr>
      <vt:lpstr>Inschrijfbiljet</vt:lpstr>
      <vt:lpstr>Gebruiker 1 (Uitvoerend)</vt:lpstr>
      <vt:lpstr>Gebruiker 2 (Kantoor)</vt:lpstr>
      <vt:lpstr>Gebruiker 3 (Beleidsmdw)</vt:lpstr>
      <vt:lpstr>Gebruiker 4 (Hybride kantoor)</vt:lpstr>
      <vt:lpstr>Gebruiker 5 (Parttime-flexibel)</vt:lpstr>
      <vt:lpstr>Gebruiker 6 (Regionaal)</vt:lpstr>
      <vt:lpstr>Kortingen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Lorenzo de Jonge</cp:lastModifiedBy>
  <cp:revision/>
  <dcterms:created xsi:type="dcterms:W3CDTF">2025-02-19T13:08:18Z</dcterms:created>
  <dcterms:modified xsi:type="dcterms:W3CDTF">2026-06-05T06:35:32Z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0x010100233D6E622A41264DBAF162A65D80DAD7</vt:lpwstr>
  </property>
  <property fmtid="{D5CDD505-2E9C-101B-9397-08002B2CF9AE}" pid="3" name="MediaServiceImageTags">
    <vt:lpwstr/>
  </property>
</Properties>
</file>