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2.xml" ContentType="application/vnd.openxmlformats-officedocument.drawingml.chart+xml"/>
  <Override PartName="/xl/drawings/drawing1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hetkadaster.sharepoint.com/sites/DGV-T-ProjectKITA-DWP-KadasterIntern/Shared Documents/Kadaster Intern/000 her-aanbesteding DWP/04 EA documenten/BD en Bijlagen/Publicatie TenderNed alleen voor Irma en Niels/gecorrigeerde documenten nav NVI2/"/>
    </mc:Choice>
  </mc:AlternateContent>
  <xr:revisionPtr revIDLastSave="106" documentId="13_ncr:1_{41B16AE8-4206-44AD-8363-40964F6DFCD5}" xr6:coauthVersionLast="47" xr6:coauthVersionMax="47" xr10:uidLastSave="{2FBA694D-233E-4AB5-BE15-6B8AB28FCA6B}"/>
  <workbookProtection workbookAlgorithmName="SHA-512" workbookHashValue="rNHJ65sxgajZ4k6m8oKTi6uFrMMvvYQBC0W1/LqbLBM6hdimppAKKqdTCFAR5PnRjQYIT0wwCKtCr4QvUW4FRA==" workbookSaltValue="I7r9VWCOa/KuZmOtq5rCww==" workbookSpinCount="100000" lockStructure="1"/>
  <bookViews>
    <workbookView xWindow="28680" yWindow="-120" windowWidth="29040" windowHeight="15720" tabRatio="795" firstSheet="3" activeTab="8" xr2:uid="{00000000-000D-0000-FFFF-FFFF00000000}"/>
  </bookViews>
  <sheets>
    <sheet name="Samenvatting" sheetId="14" r:id="rId1"/>
    <sheet name="PvEW" sheetId="1" r:id="rId2"/>
    <sheet name="Werkplek" sheetId="2" r:id="rId3"/>
    <sheet name="Telecom" sheetId="3" r:id="rId4"/>
    <sheet name="Printing" sheetId="4" r:id="rId5"/>
    <sheet name="KA Apps" sheetId="5" r:id="rId6"/>
    <sheet name="App Portaal" sheetId="12" r:id="rId7"/>
    <sheet name="Virtuele WPL" sheetId="11" r:id="rId8"/>
    <sheet name="M365 apps" sheetId="6" r:id="rId9"/>
    <sheet name="VIP support" sheetId="7" r:id="rId10"/>
    <sheet name="Aanschaf" sheetId="9" r:id="rId11"/>
    <sheet name="Consultancy" sheetId="10" r:id="rId12"/>
    <sheet name="Opleiding" sheetId="15" r:id="rId13"/>
    <sheet name="Transitie" sheetId="8" r:id="rId14"/>
    <sheet name="BPK-Grafiek" sheetId="16" r:id="rId15"/>
    <sheet name="DATA" sheetId="17" state="hidden" r:id="rId16"/>
  </sheets>
  <externalReferences>
    <externalReference r:id="rId17"/>
    <externalReference r:id="rId18"/>
  </externalReferences>
  <definedNames>
    <definedName name="_AMO_UniqueIdentifier" hidden="1">"'a8b43c25-150a-4d84-a538-779f9bcc13c1'"</definedName>
    <definedName name="LAQ">[1]Superformule!$K$22</definedName>
    <definedName name="maand">'[2]Klopt dit'!$J$1</definedName>
    <definedName name="Spreiding">Consultancy!$C$52</definedName>
    <definedName name="Staffel1">#REF!</definedName>
    <definedName name="staffel2">#REF!</definedName>
    <definedName name="staffel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2" l="1"/>
  <c r="H24" i="15"/>
  <c r="H21" i="15"/>
  <c r="H18" i="15"/>
  <c r="J56" i="2"/>
  <c r="J38" i="2"/>
  <c r="I15" i="4" l="1"/>
  <c r="I16" i="4"/>
  <c r="I17" i="4"/>
  <c r="I18" i="4"/>
  <c r="I19" i="4"/>
  <c r="I14" i="4"/>
  <c r="H15" i="2"/>
  <c r="I19" i="15"/>
  <c r="J19" i="15" s="1"/>
  <c r="K19" i="15" s="1"/>
  <c r="L19" i="15" s="1"/>
  <c r="M19" i="15" s="1"/>
  <c r="I25" i="15"/>
  <c r="J25" i="15" s="1"/>
  <c r="K25" i="15" s="1"/>
  <c r="L25" i="15" s="1"/>
  <c r="M25" i="15" s="1"/>
  <c r="I22" i="15"/>
  <c r="J22" i="15" s="1"/>
  <c r="K22" i="15" s="1"/>
  <c r="L22" i="15" s="1"/>
  <c r="M22" i="15" s="1"/>
  <c r="K18" i="12"/>
  <c r="I24" i="15"/>
  <c r="J24" i="15" s="1"/>
  <c r="K24" i="15" s="1"/>
  <c r="L24" i="15" s="1"/>
  <c r="M24" i="15" s="1"/>
  <c r="I21" i="15"/>
  <c r="J21" i="15" s="1"/>
  <c r="K21" i="15" s="1"/>
  <c r="L21" i="15" s="1"/>
  <c r="M21" i="15" s="1"/>
  <c r="I18" i="15"/>
  <c r="J18" i="15" s="1"/>
  <c r="K18" i="15" s="1"/>
  <c r="L18" i="15" s="1"/>
  <c r="M18" i="15" s="1"/>
  <c r="C40" i="14"/>
  <c r="C35" i="8"/>
  <c r="F12" i="16"/>
  <c r="G12" i="16"/>
  <c r="G13" i="16"/>
  <c r="F14" i="16"/>
  <c r="D7" i="17" s="1"/>
  <c r="F19" i="16"/>
  <c r="F21" i="16" s="1"/>
  <c r="G21" i="16" s="1"/>
  <c r="F20" i="16"/>
  <c r="E16" i="16" s="1"/>
  <c r="F82" i="16"/>
  <c r="L29" i="15" l="1"/>
  <c r="M29" i="15" s="1"/>
  <c r="G14" i="16"/>
  <c r="G19" i="16"/>
  <c r="G20" i="16"/>
  <c r="F7" i="17"/>
  <c r="F46" i="14"/>
  <c r="F10" i="7"/>
  <c r="F12" i="7" s="1"/>
  <c r="F13" i="7" s="1"/>
  <c r="I22" i="4"/>
  <c r="K22" i="4" s="1"/>
  <c r="I23" i="4"/>
  <c r="I24" i="4"/>
  <c r="I21" i="4"/>
  <c r="K21" i="4" s="1"/>
  <c r="K20" i="6"/>
  <c r="K21" i="6"/>
  <c r="K15" i="12"/>
  <c r="M15" i="12" s="1"/>
  <c r="K16" i="12"/>
  <c r="M16" i="12" s="1"/>
  <c r="K14" i="12"/>
  <c r="M14" i="12" s="1"/>
  <c r="C46" i="14"/>
  <c r="C42" i="14"/>
  <c r="C38" i="14"/>
  <c r="C36" i="14"/>
  <c r="G22" i="6"/>
  <c r="K22" i="6" s="1"/>
  <c r="G21" i="6"/>
  <c r="G19" i="6"/>
  <c r="K19" i="6" s="1"/>
  <c r="G18" i="6"/>
  <c r="K18" i="6" s="1"/>
  <c r="G20" i="6"/>
  <c r="G17" i="6"/>
  <c r="K17" i="6" s="1"/>
  <c r="G16" i="6"/>
  <c r="K16" i="6" s="1"/>
  <c r="G15" i="6"/>
  <c r="K15" i="6" s="1"/>
  <c r="G14" i="6"/>
  <c r="K14" i="6" s="1"/>
  <c r="G20" i="11"/>
  <c r="I20" i="11" s="1"/>
  <c r="G18" i="11"/>
  <c r="I18" i="11" s="1"/>
  <c r="G17" i="11"/>
  <c r="I17" i="11" s="1"/>
  <c r="G16" i="11"/>
  <c r="I16" i="11" s="1"/>
  <c r="G15" i="11"/>
  <c r="I15" i="11" s="1"/>
  <c r="G14" i="11"/>
  <c r="I14" i="11" s="1"/>
  <c r="G13" i="11"/>
  <c r="I13" i="11" s="1"/>
  <c r="G13" i="5"/>
  <c r="G15" i="5" s="1"/>
  <c r="G16" i="5" s="1"/>
  <c r="I27" i="4"/>
  <c r="K27" i="4" s="1"/>
  <c r="K24" i="4"/>
  <c r="K23" i="4"/>
  <c r="K18" i="4"/>
  <c r="K17" i="4"/>
  <c r="K14" i="4"/>
  <c r="K19" i="4"/>
  <c r="K16" i="4"/>
  <c r="K15" i="4"/>
  <c r="H25" i="3"/>
  <c r="J25" i="3" s="1"/>
  <c r="H24" i="3"/>
  <c r="J24" i="3" s="1"/>
  <c r="H22" i="3"/>
  <c r="J22" i="3" s="1"/>
  <c r="H21" i="3"/>
  <c r="J21" i="3" s="1"/>
  <c r="H20" i="3"/>
  <c r="J20" i="3" s="1"/>
  <c r="H17" i="3"/>
  <c r="J17" i="3" s="1"/>
  <c r="H16" i="3"/>
  <c r="C26" i="14"/>
  <c r="C25" i="14"/>
  <c r="C24" i="14"/>
  <c r="J15" i="2"/>
  <c r="J55" i="2"/>
  <c r="J54" i="2"/>
  <c r="J53" i="2"/>
  <c r="J52" i="2"/>
  <c r="J51" i="2"/>
  <c r="J50" i="2"/>
  <c r="J49" i="2"/>
  <c r="J48" i="2"/>
  <c r="J47" i="2"/>
  <c r="J46" i="2"/>
  <c r="J45" i="2"/>
  <c r="J44" i="2"/>
  <c r="J43" i="2"/>
  <c r="J42" i="2"/>
  <c r="J41" i="2"/>
  <c r="J37" i="2"/>
  <c r="J36" i="2"/>
  <c r="J35" i="2"/>
  <c r="J34" i="2"/>
  <c r="J33" i="2"/>
  <c r="J32" i="2"/>
  <c r="J31" i="2"/>
  <c r="J30" i="2"/>
  <c r="J29" i="2"/>
  <c r="J28" i="2"/>
  <c r="H21" i="2"/>
  <c r="J21" i="2" s="1"/>
  <c r="H20" i="2"/>
  <c r="J20" i="2" s="1"/>
  <c r="H19" i="2"/>
  <c r="J19" i="2" s="1"/>
  <c r="J16" i="2"/>
  <c r="J25" i="2" s="1"/>
  <c r="G12" i="12"/>
  <c r="M12" i="12" s="1"/>
  <c r="I24" i="11" l="1"/>
  <c r="F36" i="14" s="1"/>
  <c r="G22" i="11"/>
  <c r="G23" i="11" s="1"/>
  <c r="K26" i="6"/>
  <c r="G24" i="6"/>
  <c r="H10" i="7"/>
  <c r="H14" i="7" s="1"/>
  <c r="F40" i="14" s="1"/>
  <c r="I13" i="5"/>
  <c r="I17" i="5" s="1"/>
  <c r="F32" i="14" s="1"/>
  <c r="I31" i="4"/>
  <c r="I32" i="4" s="1"/>
  <c r="H27" i="3"/>
  <c r="J16" i="3"/>
  <c r="J29" i="3" s="1"/>
  <c r="F28" i="14" s="1"/>
  <c r="H23" i="2"/>
  <c r="H24" i="2" s="1"/>
  <c r="K19" i="12"/>
  <c r="G18" i="12"/>
  <c r="G19" i="12" s="1"/>
  <c r="K33" i="4"/>
  <c r="F30" i="14" s="1"/>
  <c r="G25" i="6"/>
  <c r="F38" i="14"/>
  <c r="M20" i="12"/>
  <c r="F34" i="14" s="1"/>
  <c r="H28" i="3"/>
  <c r="D25" i="14"/>
  <c r="D26" i="14"/>
  <c r="D24" i="14"/>
  <c r="O22" i="15"/>
  <c r="O19" i="15"/>
  <c r="O25" i="15"/>
  <c r="K29" i="15"/>
  <c r="J29" i="15"/>
  <c r="I29" i="15"/>
  <c r="F30" i="10"/>
  <c r="H30" i="10" s="1"/>
  <c r="K30" i="10"/>
  <c r="L30" i="10"/>
  <c r="E31" i="10"/>
  <c r="L31" i="10" s="1"/>
  <c r="N31" i="10" s="1"/>
  <c r="O29" i="15" l="1"/>
  <c r="F44" i="14" s="1"/>
  <c r="F23" i="14"/>
  <c r="I30" i="10"/>
  <c r="M30" i="10"/>
  <c r="N30" i="10" s="1"/>
  <c r="E32" i="10"/>
  <c r="L32" i="10" s="1"/>
  <c r="N32" i="10" s="1"/>
  <c r="D79" i="10"/>
  <c r="D80" i="10" s="1"/>
  <c r="E69" i="10"/>
  <c r="F69" i="10" s="1"/>
  <c r="D59" i="10"/>
  <c r="E59" i="10" s="1"/>
  <c r="H55" i="10"/>
  <c r="H54" i="10"/>
  <c r="D48" i="10"/>
  <c r="H57" i="10" s="1"/>
  <c r="E35" i="10"/>
  <c r="L35" i="10" s="1"/>
  <c r="N35" i="10" s="1"/>
  <c r="L34" i="10"/>
  <c r="K34" i="10"/>
  <c r="F34" i="10"/>
  <c r="H34" i="10" s="1"/>
  <c r="E27" i="10"/>
  <c r="E28" i="10" s="1"/>
  <c r="L28" i="10" s="1"/>
  <c r="N28" i="10" s="1"/>
  <c r="L26" i="10"/>
  <c r="K26" i="10"/>
  <c r="F26" i="10"/>
  <c r="H26" i="10" s="1"/>
  <c r="E23" i="10"/>
  <c r="E24" i="10" s="1"/>
  <c r="L24" i="10" s="1"/>
  <c r="N24" i="10" s="1"/>
  <c r="L22" i="10"/>
  <c r="K22" i="10"/>
  <c r="F22" i="10"/>
  <c r="H22" i="10" s="1"/>
  <c r="D60" i="10" l="1"/>
  <c r="D61" i="10" s="1"/>
  <c r="F59" i="10"/>
  <c r="F58" i="10" s="1"/>
  <c r="D58" i="10"/>
  <c r="M26" i="10"/>
  <c r="N26" i="10" s="1"/>
  <c r="I26" i="10"/>
  <c r="I22" i="10"/>
  <c r="M22" i="10"/>
  <c r="N22" i="10" s="1"/>
  <c r="M34" i="10"/>
  <c r="N34" i="10" s="1"/>
  <c r="I34" i="10"/>
  <c r="L27" i="10"/>
  <c r="N27" i="10" s="1"/>
  <c r="E36" i="10"/>
  <c r="L36" i="10" s="1"/>
  <c r="N36" i="10" s="1"/>
  <c r="L23" i="10"/>
  <c r="N23" i="10" s="1"/>
  <c r="D70" i="10"/>
  <c r="E48" i="10" a="1"/>
  <c r="E48" i="10" s="1"/>
  <c r="E79" i="10"/>
  <c r="F79" i="10" s="1"/>
  <c r="F80" i="10" s="1"/>
  <c r="E60" i="10" l="1"/>
  <c r="F60" i="10" s="1"/>
  <c r="F48" i="10"/>
  <c r="D71" i="10"/>
  <c r="E70" i="10"/>
  <c r="F70" i="10" s="1"/>
  <c r="N38" i="10"/>
  <c r="N40" i="10" s="1"/>
  <c r="F42" i="14" s="1"/>
  <c r="F20" i="14" s="1"/>
  <c r="F9" i="16" s="1"/>
  <c r="C7" i="17" s="1"/>
  <c r="E7" i="17" s="1"/>
  <c r="F15" i="16" s="1"/>
  <c r="D62" i="10"/>
  <c r="E61" i="10"/>
  <c r="F61" i="10" s="1"/>
  <c r="M38" i="10"/>
  <c r="M40" i="10" s="1"/>
  <c r="D63" i="10" l="1"/>
  <c r="E62" i="10"/>
  <c r="F62" i="10" s="1"/>
  <c r="D72" i="10"/>
  <c r="E71" i="10"/>
  <c r="F71" i="10" s="1"/>
  <c r="D73" i="10" l="1"/>
  <c r="E72" i="10"/>
  <c r="F72" i="10" s="1"/>
  <c r="D64" i="10"/>
  <c r="E63" i="10"/>
  <c r="F63" i="10" s="1"/>
  <c r="D65" i="10" l="1"/>
  <c r="E64" i="10"/>
  <c r="F64" i="10" s="1"/>
  <c r="D74" i="10"/>
  <c r="E73" i="10"/>
  <c r="F73" i="10" s="1"/>
  <c r="D75" i="10" l="1"/>
  <c r="E74" i="10"/>
  <c r="F74" i="10" s="1"/>
  <c r="E65" i="10"/>
  <c r="F65" i="10" s="1"/>
  <c r="D66" i="10"/>
  <c r="D76" i="10" l="1"/>
  <c r="E75" i="10"/>
  <c r="F75" i="10" s="1"/>
  <c r="D67" i="10"/>
  <c r="E66" i="10"/>
  <c r="F66" i="10" s="1"/>
  <c r="D68" i="10" l="1"/>
  <c r="E68" i="10" s="1"/>
  <c r="F68" i="10" s="1"/>
  <c r="E67" i="10"/>
  <c r="F67" i="10" s="1"/>
  <c r="E76" i="10"/>
  <c r="F76" i="10" s="1"/>
  <c r="D77" i="10"/>
  <c r="D78" i="10" l="1"/>
  <c r="E78" i="10" s="1"/>
  <c r="F78" i="10" s="1"/>
  <c r="E77" i="10"/>
  <c r="F77" i="1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<sst xmlns="http://schemas.openxmlformats.org/spreadsheetml/2006/main" count="680" uniqueCount="342">
  <si>
    <t>Europese aanbesteding</t>
  </si>
  <si>
    <t>Digitale werkplek Kadaster</t>
  </si>
  <si>
    <t>Samenvatting</t>
  </si>
  <si>
    <t xml:space="preserve"> Kenmerk: A25-104152</t>
  </si>
  <si>
    <t xml:space="preserve"> (prijzen exclusief BTW)</t>
  </si>
  <si>
    <t xml:space="preserve">Naam inschrijver: </t>
  </si>
  <si>
    <t>Vergelijkingswaarde t.b.v. BPK-formule</t>
  </si>
  <si>
    <t>A</t>
  </si>
  <si>
    <t>Fysieke werkplek</t>
  </si>
  <si>
    <t>1a</t>
  </si>
  <si>
    <t>1b</t>
  </si>
  <si>
    <t>1c</t>
  </si>
  <si>
    <t>B</t>
  </si>
  <si>
    <t>Telecom</t>
  </si>
  <si>
    <t>C</t>
  </si>
  <si>
    <t>Printing</t>
  </si>
  <si>
    <t>J</t>
  </si>
  <si>
    <t>KA Applicaties</t>
  </si>
  <si>
    <t xml:space="preserve">L </t>
  </si>
  <si>
    <t>Applicatie portaal</t>
  </si>
  <si>
    <t>S</t>
  </si>
  <si>
    <t>M t/m Q</t>
  </si>
  <si>
    <t>Opleiding</t>
  </si>
  <si>
    <t>PvEW</t>
  </si>
  <si>
    <t>Werkplek</t>
  </si>
  <si>
    <t>invulveld</t>
  </si>
  <si>
    <t>Soort</t>
  </si>
  <si>
    <t>Categorie</t>
  </si>
  <si>
    <t>Omschrijving</t>
  </si>
  <si>
    <t>Meeteenheid</t>
  </si>
  <si>
    <t>Aantal uren
per maand</t>
  </si>
  <si>
    <t>Prijs per
meeteenheid</t>
  </si>
  <si>
    <t>Kosten
per jaar</t>
  </si>
  <si>
    <t>weging 
# Jaren</t>
  </si>
  <si>
    <t>Totale
kosten</t>
  </si>
  <si>
    <t xml:space="preserve"> Hardware</t>
  </si>
  <si>
    <t>Lokaal support</t>
  </si>
  <si>
    <t>Operationeel beheer en standard changes van alle end points, zoals laptops, PC's, telecom, printer, plotter, monitor, accessoires, SIM, etc.</t>
  </si>
  <si>
    <t>Uur</t>
  </si>
  <si>
    <t>Local support coördinatie</t>
  </si>
  <si>
    <t>Aantal apparaten</t>
  </si>
  <si>
    <t>Software</t>
  </si>
  <si>
    <t>Endpoint beheer WPL</t>
  </si>
  <si>
    <t>Operating System Windows</t>
  </si>
  <si>
    <t>Per apparaat</t>
  </si>
  <si>
    <t>Operating System MAC OS</t>
  </si>
  <si>
    <t>Operating System Linux</t>
  </si>
  <si>
    <t>Per jaar</t>
  </si>
  <si>
    <t>Per maand</t>
  </si>
  <si>
    <t>Subtotaal t.b.v. Vergelijkingswaarde</t>
  </si>
  <si>
    <t>Aantal</t>
  </si>
  <si>
    <t xml:space="preserve">Prijs per
meeteenheid </t>
  </si>
  <si>
    <t>Periode</t>
  </si>
  <si>
    <t>Accessoire</t>
  </si>
  <si>
    <t xml:space="preserve">Muis </t>
  </si>
  <si>
    <t>HP 705 Rechargeable Wireless Mouse</t>
  </si>
  <si>
    <t>Rugtas</t>
  </si>
  <si>
    <t>HP Renew Business 17,3 inch laptop rugzak</t>
  </si>
  <si>
    <t xml:space="preserve">Tas </t>
  </si>
  <si>
    <t>HP Renew Business laptop tas</t>
  </si>
  <si>
    <t xml:space="preserve">Headsets </t>
  </si>
  <si>
    <t>Poly SAVI 8210 en 8220</t>
  </si>
  <si>
    <t>Laptop lader</t>
  </si>
  <si>
    <t>HP Elitebook 8 G1 - 14"</t>
  </si>
  <si>
    <t>HP Elitebook 8 G1 - 16"</t>
  </si>
  <si>
    <t>HP Elitebook X Flip - 14"</t>
  </si>
  <si>
    <t>Z book Ultra 14"</t>
  </si>
  <si>
    <t>Hardware</t>
  </si>
  <si>
    <t>Laptop:  Kantoormedewerker</t>
  </si>
  <si>
    <t>eerste 2 contractjaren</t>
  </si>
  <si>
    <t xml:space="preserve">Laptop: Ontwikkelaar </t>
  </si>
  <si>
    <t xml:space="preserve">Laptop: AI-Ontwikkelaar </t>
  </si>
  <si>
    <t xml:space="preserve">Desktop: Zwaar </t>
  </si>
  <si>
    <t>Lenovo P500</t>
  </si>
  <si>
    <t>Jaar 1</t>
  </si>
  <si>
    <t>Lenovo P510</t>
  </si>
  <si>
    <t>Lenovo P520</t>
  </si>
  <si>
    <t xml:space="preserve">Destkop: Medium </t>
  </si>
  <si>
    <t>Lenovo P300</t>
  </si>
  <si>
    <t xml:space="preserve">Tablet: Landmeter </t>
  </si>
  <si>
    <t>Panasonic/Leica CC200</t>
  </si>
  <si>
    <t>Monitor</t>
  </si>
  <si>
    <t>Dell P3424 WEB (curved), zonder standaard</t>
  </si>
  <si>
    <t xml:space="preserve">Dell 4K inclusief camera 32 inch </t>
  </si>
  <si>
    <t>EIZO CG247X ColorEdge</t>
  </si>
  <si>
    <t>Toetsenborden</t>
  </si>
  <si>
    <t>HP business</t>
  </si>
  <si>
    <t>Aantal events
per maand</t>
  </si>
  <si>
    <t>Zie tabblad Werkplek</t>
  </si>
  <si>
    <t>Apple mobiel</t>
  </si>
  <si>
    <t>Apple iPhone 16e (256GB)</t>
  </si>
  <si>
    <t>Android mobiel</t>
  </si>
  <si>
    <t>Samsung Galaxy A56 (256GB)</t>
  </si>
  <si>
    <t>Prijs per
meeteenheid per maand</t>
  </si>
  <si>
    <t>Telefonie</t>
  </si>
  <si>
    <t>Anywhere365</t>
  </si>
  <si>
    <t>Change</t>
  </si>
  <si>
    <t>Configuratie en installatie</t>
  </si>
  <si>
    <t>BHV Microsoft Teams telefoons</t>
  </si>
  <si>
    <t>Endpoint</t>
  </si>
  <si>
    <t>Microsoft Teams Calling</t>
  </si>
  <si>
    <t>Endpoint beheer Telecom</t>
  </si>
  <si>
    <t>Operating System Android</t>
  </si>
  <si>
    <t>Operating System IOS (Iphone en Ipad)</t>
  </si>
  <si>
    <t>Aanschafprijs</t>
  </si>
  <si>
    <t>Vervanging
per</t>
  </si>
  <si>
    <t>Printer</t>
  </si>
  <si>
    <t>MFP - A4, Canon Kleur imageRunner advance C259i</t>
  </si>
  <si>
    <t>Hardware fee</t>
  </si>
  <si>
    <t>Okt-2027</t>
  </si>
  <si>
    <t>MFP - A3, Canon Kleur imageForce C5150i</t>
  </si>
  <si>
    <t>Plotter</t>
  </si>
  <si>
    <t xml:space="preserve">Plotter + vouwer, HP Designjet Z6200 </t>
  </si>
  <si>
    <t xml:space="preserve"> Medio 2028</t>
  </si>
  <si>
    <t xml:space="preserve">Plotter, Canon TX-4200EU </t>
  </si>
  <si>
    <t>Medio 2031</t>
  </si>
  <si>
    <t>Etiket</t>
  </si>
  <si>
    <t>Zebra Thermo GK 420d Etikettenprinter</t>
  </si>
  <si>
    <t>Medio 2030</t>
  </si>
  <si>
    <t>Boek</t>
  </si>
  <si>
    <t>Bookeye 5 Automatic Boekenscanner</t>
  </si>
  <si>
    <t>Verbruiks-</t>
  </si>
  <si>
    <t>Print A4 Color</t>
  </si>
  <si>
    <t>Toner+drum</t>
  </si>
  <si>
    <t>Pagina's per maand</t>
  </si>
  <si>
    <t>n.v.t.</t>
  </si>
  <si>
    <t>kosten</t>
  </si>
  <si>
    <t>Print A3 Color</t>
  </si>
  <si>
    <t>Print A4 BW</t>
  </si>
  <si>
    <t>Print A3 BW</t>
  </si>
  <si>
    <t>Plotter inktkosten</t>
  </si>
  <si>
    <t>Inkt</t>
  </si>
  <si>
    <t>ml</t>
  </si>
  <si>
    <t>p.m.</t>
  </si>
  <si>
    <t xml:space="preserve"> </t>
  </si>
  <si>
    <t>Ondersteuning</t>
  </si>
  <si>
    <t>Follow Me printing Canon / print management</t>
  </si>
  <si>
    <t>Beheer en Onderhoud van Uniflow platform inclusief serverbeheer</t>
  </si>
  <si>
    <t>Uren per maand</t>
  </si>
  <si>
    <t>Lokaal support (incl. vervangen Toner en Drum vervangen)</t>
  </si>
  <si>
    <t xml:space="preserve"> Kenmerk:  A25-104152</t>
  </si>
  <si>
    <t>Aantal apps</t>
  </si>
  <si>
    <t>Beheer en Onderhoud KA applicaties incl. IMACD</t>
  </si>
  <si>
    <t>Applicatie</t>
  </si>
  <si>
    <t>App Portaal</t>
  </si>
  <si>
    <t>Prijs per
meeteenheid per jaar</t>
  </si>
  <si>
    <t>Aantal
IMACD
per maand</t>
  </si>
  <si>
    <t>Prijs
IMACD</t>
  </si>
  <si>
    <t>Beheer prijs</t>
  </si>
  <si>
    <t>Beheer en Onderhoud applicatie platform</t>
  </si>
  <si>
    <t>Fixed Fee</t>
  </si>
  <si>
    <t>Standaard changes</t>
  </si>
  <si>
    <t>Applicatie publicatie en verwijderen (low)</t>
  </si>
  <si>
    <t>change</t>
  </si>
  <si>
    <t>73 (indicatie)</t>
  </si>
  <si>
    <t>Applicatie package excluding intake (medium)</t>
  </si>
  <si>
    <t>102 (indicatie)</t>
  </si>
  <si>
    <t>Applicatie package including intake (high)</t>
  </si>
  <si>
    <t>41 (indicatie)</t>
  </si>
  <si>
    <t>Virtuele WPL</t>
  </si>
  <si>
    <t>Dienstnaam</t>
  </si>
  <si>
    <t>Prijs
 beheer
per maand</t>
  </si>
  <si>
    <t>Beheer en Onderhoud</t>
  </si>
  <si>
    <t>AVD Platform, monitoring, patch/lifecycle</t>
  </si>
  <si>
    <t>Fixed fee</t>
  </si>
  <si>
    <t>AVD hostpools</t>
  </si>
  <si>
    <t>AVD Images (Windows)</t>
  </si>
  <si>
    <t>AVD Images (Linux distri)</t>
  </si>
  <si>
    <t>DevBox</t>
  </si>
  <si>
    <t>W365</t>
  </si>
  <si>
    <t>HP Anyware (agents)</t>
  </si>
  <si>
    <t>M365 apps</t>
  </si>
  <si>
    <t>Aantal per maand</t>
  </si>
  <si>
    <t>Prijs per
meeteenheid per aanvraag</t>
  </si>
  <si>
    <t>Kadaster M365</t>
  </si>
  <si>
    <t>Ondersteuning complexiteit low (prestatie cat 4)</t>
  </si>
  <si>
    <t>aanvraag per maand</t>
  </si>
  <si>
    <t>Ondersteuning complexiteit medium (prestatie cat 3 )</t>
  </si>
  <si>
    <t>Ondersteuning complexiteit high  (prestatie cat 2)</t>
  </si>
  <si>
    <t>Collaboration Space</t>
  </si>
  <si>
    <t>Beheer en Onderhoud (incl. IMACD)</t>
  </si>
  <si>
    <t>AI</t>
  </si>
  <si>
    <t>aanvraag per jaar</t>
  </si>
  <si>
    <t>Low Code App Development &amp; Automation</t>
  </si>
  <si>
    <t>Social Intranet</t>
  </si>
  <si>
    <t>Mail @ Messaging</t>
  </si>
  <si>
    <t>Conferencing</t>
  </si>
  <si>
    <t>VIP support</t>
  </si>
  <si>
    <t>Aantal uur
per maand</t>
  </si>
  <si>
    <t>Prijs</t>
  </si>
  <si>
    <t>Leveren VIP support</t>
  </si>
  <si>
    <t>Aanschaf hardware</t>
  </si>
  <si>
    <t>Situatie 1</t>
  </si>
  <si>
    <t>Vervanging grote endpoint aantallen hardware bij EOL</t>
  </si>
  <si>
    <t>Het is nu niet te voorspellen wat dat kost per apparaat</t>
  </si>
  <si>
    <t>Zie verder de opties zoals beschreven in het Beschrijvend document, paragraaf 3.6.2.</t>
  </si>
  <si>
    <t>Situatie 2</t>
  </si>
  <si>
    <t>Tussentijdse vervanging</t>
  </si>
  <si>
    <t>Prijs apparaat is gelijk aan of lager dan het gemiddelde van de top drie uit Tweakers.net.</t>
  </si>
  <si>
    <t>Situatie 3</t>
  </si>
  <si>
    <t>Leverancier geeft wel een prijs aan. Kadaster geeft het benodigde aantal aan per jaar</t>
  </si>
  <si>
    <t>Algemeen</t>
  </si>
  <si>
    <t>Hardware wordt eigendom van Kadaster</t>
  </si>
  <si>
    <t>Restwaarde bij leverancier is dus n.v.t.</t>
  </si>
  <si>
    <t>Behalve bij printers: daar is en blijft het eigendom van de hardware bij de leverancier</t>
  </si>
  <si>
    <t>Consultancy</t>
  </si>
  <si>
    <t>Expertise</t>
  </si>
  <si>
    <t>Niveau</t>
  </si>
  <si>
    <t>Referentie
prijs</t>
  </si>
  <si>
    <t>Tarief 
per uur</t>
  </si>
  <si>
    <t>Factor</t>
  </si>
  <si>
    <t>Fictieve 
bonus/ malus</t>
  </si>
  <si>
    <t>Tarief t.b.v. gunning</t>
  </si>
  <si>
    <t>Indicatief 
aantal uren
per jaar</t>
  </si>
  <si>
    <t>Totaal 
Referentie</t>
  </si>
  <si>
    <t>Uw 
inschrijving</t>
  </si>
  <si>
    <t>T.b.v. 
Vergelijkings-
waarde</t>
  </si>
  <si>
    <t>Categorie Run the business</t>
  </si>
  <si>
    <t>Senior</t>
  </si>
  <si>
    <t>Medior</t>
  </si>
  <si>
    <t>Junior</t>
  </si>
  <si>
    <t>Categorie Change the business</t>
  </si>
  <si>
    <t>Tactisch en strategisch</t>
  </si>
  <si>
    <t>Projectleiding en Agile werken</t>
  </si>
  <si>
    <t>Totaal voor 1 jaar</t>
  </si>
  <si>
    <t>Totaal voor 12 jaren</t>
  </si>
  <si>
    <t>Toelichting fictieve bonus/malus</t>
  </si>
  <si>
    <t>Functie</t>
  </si>
  <si>
    <t>Referentie 
Prijs</t>
  </si>
  <si>
    <t>Uw
tarief</t>
  </si>
  <si>
    <t xml:space="preserve">Fictieve </t>
  </si>
  <si>
    <r>
      <t>P</t>
    </r>
    <r>
      <rPr>
        <b/>
        <vertAlign val="subscript"/>
        <sz val="10"/>
        <color theme="1"/>
        <rFont val="Verdana"/>
        <family val="2"/>
      </rPr>
      <t>ref</t>
    </r>
  </si>
  <si>
    <r>
      <t>P</t>
    </r>
    <r>
      <rPr>
        <b/>
        <vertAlign val="subscript"/>
        <sz val="10"/>
        <color theme="1"/>
        <rFont val="Verdana"/>
        <family val="2"/>
      </rPr>
      <t>i</t>
    </r>
  </si>
  <si>
    <t>bonus/malus</t>
  </si>
  <si>
    <t>factor voor spreiding %</t>
  </si>
  <si>
    <r>
      <t xml:space="preserve">  Restrictie: bij P</t>
    </r>
    <r>
      <rPr>
        <i/>
        <vertAlign val="subscript"/>
        <sz val="10"/>
        <color theme="1"/>
        <rFont val="Verdana"/>
        <family val="2"/>
      </rPr>
      <t>i</t>
    </r>
    <r>
      <rPr>
        <i/>
        <sz val="10"/>
        <color theme="1"/>
        <rFont val="Verdana"/>
        <family val="2"/>
      </rPr>
      <t xml:space="preserve"> &lt; ondergrens geldt een bonus van -10%  </t>
    </r>
  </si>
  <si>
    <t>factor voor kromming</t>
  </si>
  <si>
    <r>
      <t xml:space="preserve">  Restrictie: bij P</t>
    </r>
    <r>
      <rPr>
        <i/>
        <vertAlign val="subscript"/>
        <sz val="10"/>
        <color theme="1"/>
        <rFont val="Verdana"/>
        <family val="2"/>
      </rPr>
      <t>i</t>
    </r>
    <r>
      <rPr>
        <i/>
        <sz val="10"/>
        <color theme="1"/>
        <rFont val="Verdana"/>
        <family val="2"/>
      </rPr>
      <t xml:space="preserve"> &gt; bovengrens geldt een malus van +10%  </t>
    </r>
  </si>
  <si>
    <t>Speiding in tarief</t>
  </si>
  <si>
    <t>afgerond op</t>
  </si>
  <si>
    <t>Tarief</t>
  </si>
  <si>
    <t>1 decimaal</t>
  </si>
  <si>
    <t>Restrictie</t>
  </si>
  <si>
    <t>Ondergrens</t>
  </si>
  <si>
    <t>Pref</t>
  </si>
  <si>
    <t>Bovengrens</t>
  </si>
  <si>
    <t>Trainingen</t>
  </si>
  <si>
    <t>Maximaal aantal op te leiden personen</t>
  </si>
  <si>
    <t>Structurele trainingen</t>
  </si>
  <si>
    <t>Aantal trainingen per jaar</t>
  </si>
  <si>
    <t>Max. groeps- grootte</t>
  </si>
  <si>
    <t>Aantal uren per training</t>
  </si>
  <si>
    <t xml:space="preserve">  Tarief per training</t>
  </si>
  <si>
    <t>Totaal
per jaar</t>
  </si>
  <si>
    <t>Jaar 2</t>
  </si>
  <si>
    <t>Jaar 3</t>
  </si>
  <si>
    <t>Jaar 4</t>
  </si>
  <si>
    <t>Verlengingsjaren 5 t/m 12</t>
  </si>
  <si>
    <t xml:space="preserve">Totaal kosten </t>
  </si>
  <si>
    <t>Eindgebruikerstraining</t>
  </si>
  <si>
    <t>Technisch Personeel</t>
  </si>
  <si>
    <t>Ad hoc training</t>
  </si>
  <si>
    <t>Totaal kosten per jaar</t>
  </si>
  <si>
    <t>Initieel</t>
  </si>
  <si>
    <t>Verlengingsjaren</t>
  </si>
  <si>
    <t>Jaar 5 t/m 12</t>
  </si>
  <si>
    <t>Ten behoeve van Vergelijkingswaarde</t>
  </si>
  <si>
    <t>Transitie</t>
  </si>
  <si>
    <t>Transitie prijs conform Sub-Gunningscriteria 2 – Transitieplan</t>
  </si>
  <si>
    <t>Project Team / Management</t>
  </si>
  <si>
    <t>Testing</t>
  </si>
  <si>
    <t>Training</t>
  </si>
  <si>
    <t>Reiskosten</t>
  </si>
  <si>
    <t>Verzending/Afhandeling/Opslag</t>
  </si>
  <si>
    <t>Advies en/of arbeid van derden</t>
  </si>
  <si>
    <t>Inrichting XLA</t>
  </si>
  <si>
    <t>Overige werkzaamheden</t>
  </si>
  <si>
    <t>Europese Aanbesteding</t>
  </si>
  <si>
    <t>Werkplekservices - Perceel 1</t>
  </si>
  <si>
    <t>BPK-Grafiek</t>
  </si>
  <si>
    <t>Kenmerk: A25-104152</t>
  </si>
  <si>
    <t>(Prijzen exclusief BTW)</t>
  </si>
  <si>
    <t>Vergelijkingswaarde</t>
  </si>
  <si>
    <t xml:space="preserve">      Indicatie eigen score</t>
  </si>
  <si>
    <t>Score Kwaliteit</t>
  </si>
  <si>
    <t>Procenten</t>
  </si>
  <si>
    <t xml:space="preserve">Kwaliteit in eisen </t>
  </si>
  <si>
    <t>%</t>
  </si>
  <si>
    <r>
      <t xml:space="preserve">Eigen inschatting score kwaliteit </t>
    </r>
    <r>
      <rPr>
        <vertAlign val="superscript"/>
        <sz val="11"/>
        <color theme="1"/>
        <rFont val="Verdana"/>
        <family val="2"/>
      </rPr>
      <t>*1</t>
    </r>
  </si>
  <si>
    <t>Totaal kwaliteit</t>
  </si>
  <si>
    <t>Indicatie BPK-score</t>
  </si>
  <si>
    <t>*1</t>
  </si>
  <si>
    <t>Opbouw Score voor kwaliteit</t>
  </si>
  <si>
    <t>Punten</t>
  </si>
  <si>
    <t xml:space="preserve">Eisen </t>
  </si>
  <si>
    <t>Wensen</t>
  </si>
  <si>
    <t>Totaal</t>
  </si>
  <si>
    <t>Hulpdata Grafiek Superformule</t>
  </si>
  <si>
    <t>Hulpvelden</t>
  </si>
  <si>
    <t>Uw inschrijving</t>
  </si>
  <si>
    <t>LET OP  !!!</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</si>
  <si>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</si>
  <si>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</si>
  <si>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</si>
  <si>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</si>
  <si>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</si>
  <si>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</si>
  <si>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</si>
  <si>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</si>
  <si>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</si>
  <si>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</si>
  <si>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</si>
  <si>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</si>
  <si>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</si>
  <si>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</si>
  <si>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</si>
  <si>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</si>
  <si>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</si>
  <si>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</si>
  <si>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</si>
  <si>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</si>
  <si>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</si>
  <si>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</si>
  <si>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</si>
  <si>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</si>
  <si>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Qref</t>
  </si>
  <si>
    <t>Referentie</t>
  </si>
  <si>
    <t>Referentie (Qmax)</t>
  </si>
  <si>
    <t>Qmax</t>
  </si>
  <si>
    <t>Qmin</t>
  </si>
  <si>
    <t>Qwensen</t>
  </si>
  <si>
    <t>P</t>
  </si>
  <si>
    <t>LAQ</t>
  </si>
  <si>
    <t>genormaliseerd</t>
  </si>
  <si>
    <t>Bonus (extra)</t>
  </si>
  <si>
    <t>LAQ (norm)</t>
  </si>
  <si>
    <t>Qeisen</t>
  </si>
  <si>
    <t>Uw Inschrijving</t>
  </si>
  <si>
    <t>Kenmerk</t>
  </si>
  <si>
    <t>Digitale Werkplek</t>
  </si>
  <si>
    <t>Qbonus</t>
  </si>
  <si>
    <t>Naam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</si>
</sst>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8" formatCode="&quot;€&quot;\ #,##0.00;[Red]&quot;€&quot;\ \-#,##0.00"/>
    <numFmt numFmtId="44" formatCode="_ &quot;€&quot;\ * #,##0.00_ ;_ &quot;€&quot;\ * \-#,##0.00_ ;_ &quot;€&quot;\ * &quot;-&quot;??_ ;_ @_ "/>
    <numFmt numFmtId="43" formatCode="_ * #,##0.00_ ;_ * \-#,##0.00_ ;_ * &quot;-&quot;??_ ;_ @_ "/>
    <numFmt numFmtId="164" formatCode="_(* #,##0.00_);_(* \(#,##0.00\);_(* &quot;-&quot;??_);_(@_)"/>
    <numFmt numFmtId="165" formatCode="&quot;€&quot;\ #,##0.00"/>
    <numFmt numFmtId="166" formatCode="_ * #,##0.00000_ ;_ * \-#,##0.00000_ ;_ * &quot;-&quot;??_ ;_ @_ "/>
    <numFmt numFmtId="167" formatCode="_(&quot;€&quot;* #,##0.00_);_(&quot;€&quot;* \(#,##0.00\);_(&quot;€&quot;* &quot;-&quot;??_);_(@_)"/>
    <numFmt numFmtId="168" formatCode="0.0%"/>
    <numFmt numFmtId="169" formatCode="#,##0.00_ ;\-#,##0.00\ "/>
    <numFmt numFmtId="170" formatCode="_ * #,##0.000000_ ;_ * \-#,##0.000000_ ;_ * &quot;-&quot;??????_ ;_ @_ "/>
    <numFmt numFmtId="171" formatCode="0.000000000"/>
    <numFmt numFmtId="172" formatCode="_ * #,##0.000000_ ;_ * \-#,##0.000000_ ;_ * &quot;-&quot;??_ ;_ @_ "/>
    <numFmt numFmtId="173" formatCode="&quot;€&quot;\ #,##0.00_-"/>
    <numFmt numFmtId="174" formatCode="_-* #,##0.00_-;_-* #,##0.00\-;_-* &quot;-&quot;??_-;_-@_-"/>
    <numFmt numFmtId="175" formatCode="_-* #,##0_-;_-* #,##0\-;_-* &quot;-&quot;??_-;_-@_-"/>
    <numFmt numFmtId="176" formatCode="0_ ;\-0\ "/>
    <numFmt numFmtId="177" formatCode="[$-413]mmm/yy;@"/>
    <numFmt numFmtId="178" formatCode="_-&quot;€&quot;\ * #,##0.00_-;_-&quot;€&quot;\ * #,##0.00\-;_-&quot;€&quot;\ * &quot;-&quot;??_-;_-@_-"/>
    <numFmt numFmtId="179" formatCode="0.0"/>
    <numFmt numFmtId="180" formatCode="0.000"/>
    <numFmt numFmtId="181" formatCode="#,##0.0"/>
    <numFmt numFmtId="182" formatCode="&quot;€&quot;#,##0.00_);\(&quot;€&quot;#,##0.00\)"/>
    <numFmt numFmtId="183" formatCode="_ &quot;€&quot;\ * #,##0_ ;_ &quot;€&quot;\ * \-#,##0_ ;_ &quot;€&quot;\ * &quot;-&quot;??_ ;_ @_ "/>
  </numFmts>
  <fonts count="5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0"/>
      <color theme="1"/>
      <name val="Verdana"/>
      <family val="2"/>
    </font>
    <font>
      <sz val="10"/>
      <color theme="1"/>
      <name val="Verdana"/>
      <family val="2"/>
    </font>
    <font>
      <sz val="10"/>
      <name val="Verdana"/>
      <family val="2"/>
    </font>
    <font>
      <i/>
      <sz val="8"/>
      <color theme="1"/>
      <name val="Verdana"/>
      <family val="2"/>
    </font>
    <font>
      <b/>
      <sz val="14"/>
      <color theme="1"/>
      <name val="Verdana"/>
      <family val="2"/>
    </font>
    <font>
      <b/>
      <sz val="10"/>
      <name val="Verdana"/>
      <family val="2"/>
    </font>
    <font>
      <sz val="11"/>
      <color theme="1"/>
      <name val="Verdana"/>
      <family val="2"/>
    </font>
    <font>
      <b/>
      <vertAlign val="subscript"/>
      <sz val="10"/>
      <color theme="1"/>
      <name val="Verdana"/>
      <family val="2"/>
    </font>
    <font>
      <i/>
      <sz val="10"/>
      <color theme="0" tint="-0.34998626667073579"/>
      <name val="Verdana"/>
      <family val="2"/>
    </font>
    <font>
      <i/>
      <sz val="10"/>
      <color theme="1"/>
      <name val="Verdana"/>
      <family val="2"/>
    </font>
    <font>
      <i/>
      <vertAlign val="subscript"/>
      <sz val="10"/>
      <color theme="1"/>
      <name val="Verdana"/>
      <family val="2"/>
    </font>
    <font>
      <b/>
      <i/>
      <sz val="8"/>
      <color theme="1"/>
      <name val="Verdana"/>
      <family val="2"/>
    </font>
    <font>
      <sz val="11"/>
      <name val="Aptos Narrow"/>
      <family val="2"/>
    </font>
    <font>
      <i/>
      <sz val="11"/>
      <color theme="1"/>
      <name val="Calibri"/>
      <family val="2"/>
      <scheme val="minor"/>
    </font>
    <font>
      <sz val="11"/>
      <name val="Calibri"/>
      <family val="2"/>
      <scheme val="minor"/>
    </font>
    <font>
      <b/>
      <sz val="11"/>
      <color theme="0"/>
      <name val="Calibri"/>
      <family val="2"/>
      <scheme val="minor"/>
    </font>
    <font>
      <b/>
      <sz val="18"/>
      <color theme="1"/>
      <name val="Calibri"/>
      <family val="2"/>
      <scheme val="minor"/>
    </font>
    <font>
      <b/>
      <i/>
      <sz val="10"/>
      <color theme="1"/>
      <name val="Calibri"/>
      <family val="2"/>
      <scheme val="minor"/>
    </font>
    <font>
      <i/>
      <sz val="10"/>
      <color theme="1"/>
      <name val="Calibri"/>
      <family val="2"/>
      <scheme val="minor"/>
    </font>
    <font>
      <b/>
      <sz val="14"/>
      <color theme="1"/>
      <name val="Calibri"/>
      <family val="2"/>
      <scheme val="minor"/>
    </font>
    <font>
      <b/>
      <i/>
      <sz val="16"/>
      <color theme="0"/>
      <name val="Calibri"/>
      <family val="2"/>
      <scheme val="minor"/>
    </font>
    <font>
      <b/>
      <sz val="8"/>
      <color theme="1"/>
      <name val="Calibri"/>
      <family val="2"/>
      <scheme val="minor"/>
    </font>
    <font>
      <sz val="8"/>
      <name val="Verdana"/>
      <family val="2"/>
    </font>
    <font>
      <b/>
      <sz val="12"/>
      <name val="Verdana"/>
      <family val="2"/>
    </font>
    <font>
      <i/>
      <sz val="10"/>
      <name val="Verdana"/>
      <family val="2"/>
    </font>
    <font>
      <sz val="10"/>
      <color indexed="9"/>
      <name val="Verdana"/>
      <family val="2"/>
    </font>
    <font>
      <sz val="10"/>
      <color indexed="8"/>
      <name val="Verdana"/>
      <family val="2"/>
    </font>
    <font>
      <b/>
      <sz val="12"/>
      <color theme="1"/>
      <name val="Verdana"/>
      <family val="2"/>
    </font>
    <font>
      <sz val="10"/>
      <color theme="0" tint="-4.9989318521683403E-2"/>
      <name val="Verdana"/>
      <family val="2"/>
    </font>
    <font>
      <b/>
      <sz val="8"/>
      <color indexed="10"/>
      <name val="Verdana"/>
      <family val="2"/>
    </font>
    <font>
      <b/>
      <sz val="18"/>
      <color indexed="10"/>
      <name val="Verdana"/>
      <family val="2"/>
    </font>
    <font>
      <b/>
      <sz val="12"/>
      <color theme="1"/>
      <name val="Calibri"/>
      <family val="2"/>
      <scheme val="minor"/>
    </font>
    <font>
      <b/>
      <sz val="12"/>
      <name val="Calibri"/>
      <family val="2"/>
      <scheme val="minor"/>
    </font>
    <font>
      <sz val="12"/>
      <color theme="1"/>
      <name val="Calibri"/>
      <family val="2"/>
      <scheme val="minor"/>
    </font>
    <font>
      <i/>
      <sz val="11"/>
      <color theme="1"/>
      <name val="Verdana"/>
      <family val="2"/>
    </font>
    <font>
      <b/>
      <sz val="11"/>
      <color theme="1"/>
      <name val="Verdana"/>
      <family val="2"/>
    </font>
    <font>
      <sz val="11"/>
      <color theme="1"/>
      <name val="Arial"/>
      <family val="2"/>
    </font>
    <font>
      <vertAlign val="superscript"/>
      <sz val="11"/>
      <color theme="1"/>
      <name val="Verdana"/>
      <family val="2"/>
    </font>
    <font>
      <b/>
      <i/>
      <sz val="11"/>
      <color theme="1"/>
      <name val="Verdana"/>
      <family val="2"/>
    </font>
    <font>
      <b/>
      <sz val="20"/>
      <color theme="0"/>
      <name val="Verdana"/>
      <family val="2"/>
    </font>
    <font>
      <b/>
      <sz val="18"/>
      <color theme="1"/>
      <name val="Verdana"/>
      <family val="2"/>
    </font>
    <font>
      <sz val="11"/>
      <color theme="0" tint="-0.14996795556505021"/>
      <name val="Calibri"/>
      <family val="2"/>
      <scheme val="minor"/>
    </font>
    <font>
      <sz val="11"/>
      <color theme="0" tint="-0.14996795556505021"/>
      <name val="Verdana"/>
      <family val="2"/>
    </font>
    <font>
      <b/>
      <sz val="11"/>
      <color theme="0" tint="-0.14996795556505021"/>
      <name val="Verdana"/>
      <family val="2"/>
    </font>
    <font>
      <i/>
      <sz val="11"/>
      <color theme="0" tint="-0.14996795556505021"/>
      <name val="Verdana"/>
      <family val="2"/>
    </font>
    <font>
      <sz val="12"/>
      <color theme="0" tint="-0.14996795556505021"/>
      <name val="Verdana"/>
      <family val="2"/>
    </font>
    <font>
      <i/>
      <sz val="12"/>
      <color theme="0" tint="-0.14996795556505021"/>
      <name val="Verdana"/>
      <family val="2"/>
    </font>
    <font>
      <b/>
      <sz val="12"/>
      <color theme="0" tint="-0.14996795556505021"/>
      <name val="Verdana"/>
      <family val="2"/>
    </font>
    <font>
      <sz val="24"/>
      <color theme="0" tint="-0.14996795556505021"/>
      <name val="Verdana"/>
      <family val="2"/>
    </font>
  </fonts>
  <fills count="14">
    <fill>
      <patternFill patternType="none"/>
    </fill>
    <fill>
      <patternFill patternType="gray125"/>
    </fill>
    <fill>
      <patternFill patternType="solid">
        <fgColor theme="5" tint="0.79998168889431442"/>
        <bgColor indexed="64"/>
      </patternFill>
    </fill>
    <fill>
      <patternFill patternType="solid">
        <fgColor rgb="FFFFFF99"/>
        <bgColor indexed="64"/>
      </patternFill>
    </fill>
    <fill>
      <patternFill patternType="solid">
        <fgColor rgb="FF80C8DC"/>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indexed="43"/>
        <bgColor indexed="64"/>
      </patternFill>
    </fill>
    <fill>
      <patternFill patternType="solid">
        <fgColor rgb="FFFFC000"/>
        <bgColor indexed="64"/>
      </patternFill>
    </fill>
    <fill>
      <patternFill patternType="solid">
        <fgColor theme="5" tint="0.39997558519241921"/>
        <bgColor indexed="64"/>
      </patternFill>
    </fill>
    <fill>
      <patternFill patternType="solid">
        <fgColor rgb="FF8FCAE7"/>
        <bgColor indexed="64"/>
      </patternFill>
    </fill>
    <fill>
      <patternFill patternType="solid">
        <fgColor theme="9" tint="0.59999389629810485"/>
        <bgColor indexed="64"/>
      </patternFill>
    </fill>
    <fill>
      <patternFill patternType="solid">
        <fgColor indexed="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double">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s>
  <cellStyleXfs count="31">
    <xf numFmtId="0" fontId="0" fillId="0" borderId="0"/>
    <xf numFmtId="9" fontId="1" fillId="0" borderId="0" applyFont="0" applyFill="0" applyBorder="0" applyAlignment="0" applyProtection="0"/>
    <xf numFmtId="0" fontId="4" fillId="0" borderId="0"/>
    <xf numFmtId="0" fontId="1" fillId="0" borderId="0"/>
    <xf numFmtId="164"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0" fontId="17" fillId="0" borderId="0"/>
    <xf numFmtId="44" fontId="1" fillId="0" borderId="0" applyFont="0" applyFill="0" applyBorder="0" applyAlignment="0" applyProtection="0"/>
    <xf numFmtId="3" fontId="4" fillId="0" borderId="0"/>
    <xf numFmtId="0" fontId="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9" fontId="4" fillId="0" borderId="0" applyFont="0" applyFill="0" applyBorder="0" applyAlignment="0" applyProtection="0"/>
    <xf numFmtId="174" fontId="4" fillId="0" borderId="0" applyFont="0" applyFill="0" applyBorder="0" applyAlignment="0" applyProtection="0"/>
    <xf numFmtId="0" fontId="1" fillId="0" borderId="0"/>
    <xf numFmtId="43" fontId="1"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4" fontId="4" fillId="0" borderId="0" applyFont="0" applyFill="0" applyBorder="0" applyAlignment="0" applyProtection="0"/>
    <xf numFmtId="178" fontId="4" fillId="0" borderId="0" applyFont="0" applyFill="0" applyBorder="0" applyAlignment="0" applyProtection="0"/>
    <xf numFmtId="164" fontId="1" fillId="0" borderId="0" applyFont="0" applyFill="0" applyBorder="0" applyAlignment="0" applyProtection="0"/>
  </cellStyleXfs>
  <cellXfs count="404">
    <xf numFmtId="0" fontId="0" fillId="0" borderId="0" xfId="0"/>
    <xf numFmtId="3" fontId="0" fillId="0" borderId="0" xfId="0" applyNumberFormat="1"/>
    <xf numFmtId="167" fontId="6" fillId="8" borderId="1" xfId="5" applyFont="1" applyFill="1" applyBorder="1" applyAlignment="1" applyProtection="1">
      <alignment horizontal="right" vertical="center"/>
      <protection locked="0"/>
    </xf>
    <xf numFmtId="0" fontId="0" fillId="2" borderId="0" xfId="0" applyFill="1"/>
    <xf numFmtId="0" fontId="0" fillId="10" borderId="0" xfId="0" applyFill="1"/>
    <xf numFmtId="165" fontId="0" fillId="3" borderId="1" xfId="1" applyNumberFormat="1" applyFont="1" applyFill="1" applyBorder="1" applyAlignment="1" applyProtection="1">
      <alignment horizontal="right" vertical="center"/>
      <protection locked="0"/>
    </xf>
    <xf numFmtId="1" fontId="21" fillId="4" borderId="0" xfId="0" applyNumberFormat="1" applyFont="1" applyFill="1" applyAlignment="1">
      <alignment horizontal="left" vertical="top"/>
    </xf>
    <xf numFmtId="0" fontId="21" fillId="4" borderId="0" xfId="0" applyFont="1" applyFill="1" applyAlignment="1">
      <alignment horizontal="left" vertical="top"/>
    </xf>
    <xf numFmtId="1" fontId="24" fillId="4" borderId="0" xfId="0" applyNumberFormat="1" applyFont="1" applyFill="1" applyAlignment="1">
      <alignment horizontal="left" vertical="top"/>
    </xf>
    <xf numFmtId="0" fontId="25" fillId="4" borderId="0" xfId="0" applyFont="1" applyFill="1" applyAlignment="1">
      <alignment horizontal="left" vertical="top"/>
    </xf>
    <xf numFmtId="173" fontId="26" fillId="4" borderId="0" xfId="0" applyNumberFormat="1" applyFont="1" applyFill="1" applyAlignment="1">
      <alignment horizontal="left" vertical="top"/>
    </xf>
    <xf numFmtId="0" fontId="22" fillId="4" borderId="0" xfId="0" applyFont="1" applyFill="1" applyAlignment="1">
      <alignment horizontal="left" vertical="top"/>
    </xf>
    <xf numFmtId="0" fontId="23" fillId="4" borderId="0" xfId="0" applyFont="1" applyFill="1" applyAlignment="1">
      <alignment horizontal="left" vertical="top"/>
    </xf>
    <xf numFmtId="1" fontId="27" fillId="0" borderId="0" xfId="0" applyNumberFormat="1" applyFont="1" applyAlignment="1" applyProtection="1">
      <alignment horizontal="right"/>
      <protection hidden="1"/>
    </xf>
    <xf numFmtId="1" fontId="27" fillId="0" borderId="0" xfId="0" applyNumberFormat="1" applyFont="1" applyProtection="1">
      <protection hidden="1"/>
    </xf>
    <xf numFmtId="1" fontId="7" fillId="0" borderId="0" xfId="0" applyNumberFormat="1" applyFont="1" applyProtection="1">
      <protection hidden="1"/>
    </xf>
    <xf numFmtId="1" fontId="27" fillId="0" borderId="11" xfId="0" applyNumberFormat="1" applyFont="1" applyBorder="1" applyAlignment="1" applyProtection="1">
      <alignment horizontal="right"/>
      <protection hidden="1"/>
    </xf>
    <xf numFmtId="1" fontId="27" fillId="0" borderId="11" xfId="0" applyNumberFormat="1" applyFont="1" applyBorder="1" applyProtection="1">
      <protection hidden="1"/>
    </xf>
    <xf numFmtId="1" fontId="7" fillId="0" borderId="11" xfId="0" applyNumberFormat="1" applyFont="1" applyBorder="1" applyProtection="1">
      <protection hidden="1"/>
    </xf>
    <xf numFmtId="44" fontId="28" fillId="7" borderId="15" xfId="0" applyNumberFormat="1" applyFont="1" applyFill="1" applyBorder="1" applyAlignment="1" applyProtection="1">
      <alignment vertical="center"/>
      <protection hidden="1"/>
    </xf>
    <xf numFmtId="0" fontId="27" fillId="7" borderId="16" xfId="0" applyFont="1" applyFill="1" applyBorder="1" applyProtection="1">
      <protection hidden="1"/>
    </xf>
    <xf numFmtId="0" fontId="9" fillId="7" borderId="17" xfId="0" applyFont="1" applyFill="1" applyBorder="1" applyProtection="1">
      <protection hidden="1"/>
    </xf>
    <xf numFmtId="44" fontId="29" fillId="0" borderId="1" xfId="14" applyFont="1" applyFill="1" applyBorder="1" applyProtection="1">
      <protection hidden="1"/>
    </xf>
    <xf numFmtId="1" fontId="29" fillId="0" borderId="1" xfId="0" applyNumberFormat="1" applyFont="1" applyBorder="1" applyProtection="1">
      <protection hidden="1"/>
    </xf>
    <xf numFmtId="1" fontId="29" fillId="0" borderId="1" xfId="0" applyNumberFormat="1" applyFont="1" applyBorder="1" applyAlignment="1" applyProtection="1">
      <alignment horizontal="center"/>
      <protection hidden="1"/>
    </xf>
    <xf numFmtId="0" fontId="9" fillId="5" borderId="0" xfId="0" applyFont="1" applyFill="1" applyAlignment="1" applyProtection="1">
      <alignment horizontal="left"/>
      <protection hidden="1"/>
    </xf>
    <xf numFmtId="173" fontId="9" fillId="11" borderId="14" xfId="0" applyNumberFormat="1" applyFont="1" applyFill="1" applyBorder="1" applyAlignment="1" applyProtection="1">
      <alignment vertical="center"/>
      <protection hidden="1"/>
    </xf>
    <xf numFmtId="44" fontId="29" fillId="0" borderId="0" xfId="14" applyFont="1" applyFill="1" applyBorder="1" applyProtection="1">
      <protection hidden="1"/>
    </xf>
    <xf numFmtId="1" fontId="9" fillId="11" borderId="14" xfId="0" applyNumberFormat="1" applyFont="1" applyFill="1" applyBorder="1" applyAlignment="1" applyProtection="1">
      <alignment horizontal="center" vertical="center"/>
      <protection hidden="1"/>
    </xf>
    <xf numFmtId="0" fontId="6" fillId="11" borderId="12" xfId="0" applyFont="1" applyFill="1" applyBorder="1" applyAlignment="1" applyProtection="1">
      <alignment horizontal="right" vertical="center"/>
      <protection hidden="1"/>
    </xf>
    <xf numFmtId="44" fontId="27" fillId="0" borderId="0" xfId="14" applyFont="1" applyFill="1" applyBorder="1" applyAlignment="1" applyProtection="1">
      <alignment horizontal="right" vertical="center"/>
      <protection hidden="1"/>
    </xf>
    <xf numFmtId="173" fontId="9" fillId="11" borderId="12" xfId="0" applyNumberFormat="1" applyFont="1" applyFill="1" applyBorder="1" applyAlignment="1" applyProtection="1">
      <alignment vertical="center"/>
      <protection hidden="1"/>
    </xf>
    <xf numFmtId="1" fontId="7" fillId="0" borderId="0" xfId="0" applyNumberFormat="1" applyFont="1" applyAlignment="1" applyProtection="1">
      <alignment horizontal="center"/>
      <protection hidden="1"/>
    </xf>
    <xf numFmtId="1" fontId="7" fillId="0" borderId="11" xfId="0" applyNumberFormat="1" applyFont="1" applyBorder="1" applyAlignment="1" applyProtection="1">
      <alignment horizontal="center"/>
      <protection hidden="1"/>
    </xf>
    <xf numFmtId="0" fontId="31" fillId="8" borderId="1" xfId="0" applyFont="1" applyFill="1" applyBorder="1" applyAlignment="1" applyProtection="1">
      <alignment vertical="center"/>
      <protection hidden="1"/>
    </xf>
    <xf numFmtId="0" fontId="5" fillId="4" borderId="0" xfId="0" applyFont="1" applyFill="1" applyProtection="1">
      <protection hidden="1"/>
    </xf>
    <xf numFmtId="1" fontId="27" fillId="4" borderId="0" xfId="0" applyNumberFormat="1" applyFont="1" applyFill="1" applyAlignment="1" applyProtection="1">
      <alignment horizontal="center"/>
      <protection hidden="1"/>
    </xf>
    <xf numFmtId="0" fontId="32" fillId="4" borderId="0" xfId="0" applyFont="1" applyFill="1" applyAlignment="1" applyProtection="1">
      <alignment horizontal="left" vertical="center"/>
      <protection hidden="1"/>
    </xf>
    <xf numFmtId="1" fontId="5" fillId="4" borderId="0" xfId="0" applyNumberFormat="1" applyFont="1" applyFill="1" applyAlignment="1" applyProtection="1">
      <alignment horizontal="left"/>
      <protection hidden="1"/>
    </xf>
    <xf numFmtId="0" fontId="6" fillId="4" borderId="0" xfId="0" applyFont="1" applyFill="1" applyProtection="1">
      <protection hidden="1"/>
    </xf>
    <xf numFmtId="0" fontId="27" fillId="4" borderId="0" xfId="0" applyFont="1" applyFill="1" applyProtection="1">
      <protection hidden="1"/>
    </xf>
    <xf numFmtId="0" fontId="30" fillId="4" borderId="0" xfId="0" applyFont="1" applyFill="1" applyProtection="1">
      <protection hidden="1"/>
    </xf>
    <xf numFmtId="0" fontId="31" fillId="4" borderId="0" xfId="0" applyFont="1" applyFill="1" applyAlignment="1" applyProtection="1">
      <alignment horizontal="left" vertical="center"/>
      <protection hidden="1"/>
    </xf>
    <xf numFmtId="1" fontId="29" fillId="0" borderId="0" xfId="0" applyNumberFormat="1" applyFont="1" applyAlignment="1" applyProtection="1">
      <alignment horizontal="center"/>
      <protection hidden="1"/>
    </xf>
    <xf numFmtId="1" fontId="29" fillId="0" borderId="0" xfId="0" applyNumberFormat="1" applyFont="1" applyProtection="1">
      <protection hidden="1"/>
    </xf>
    <xf numFmtId="173" fontId="21" fillId="4" borderId="0" xfId="0" applyNumberFormat="1" applyFont="1" applyFill="1" applyAlignment="1">
      <alignment horizontal="left" vertical="top"/>
    </xf>
    <xf numFmtId="173" fontId="7" fillId="8" borderId="1" xfId="2" applyNumberFormat="1" applyFont="1" applyFill="1" applyBorder="1" applyAlignment="1" applyProtection="1">
      <alignment vertical="center"/>
      <protection locked="0"/>
    </xf>
    <xf numFmtId="173" fontId="36" fillId="4" borderId="16" xfId="0" applyNumberFormat="1" applyFont="1" applyFill="1" applyBorder="1" applyAlignment="1">
      <alignment horizontal="right" vertical="top" wrapText="1"/>
    </xf>
    <xf numFmtId="165" fontId="0" fillId="3" borderId="13" xfId="1" applyNumberFormat="1" applyFont="1" applyFill="1" applyBorder="1" applyAlignment="1" applyProtection="1">
      <alignment horizontal="right" vertical="top"/>
      <protection locked="0"/>
    </xf>
    <xf numFmtId="165" fontId="0" fillId="3" borderId="1" xfId="1" applyNumberFormat="1" applyFont="1" applyFill="1" applyBorder="1" applyAlignment="1" applyProtection="1">
      <alignment horizontal="right" vertical="top"/>
      <protection locked="0"/>
    </xf>
    <xf numFmtId="173" fontId="36" fillId="4" borderId="21" xfId="0" applyNumberFormat="1" applyFont="1" applyFill="1" applyBorder="1" applyAlignment="1">
      <alignment horizontal="right" vertical="top" wrapText="1"/>
    </xf>
    <xf numFmtId="44" fontId="7" fillId="6" borderId="1" xfId="14" applyFont="1" applyFill="1" applyBorder="1" applyAlignment="1" applyProtection="1">
      <alignment vertical="center"/>
      <protection hidden="1"/>
    </xf>
    <xf numFmtId="181" fontId="11" fillId="3" borderId="1" xfId="30" applyNumberFormat="1" applyFont="1" applyFill="1" applyBorder="1" applyAlignment="1" applyProtection="1">
      <alignment horizontal="right" vertical="center" wrapText="1"/>
      <protection locked="0"/>
    </xf>
    <xf numFmtId="0" fontId="46" fillId="5" borderId="0" xfId="0" applyFont="1" applyFill="1" applyProtection="1">
      <protection hidden="1"/>
    </xf>
    <xf numFmtId="0" fontId="46" fillId="5" borderId="0" xfId="0" applyFont="1" applyFill="1" applyProtection="1">
      <protection locked="0"/>
    </xf>
    <xf numFmtId="0" fontId="47" fillId="5" borderId="0" xfId="0" quotePrefix="1" applyFont="1" applyFill="1" applyAlignment="1" applyProtection="1">
      <alignment vertical="center"/>
      <protection locked="0"/>
    </xf>
    <xf numFmtId="0" fontId="47" fillId="5" borderId="0" xfId="0" applyFont="1" applyFill="1" applyAlignment="1" applyProtection="1">
      <alignment horizontal="center" vertical="center"/>
      <protection locked="0"/>
    </xf>
    <xf numFmtId="167" fontId="47" fillId="5" borderId="0" xfId="6" applyFont="1" applyFill="1" applyBorder="1" applyAlignment="1" applyProtection="1">
      <alignment horizontal="right" vertical="center"/>
      <protection locked="0"/>
    </xf>
    <xf numFmtId="0" fontId="47" fillId="5" borderId="0" xfId="0" applyFont="1" applyFill="1" applyAlignment="1" applyProtection="1">
      <alignment horizontal="right" vertical="center"/>
      <protection locked="0"/>
    </xf>
    <xf numFmtId="0" fontId="47" fillId="5" borderId="0" xfId="0" applyFont="1" applyFill="1" applyAlignment="1" applyProtection="1">
      <alignment vertical="center"/>
      <protection locked="0"/>
    </xf>
    <xf numFmtId="167" fontId="47" fillId="5" borderId="0" xfId="6" applyFont="1" applyFill="1" applyBorder="1" applyAlignment="1" applyProtection="1">
      <alignment horizontal="center" vertical="center"/>
      <protection locked="0"/>
    </xf>
    <xf numFmtId="1" fontId="47" fillId="5" borderId="0" xfId="0" applyNumberFormat="1" applyFont="1" applyFill="1" applyAlignment="1" applyProtection="1">
      <alignment horizontal="center" vertical="center"/>
      <protection locked="0"/>
    </xf>
    <xf numFmtId="1" fontId="47" fillId="5" borderId="0" xfId="0" applyNumberFormat="1" applyFont="1" applyFill="1" applyAlignment="1" applyProtection="1">
      <alignment horizontal="right" vertical="center"/>
      <protection locked="0"/>
    </xf>
    <xf numFmtId="0" fontId="46" fillId="5" borderId="0" xfId="0" applyFont="1" applyFill="1" applyAlignment="1" applyProtection="1">
      <alignment horizontal="center" vertical="center"/>
      <protection locked="0"/>
    </xf>
    <xf numFmtId="183" fontId="47" fillId="5" borderId="0" xfId="6" applyNumberFormat="1" applyFont="1" applyFill="1" applyBorder="1" applyAlignment="1" applyProtection="1">
      <alignment horizontal="right" vertical="center"/>
      <protection locked="0"/>
    </xf>
    <xf numFmtId="1" fontId="47" fillId="5" borderId="0" xfId="30" applyNumberFormat="1" applyFont="1" applyFill="1" applyBorder="1" applyAlignment="1" applyProtection="1">
      <alignment horizontal="center" vertical="center"/>
      <protection locked="0"/>
    </xf>
    <xf numFmtId="0" fontId="48" fillId="5" borderId="0" xfId="0" applyFont="1" applyFill="1" applyAlignment="1" applyProtection="1">
      <alignment horizontal="left" vertical="center"/>
      <protection locked="0"/>
    </xf>
    <xf numFmtId="0" fontId="47" fillId="5" borderId="0" xfId="0" applyFont="1" applyFill="1" applyProtection="1">
      <protection locked="0"/>
    </xf>
    <xf numFmtId="0" fontId="47" fillId="5" borderId="0" xfId="0" applyFont="1" applyFill="1" applyProtection="1">
      <protection hidden="1"/>
    </xf>
    <xf numFmtId="164" fontId="47" fillId="5" borderId="0" xfId="30" applyFont="1" applyFill="1" applyBorder="1" applyAlignment="1" applyProtection="1">
      <alignment horizontal="right"/>
      <protection locked="0"/>
    </xf>
    <xf numFmtId="2" fontId="47" fillId="5" borderId="0" xfId="0" applyNumberFormat="1" applyFont="1" applyFill="1" applyProtection="1">
      <protection locked="0"/>
    </xf>
    <xf numFmtId="0" fontId="47" fillId="5" borderId="0" xfId="0" applyFont="1" applyFill="1" applyAlignment="1" applyProtection="1">
      <alignment wrapText="1"/>
      <protection locked="0"/>
    </xf>
    <xf numFmtId="164" fontId="47" fillId="5" borderId="0" xfId="30" applyFont="1" applyFill="1" applyBorder="1" applyAlignment="1" applyProtection="1">
      <alignment vertical="center"/>
      <protection locked="0"/>
    </xf>
    <xf numFmtId="0" fontId="47" fillId="5" borderId="0" xfId="0" applyFont="1" applyFill="1" applyAlignment="1" applyProtection="1">
      <alignment vertical="center" wrapText="1"/>
      <protection locked="0"/>
    </xf>
    <xf numFmtId="164" fontId="48" fillId="5" borderId="0" xfId="30" applyFont="1" applyFill="1" applyBorder="1" applyAlignment="1" applyProtection="1">
      <alignment vertical="center"/>
      <protection locked="0"/>
    </xf>
    <xf numFmtId="0" fontId="48" fillId="5" borderId="0" xfId="0" applyFont="1" applyFill="1" applyAlignment="1" applyProtection="1">
      <alignment horizontal="right" vertical="center"/>
      <protection locked="0"/>
    </xf>
    <xf numFmtId="0" fontId="48" fillId="5" borderId="0" xfId="0" applyFont="1" applyFill="1" applyAlignment="1" applyProtection="1">
      <alignment vertical="center"/>
      <protection locked="0"/>
    </xf>
    <xf numFmtId="180" fontId="49" fillId="5" borderId="0" xfId="0" applyNumberFormat="1" applyFont="1" applyFill="1" applyAlignment="1" applyProtection="1">
      <alignment horizontal="right" vertical="center"/>
      <protection locked="0"/>
    </xf>
    <xf numFmtId="179" fontId="49" fillId="5" borderId="0" xfId="0" applyNumberFormat="1" applyFont="1" applyFill="1" applyAlignment="1" applyProtection="1">
      <alignment horizontal="right" vertical="center"/>
      <protection locked="0"/>
    </xf>
    <xf numFmtId="182" fontId="49" fillId="5" borderId="0" xfId="6" applyNumberFormat="1" applyFont="1" applyFill="1" applyBorder="1" applyAlignment="1" applyProtection="1">
      <alignment horizontal="right" vertical="center"/>
      <protection locked="0"/>
    </xf>
    <xf numFmtId="0" fontId="49" fillId="5" borderId="0" xfId="0" applyFont="1" applyFill="1" applyAlignment="1" applyProtection="1">
      <alignment horizontal="center" vertical="center"/>
      <protection locked="0"/>
    </xf>
    <xf numFmtId="0" fontId="47" fillId="5" borderId="0" xfId="0" applyFont="1" applyFill="1" applyAlignment="1" applyProtection="1">
      <alignment vertical="center"/>
      <protection hidden="1"/>
    </xf>
    <xf numFmtId="0" fontId="50" fillId="5" borderId="0" xfId="0" applyFont="1" applyFill="1" applyAlignment="1" applyProtection="1">
      <alignment vertical="center"/>
      <protection hidden="1"/>
    </xf>
    <xf numFmtId="0" fontId="52" fillId="5" borderId="0" xfId="0" applyFont="1" applyFill="1" applyAlignment="1" applyProtection="1">
      <alignment vertical="center"/>
      <protection hidden="1"/>
    </xf>
    <xf numFmtId="1" fontId="49" fillId="5" borderId="0" xfId="0" applyNumberFormat="1" applyFont="1" applyFill="1" applyAlignment="1" applyProtection="1">
      <alignment horizontal="right" vertical="center"/>
      <protection hidden="1"/>
    </xf>
    <xf numFmtId="180" fontId="49" fillId="5" borderId="0" xfId="0" applyNumberFormat="1" applyFont="1" applyFill="1" applyAlignment="1" applyProtection="1">
      <alignment horizontal="right" vertical="center"/>
      <protection hidden="1"/>
    </xf>
    <xf numFmtId="179" fontId="47" fillId="5" borderId="0" xfId="0" applyNumberFormat="1" applyFont="1" applyFill="1" applyAlignment="1" applyProtection="1">
      <alignment horizontal="right" vertical="center" wrapText="1"/>
      <protection hidden="1"/>
    </xf>
    <xf numFmtId="167" fontId="47" fillId="5" borderId="0" xfId="6" applyFont="1" applyFill="1" applyBorder="1" applyAlignment="1" applyProtection="1">
      <alignment horizontal="right" vertical="center" wrapText="1"/>
      <protection hidden="1"/>
    </xf>
    <xf numFmtId="0" fontId="47" fillId="5" borderId="0" xfId="0" applyFont="1" applyFill="1" applyAlignment="1" applyProtection="1">
      <alignment horizontal="center" vertical="center"/>
      <protection hidden="1"/>
    </xf>
    <xf numFmtId="0" fontId="48" fillId="5" borderId="0" xfId="0" applyFont="1" applyFill="1" applyAlignment="1" applyProtection="1">
      <alignment horizontal="left" vertical="center"/>
      <protection hidden="1"/>
    </xf>
    <xf numFmtId="0" fontId="47" fillId="5" borderId="0" xfId="0" applyFont="1" applyFill="1" applyAlignment="1" applyProtection="1">
      <alignment wrapText="1"/>
      <protection hidden="1"/>
    </xf>
    <xf numFmtId="0" fontId="27" fillId="0" borderId="0" xfId="0" applyFont="1"/>
    <xf numFmtId="0" fontId="11" fillId="0" borderId="0" xfId="0" applyFont="1"/>
    <xf numFmtId="0" fontId="45" fillId="11" borderId="0" xfId="0" applyFont="1" applyFill="1"/>
    <xf numFmtId="0" fontId="6" fillId="11" borderId="0" xfId="0" applyFont="1" applyFill="1"/>
    <xf numFmtId="0" fontId="11" fillId="11" borderId="0" xfId="0" applyFont="1" applyFill="1"/>
    <xf numFmtId="0" fontId="9" fillId="11" borderId="0" xfId="0" applyFont="1" applyFill="1"/>
    <xf numFmtId="0" fontId="44" fillId="11" borderId="0" xfId="0" applyFont="1" applyFill="1"/>
    <xf numFmtId="0" fontId="40" fillId="11" borderId="0" xfId="0" applyFont="1" applyFill="1" applyAlignment="1">
      <alignment vertical="center"/>
    </xf>
    <xf numFmtId="165" fontId="0" fillId="3" borderId="1" xfId="1" applyNumberFormat="1" applyFont="1" applyFill="1" applyBorder="1" applyAlignment="1" applyProtection="1">
      <alignment horizontal="center" vertical="center"/>
    </xf>
    <xf numFmtId="0" fontId="14" fillId="11" borderId="0" xfId="0" applyFont="1" applyFill="1" applyAlignment="1">
      <alignment vertical="center"/>
    </xf>
    <xf numFmtId="1" fontId="7" fillId="0" borderId="11" xfId="0" applyNumberFormat="1" applyFont="1" applyBorder="1"/>
    <xf numFmtId="1" fontId="27" fillId="0" borderId="11" xfId="0" applyNumberFormat="1" applyFont="1" applyBorder="1" applyAlignment="1">
      <alignment horizontal="right"/>
    </xf>
    <xf numFmtId="1" fontId="27" fillId="0" borderId="11" xfId="0" applyNumberFormat="1" applyFont="1" applyBorder="1"/>
    <xf numFmtId="1" fontId="41" fillId="0" borderId="11" xfId="0" applyNumberFormat="1" applyFont="1" applyBorder="1"/>
    <xf numFmtId="167" fontId="27" fillId="0" borderId="0" xfId="6" applyFont="1" applyAlignment="1" applyProtection="1">
      <alignment horizontal="left"/>
    </xf>
    <xf numFmtId="0" fontId="11" fillId="0" borderId="0" xfId="0" applyFont="1" applyAlignment="1">
      <alignment wrapText="1"/>
    </xf>
    <xf numFmtId="182" fontId="39" fillId="7" borderId="1" xfId="6" quotePrefix="1" applyNumberFormat="1" applyFont="1" applyFill="1" applyBorder="1" applyAlignment="1" applyProtection="1">
      <alignment horizontal="right" vertical="center" wrapText="1"/>
    </xf>
    <xf numFmtId="0" fontId="40" fillId="11" borderId="12" xfId="0" applyFont="1" applyFill="1" applyBorder="1" applyAlignment="1">
      <alignment horizontal="right" vertical="center" wrapText="1"/>
    </xf>
    <xf numFmtId="0" fontId="11" fillId="0" borderId="12" xfId="0" applyFont="1" applyBorder="1" applyAlignment="1">
      <alignment horizontal="right" vertical="center"/>
    </xf>
    <xf numFmtId="3" fontId="39" fillId="5" borderId="1" xfId="0" quotePrefix="1" applyNumberFormat="1" applyFont="1" applyFill="1" applyBorder="1" applyAlignment="1">
      <alignment horizontal="right" vertical="center" wrapText="1"/>
    </xf>
    <xf numFmtId="179" fontId="39" fillId="0" borderId="14" xfId="0" applyNumberFormat="1" applyFont="1" applyBorder="1" applyAlignment="1">
      <alignment horizontal="right" vertical="center"/>
    </xf>
    <xf numFmtId="179" fontId="39" fillId="0" borderId="12" xfId="0" applyNumberFormat="1" applyFont="1" applyBorder="1" applyAlignment="1">
      <alignment horizontal="left" vertical="center"/>
    </xf>
    <xf numFmtId="0" fontId="11" fillId="0" borderId="14" xfId="0" applyFont="1" applyBorder="1" applyAlignment="1">
      <alignment horizontal="center" vertical="center"/>
    </xf>
    <xf numFmtId="3" fontId="11" fillId="0" borderId="1" xfId="0" applyNumberFormat="1" applyFont="1" applyBorder="1" applyAlignment="1">
      <alignment horizontal="right" vertical="center"/>
    </xf>
    <xf numFmtId="180" fontId="43" fillId="0" borderId="1" xfId="0" applyNumberFormat="1" applyFont="1" applyBorder="1" applyAlignment="1">
      <alignment horizontal="right" vertical="center"/>
    </xf>
    <xf numFmtId="0" fontId="42" fillId="0" borderId="14" xfId="0" applyFont="1" applyBorder="1" applyAlignment="1">
      <alignment horizontal="right" vertical="center"/>
    </xf>
    <xf numFmtId="0" fontId="14" fillId="0" borderId="24" xfId="17" applyFont="1" applyBorder="1" applyAlignment="1">
      <alignment vertical="center"/>
    </xf>
    <xf numFmtId="0" fontId="39" fillId="0" borderId="12" xfId="17" applyFont="1" applyBorder="1" applyAlignment="1">
      <alignment vertical="center"/>
    </xf>
    <xf numFmtId="0" fontId="39" fillId="0" borderId="8" xfId="17" applyFont="1" applyBorder="1" applyAlignment="1">
      <alignment vertical="center"/>
    </xf>
    <xf numFmtId="0" fontId="39" fillId="0" borderId="0" xfId="17" applyFont="1" applyAlignment="1">
      <alignment horizontal="left" vertical="center"/>
    </xf>
    <xf numFmtId="0" fontId="42" fillId="0" borderId="0" xfId="0" applyFont="1" applyAlignment="1">
      <alignment horizontal="right" vertical="center"/>
    </xf>
    <xf numFmtId="0" fontId="40" fillId="11" borderId="3" xfId="0" applyFont="1" applyFill="1" applyBorder="1" applyAlignment="1">
      <alignment horizontal="right" vertical="center" wrapText="1"/>
    </xf>
    <xf numFmtId="0" fontId="39" fillId="0" borderId="0" xfId="0" applyFont="1"/>
    <xf numFmtId="3" fontId="11" fillId="0" borderId="0" xfId="0" applyNumberFormat="1" applyFont="1" applyAlignment="1">
      <alignment horizontal="right" vertical="center"/>
    </xf>
    <xf numFmtId="179" fontId="39" fillId="0" borderId="0" xfId="0" applyNumberFormat="1" applyFont="1" applyAlignment="1">
      <alignment horizontal="right" vertical="center"/>
    </xf>
    <xf numFmtId="179" fontId="39" fillId="0" borderId="0" xfId="0" applyNumberFormat="1" applyFont="1" applyAlignment="1">
      <alignment horizontal="left" vertical="center"/>
    </xf>
    <xf numFmtId="0" fontId="40" fillId="11" borderId="8" xfId="0" applyFont="1" applyFill="1" applyBorder="1" applyAlignment="1">
      <alignment horizontal="center" vertical="center"/>
    </xf>
    <xf numFmtId="0" fontId="40" fillId="11" borderId="0" xfId="0" applyFont="1" applyFill="1" applyAlignment="1">
      <alignment horizontal="center" vertical="center"/>
    </xf>
    <xf numFmtId="0" fontId="11" fillId="0" borderId="1" xfId="0" applyFont="1" applyBorder="1" applyAlignment="1">
      <alignment horizontal="right" vertical="center"/>
    </xf>
    <xf numFmtId="0" fontId="39" fillId="0" borderId="14" xfId="1" applyNumberFormat="1" applyFont="1" applyBorder="1" applyAlignment="1" applyProtection="1">
      <alignment vertical="center"/>
    </xf>
    <xf numFmtId="173" fontId="36" fillId="4" borderId="30" xfId="0" applyNumberFormat="1" applyFont="1" applyFill="1" applyBorder="1" applyAlignment="1">
      <alignment horizontal="left" vertical="top"/>
    </xf>
    <xf numFmtId="173" fontId="36" fillId="4" borderId="25" xfId="0" applyNumberFormat="1" applyFont="1" applyFill="1" applyBorder="1" applyAlignment="1">
      <alignment horizontal="right" vertical="top"/>
    </xf>
    <xf numFmtId="0" fontId="0" fillId="0" borderId="14" xfId="0" applyBorder="1"/>
    <xf numFmtId="0" fontId="0" fillId="0" borderId="2" xfId="0" applyBorder="1"/>
    <xf numFmtId="0" fontId="36" fillId="6" borderId="14" xfId="0" applyFont="1" applyFill="1" applyBorder="1"/>
    <xf numFmtId="165" fontId="36" fillId="6" borderId="7" xfId="0" applyNumberFormat="1" applyFont="1" applyFill="1" applyBorder="1"/>
    <xf numFmtId="0" fontId="34" fillId="0" borderId="0" xfId="2" applyFont="1"/>
    <xf numFmtId="0" fontId="34" fillId="13" borderId="0" xfId="2" applyFont="1" applyFill="1"/>
    <xf numFmtId="0" fontId="35" fillId="0" borderId="0" xfId="2" applyFont="1"/>
    <xf numFmtId="0" fontId="35" fillId="13" borderId="0" xfId="2" applyFont="1" applyFill="1"/>
    <xf numFmtId="0" fontId="10" fillId="0" borderId="11" xfId="2" applyFont="1" applyBorder="1"/>
    <xf numFmtId="173" fontId="7" fillId="0" borderId="11" xfId="2" applyNumberFormat="1" applyFont="1" applyBorder="1"/>
    <xf numFmtId="175" fontId="30" fillId="0" borderId="11" xfId="28" applyNumberFormat="1" applyFont="1" applyFill="1" applyBorder="1" applyProtection="1"/>
    <xf numFmtId="176" fontId="7" fillId="0" borderId="11" xfId="28" applyNumberFormat="1" applyFont="1" applyFill="1" applyBorder="1" applyProtection="1"/>
    <xf numFmtId="175" fontId="7" fillId="0" borderId="11" xfId="28" applyNumberFormat="1" applyFont="1" applyFill="1" applyBorder="1" applyAlignment="1" applyProtection="1">
      <alignment horizontal="center"/>
    </xf>
    <xf numFmtId="0" fontId="10" fillId="0" borderId="0" xfId="2" applyFont="1"/>
    <xf numFmtId="173" fontId="7" fillId="0" borderId="0" xfId="2" applyNumberFormat="1" applyFont="1"/>
    <xf numFmtId="175" fontId="30" fillId="0" borderId="0" xfId="28" applyNumberFormat="1" applyFont="1" applyFill="1" applyBorder="1" applyProtection="1"/>
    <xf numFmtId="176" fontId="7" fillId="0" borderId="0" xfId="28" applyNumberFormat="1" applyFont="1" applyFill="1" applyBorder="1" applyProtection="1"/>
    <xf numFmtId="175" fontId="7" fillId="0" borderId="0" xfId="28" applyNumberFormat="1" applyFont="1" applyFill="1" applyBorder="1" applyAlignment="1" applyProtection="1">
      <alignment horizontal="center"/>
    </xf>
    <xf numFmtId="173" fontId="7" fillId="0" borderId="0" xfId="2" applyNumberFormat="1" applyFont="1" applyAlignment="1">
      <alignment horizontal="right"/>
    </xf>
    <xf numFmtId="0" fontId="7" fillId="0" borderId="0" xfId="2" applyFont="1" applyAlignment="1">
      <alignment horizontal="right"/>
    </xf>
    <xf numFmtId="173" fontId="9" fillId="4" borderId="0" xfId="0" applyNumberFormat="1" applyFont="1" applyFill="1"/>
    <xf numFmtId="173" fontId="5" fillId="4" borderId="0" xfId="0" applyNumberFormat="1" applyFont="1" applyFill="1"/>
    <xf numFmtId="0" fontId="5" fillId="4" borderId="0" xfId="0" applyFont="1" applyFill="1"/>
    <xf numFmtId="173" fontId="5" fillId="4" borderId="0" xfId="0" applyNumberFormat="1" applyFont="1" applyFill="1" applyAlignment="1">
      <alignment wrapText="1"/>
    </xf>
    <xf numFmtId="173" fontId="5" fillId="4" borderId="0" xfId="0" applyNumberFormat="1" applyFont="1" applyFill="1" applyAlignment="1">
      <alignment horizontal="right" wrapText="1"/>
    </xf>
    <xf numFmtId="1" fontId="3" fillId="4" borderId="13" xfId="0" applyNumberFormat="1" applyFont="1" applyFill="1" applyBorder="1" applyAlignment="1">
      <alignment horizontal="center"/>
    </xf>
    <xf numFmtId="1" fontId="3" fillId="4" borderId="13" xfId="0" applyNumberFormat="1" applyFont="1" applyFill="1" applyBorder="1" applyAlignment="1">
      <alignment horizontal="center" wrapText="1"/>
    </xf>
    <xf numFmtId="173" fontId="5" fillId="4" borderId="0" xfId="0" applyNumberFormat="1" applyFont="1" applyFill="1" applyAlignment="1">
      <alignment horizontal="right"/>
    </xf>
    <xf numFmtId="0" fontId="5" fillId="4" borderId="0" xfId="0" applyFont="1" applyFill="1" applyAlignment="1">
      <alignment horizontal="right" wrapText="1"/>
    </xf>
    <xf numFmtId="0" fontId="7" fillId="0" borderId="0" xfId="2" applyFont="1"/>
    <xf numFmtId="0" fontId="7" fillId="0" borderId="1" xfId="2" applyFont="1" applyBorder="1" applyAlignment="1">
      <alignment horizontal="center" vertical="center"/>
    </xf>
    <xf numFmtId="0" fontId="7" fillId="0" borderId="1" xfId="14" applyNumberFormat="1" applyFont="1" applyFill="1" applyBorder="1" applyAlignment="1" applyProtection="1">
      <alignment vertical="center"/>
    </xf>
    <xf numFmtId="176" fontId="7" fillId="0" borderId="0" xfId="28" applyNumberFormat="1" applyFont="1" applyFill="1" applyBorder="1" applyAlignment="1" applyProtection="1">
      <alignment horizontal="right" vertical="center"/>
    </xf>
    <xf numFmtId="0" fontId="7" fillId="0" borderId="0" xfId="2" applyFont="1" applyAlignment="1">
      <alignment vertical="center"/>
    </xf>
    <xf numFmtId="0" fontId="3" fillId="0" borderId="0" xfId="0" applyFont="1"/>
    <xf numFmtId="0" fontId="7" fillId="0" borderId="0" xfId="2" applyFont="1" applyAlignment="1">
      <alignment horizontal="center" vertical="center"/>
    </xf>
    <xf numFmtId="165" fontId="7" fillId="6" borderId="7" xfId="2" applyNumberFormat="1" applyFont="1" applyFill="1" applyBorder="1" applyAlignment="1">
      <alignment vertical="center"/>
    </xf>
    <xf numFmtId="165" fontId="7" fillId="0" borderId="0" xfId="2" applyNumberFormat="1" applyFont="1" applyAlignment="1">
      <alignment vertical="center"/>
    </xf>
    <xf numFmtId="0" fontId="2" fillId="0" borderId="0" xfId="0" applyFont="1"/>
    <xf numFmtId="0" fontId="29" fillId="0" borderId="0" xfId="2" applyFont="1" applyAlignment="1">
      <alignment horizontal="right"/>
    </xf>
    <xf numFmtId="0" fontId="29" fillId="0" borderId="0" xfId="2" applyFont="1" applyAlignment="1">
      <alignment horizontal="right" vertical="center"/>
    </xf>
    <xf numFmtId="173" fontId="10" fillId="4" borderId="0" xfId="2" applyNumberFormat="1" applyFont="1" applyFill="1" applyAlignment="1">
      <alignment horizontal="left"/>
    </xf>
    <xf numFmtId="173" fontId="7" fillId="4" borderId="0" xfId="2" applyNumberFormat="1" applyFont="1" applyFill="1" applyAlignment="1">
      <alignment horizontal="right"/>
    </xf>
    <xf numFmtId="173" fontId="7" fillId="4" borderId="0" xfId="2" applyNumberFormat="1" applyFont="1" applyFill="1" applyAlignment="1">
      <alignment horizontal="right" vertical="center"/>
    </xf>
    <xf numFmtId="0" fontId="20" fillId="4" borderId="18" xfId="0" applyFont="1" applyFill="1" applyBorder="1" applyAlignment="1">
      <alignment horizontal="center" vertical="center"/>
    </xf>
    <xf numFmtId="1" fontId="3" fillId="4" borderId="13" xfId="0" applyNumberFormat="1" applyFont="1" applyFill="1" applyBorder="1" applyAlignment="1">
      <alignment horizontal="center" vertical="center"/>
    </xf>
    <xf numFmtId="1" fontId="3" fillId="4" borderId="5" xfId="0" applyNumberFormat="1" applyFont="1" applyFill="1" applyBorder="1" applyAlignment="1">
      <alignment horizontal="center" vertical="center"/>
    </xf>
    <xf numFmtId="0" fontId="29" fillId="4" borderId="0" xfId="2" applyFont="1" applyFill="1" applyAlignment="1">
      <alignment horizontal="right"/>
    </xf>
    <xf numFmtId="0" fontId="29" fillId="4" borderId="0" xfId="2" applyFont="1" applyFill="1" applyAlignment="1">
      <alignment horizontal="right" vertical="center"/>
    </xf>
    <xf numFmtId="165" fontId="7" fillId="12" borderId="1" xfId="2" applyNumberFormat="1" applyFont="1" applyFill="1" applyBorder="1" applyAlignment="1">
      <alignment horizontal="right" vertical="center"/>
    </xf>
    <xf numFmtId="165" fontId="10" fillId="12" borderId="7" xfId="2" applyNumberFormat="1" applyFont="1" applyFill="1" applyBorder="1" applyAlignment="1">
      <alignment horizontal="right" vertical="center"/>
    </xf>
    <xf numFmtId="0" fontId="33" fillId="0" borderId="11" xfId="2" applyFont="1" applyBorder="1"/>
    <xf numFmtId="0" fontId="33" fillId="0" borderId="11" xfId="28" applyNumberFormat="1" applyFont="1" applyFill="1" applyBorder="1" applyProtection="1"/>
    <xf numFmtId="173" fontId="10" fillId="0" borderId="0" xfId="2" applyNumberFormat="1" applyFont="1"/>
    <xf numFmtId="173" fontId="31" fillId="0" borderId="0" xfId="2" applyNumberFormat="1" applyFont="1"/>
    <xf numFmtId="0" fontId="7" fillId="5" borderId="1" xfId="2" applyFont="1" applyFill="1" applyBorder="1" applyAlignment="1">
      <alignment vertical="center"/>
    </xf>
    <xf numFmtId="3" fontId="0" fillId="0" borderId="0" xfId="0" applyNumberFormat="1" applyAlignment="1">
      <alignment horizontal="right"/>
    </xf>
    <xf numFmtId="0" fontId="5" fillId="4" borderId="0" xfId="2" applyFont="1" applyFill="1" applyAlignment="1">
      <alignment wrapText="1"/>
    </xf>
    <xf numFmtId="0" fontId="5" fillId="4" borderId="0" xfId="2" applyFont="1" applyFill="1" applyAlignment="1">
      <alignment horizontal="right" wrapText="1"/>
    </xf>
    <xf numFmtId="173" fontId="36" fillId="5" borderId="0" xfId="0" applyNumberFormat="1" applyFont="1" applyFill="1" applyAlignment="1">
      <alignment horizontal="left" vertical="top" wrapText="1"/>
    </xf>
    <xf numFmtId="166" fontId="7" fillId="0" borderId="0" xfId="2" applyNumberFormat="1" applyFont="1" applyAlignment="1">
      <alignment horizontal="right"/>
    </xf>
    <xf numFmtId="164" fontId="7" fillId="0" borderId="0" xfId="4" applyFont="1" applyBorder="1" applyAlignment="1" applyProtection="1">
      <alignment horizontal="right"/>
    </xf>
    <xf numFmtId="164" fontId="7" fillId="0" borderId="0" xfId="2" applyNumberFormat="1" applyFont="1" applyAlignment="1">
      <alignment horizontal="right"/>
    </xf>
    <xf numFmtId="0" fontId="0" fillId="5" borderId="0" xfId="0" applyFill="1"/>
    <xf numFmtId="0" fontId="6" fillId="0" borderId="1" xfId="2" applyFont="1" applyBorder="1" applyAlignment="1">
      <alignment horizontal="left" vertical="center"/>
    </xf>
    <xf numFmtId="167" fontId="6" fillId="5" borderId="1" xfId="5" applyFont="1" applyFill="1" applyBorder="1" applyAlignment="1" applyProtection="1">
      <alignment horizontal="right" vertical="center" wrapText="1"/>
    </xf>
    <xf numFmtId="10" fontId="6" fillId="0" borderId="1" xfId="1" applyNumberFormat="1" applyFont="1" applyBorder="1" applyAlignment="1" applyProtection="1">
      <alignment horizontal="right" vertical="center"/>
    </xf>
    <xf numFmtId="8" fontId="6" fillId="5" borderId="1" xfId="5" applyNumberFormat="1" applyFont="1" applyFill="1" applyBorder="1" applyAlignment="1" applyProtection="1">
      <alignment horizontal="right" vertical="center" wrapText="1"/>
    </xf>
    <xf numFmtId="3" fontId="6" fillId="5" borderId="1" xfId="2" applyNumberFormat="1" applyFont="1" applyFill="1" applyBorder="1" applyAlignment="1">
      <alignment horizontal="right" vertical="center"/>
    </xf>
    <xf numFmtId="167" fontId="6" fillId="5" borderId="1" xfId="5" applyFont="1" applyFill="1" applyBorder="1" applyAlignment="1" applyProtection="1">
      <alignment horizontal="right" vertical="center"/>
    </xf>
    <xf numFmtId="8" fontId="6" fillId="5" borderId="1" xfId="5" applyNumberFormat="1" applyFont="1" applyFill="1" applyBorder="1" applyAlignment="1" applyProtection="1">
      <alignment horizontal="right" vertical="center"/>
    </xf>
    <xf numFmtId="167" fontId="6" fillId="6" borderId="1" xfId="5" applyFont="1" applyFill="1" applyBorder="1" applyAlignment="1" applyProtection="1">
      <alignment horizontal="right" vertical="center"/>
    </xf>
    <xf numFmtId="0" fontId="6" fillId="0" borderId="0" xfId="3" applyFont="1"/>
    <xf numFmtId="9" fontId="8" fillId="0" borderId="1" xfId="3" applyNumberFormat="1" applyFont="1" applyBorder="1" applyAlignment="1">
      <alignment horizontal="right"/>
    </xf>
    <xf numFmtId="44" fontId="6" fillId="0" borderId="1" xfId="3" applyNumberFormat="1" applyFont="1" applyBorder="1" applyAlignment="1">
      <alignment horizontal="center"/>
    </xf>
    <xf numFmtId="0" fontId="6" fillId="0" borderId="0" xfId="3" applyFont="1" applyAlignment="1">
      <alignment horizontal="center"/>
    </xf>
    <xf numFmtId="0" fontId="8" fillId="0" borderId="0" xfId="3" applyFont="1" applyAlignment="1">
      <alignment horizontal="left"/>
    </xf>
    <xf numFmtId="0" fontId="6" fillId="5" borderId="0" xfId="3" applyFont="1" applyFill="1"/>
    <xf numFmtId="0" fontId="5" fillId="0" borderId="0" xfId="3" applyFont="1"/>
    <xf numFmtId="0" fontId="9" fillId="4" borderId="0" xfId="3" applyFont="1" applyFill="1" applyAlignment="1">
      <alignment horizontal="left"/>
    </xf>
    <xf numFmtId="167" fontId="6" fillId="6" borderId="7" xfId="5" applyFont="1" applyFill="1" applyBorder="1" applyAlignment="1" applyProtection="1">
      <alignment horizontal="right" vertical="center"/>
    </xf>
    <xf numFmtId="167" fontId="5" fillId="7" borderId="7" xfId="5" applyFont="1" applyFill="1" applyBorder="1" applyAlignment="1" applyProtection="1">
      <alignment horizontal="right" vertical="center"/>
    </xf>
    <xf numFmtId="0" fontId="5" fillId="4" borderId="0" xfId="3" applyFont="1" applyFill="1" applyAlignment="1">
      <alignment horizontal="center"/>
    </xf>
    <xf numFmtId="0" fontId="5" fillId="0" borderId="2" xfId="3" applyFont="1" applyBorder="1"/>
    <xf numFmtId="0" fontId="5" fillId="0" borderId="3" xfId="3" applyFont="1" applyBorder="1"/>
    <xf numFmtId="0" fontId="10" fillId="0" borderId="3" xfId="2" applyFont="1" applyBorder="1"/>
    <xf numFmtId="0" fontId="5" fillId="0" borderId="4" xfId="3" applyFont="1" applyBorder="1"/>
    <xf numFmtId="0" fontId="6" fillId="0" borderId="8" xfId="3" applyFont="1" applyBorder="1"/>
    <xf numFmtId="0" fontId="5" fillId="0" borderId="9" xfId="3" applyFont="1" applyBorder="1"/>
    <xf numFmtId="0" fontId="5" fillId="4" borderId="0" xfId="3" applyFont="1" applyFill="1" applyAlignment="1">
      <alignment horizontal="right" wrapText="1"/>
    </xf>
    <xf numFmtId="0" fontId="5" fillId="4" borderId="0" xfId="3" applyFont="1" applyFill="1" applyAlignment="1">
      <alignment horizontal="right"/>
    </xf>
    <xf numFmtId="0" fontId="11" fillId="0" borderId="8" xfId="0" applyFont="1" applyBorder="1"/>
    <xf numFmtId="167" fontId="6" fillId="9" borderId="1" xfId="5" applyFont="1" applyFill="1" applyBorder="1" applyAlignment="1" applyProtection="1">
      <alignment horizontal="right" vertical="center" wrapText="1"/>
    </xf>
    <xf numFmtId="166" fontId="6" fillId="0" borderId="1" xfId="4" applyNumberFormat="1" applyFont="1" applyFill="1" applyBorder="1" applyAlignment="1" applyProtection="1">
      <alignment horizontal="right" vertical="center"/>
    </xf>
    <xf numFmtId="168" fontId="6" fillId="0" borderId="1" xfId="1" applyNumberFormat="1" applyFont="1" applyBorder="1" applyProtection="1"/>
    <xf numFmtId="0" fontId="13" fillId="0" borderId="0" xfId="3" applyFont="1"/>
    <xf numFmtId="169" fontId="6" fillId="0" borderId="0" xfId="4" applyNumberFormat="1" applyFont="1" applyProtection="1"/>
    <xf numFmtId="0" fontId="14" fillId="0" borderId="1" xfId="3" applyFont="1" applyBorder="1"/>
    <xf numFmtId="0" fontId="14" fillId="4" borderId="0" xfId="3" applyFont="1" applyFill="1"/>
    <xf numFmtId="0" fontId="6" fillId="4" borderId="0" xfId="3" applyFont="1" applyFill="1"/>
    <xf numFmtId="0" fontId="14" fillId="0" borderId="8" xfId="3" applyFont="1" applyBorder="1" applyAlignment="1">
      <alignment vertical="top"/>
    </xf>
    <xf numFmtId="0" fontId="6" fillId="0" borderId="0" xfId="3" applyFont="1" applyAlignment="1">
      <alignment vertical="top"/>
    </xf>
    <xf numFmtId="0" fontId="7" fillId="0" borderId="0" xfId="2" applyFont="1" applyAlignment="1">
      <alignment vertical="top"/>
    </xf>
    <xf numFmtId="0" fontId="5" fillId="0" borderId="9" xfId="3" applyFont="1" applyBorder="1" applyAlignment="1">
      <alignment vertical="top"/>
    </xf>
    <xf numFmtId="0" fontId="14" fillId="0" borderId="5" xfId="3" applyFont="1" applyBorder="1" applyAlignment="1">
      <alignment vertical="top"/>
    </xf>
    <xf numFmtId="0" fontId="6" fillId="0" borderId="10" xfId="3" applyFont="1" applyBorder="1" applyAlignment="1">
      <alignment vertical="top"/>
    </xf>
    <xf numFmtId="0" fontId="7" fillId="0" borderId="10" xfId="2" applyFont="1" applyBorder="1" applyAlignment="1">
      <alignment vertical="top"/>
    </xf>
    <xf numFmtId="0" fontId="5" fillId="0" borderId="6" xfId="3" applyFont="1" applyBorder="1" applyAlignment="1">
      <alignment vertical="top"/>
    </xf>
    <xf numFmtId="165" fontId="14" fillId="0" borderId="1" xfId="6" applyNumberFormat="1" applyFont="1" applyFill="1" applyBorder="1" applyProtection="1"/>
    <xf numFmtId="0" fontId="14" fillId="0" borderId="0" xfId="3" applyFont="1" applyAlignment="1">
      <alignment vertical="top"/>
    </xf>
    <xf numFmtId="0" fontId="5" fillId="0" borderId="0" xfId="3" applyFont="1" applyAlignment="1">
      <alignment vertical="top"/>
    </xf>
    <xf numFmtId="170" fontId="13" fillId="0" borderId="0" xfId="3" applyNumberFormat="1" applyFont="1"/>
    <xf numFmtId="0" fontId="6" fillId="4" borderId="2" xfId="3" applyFont="1" applyFill="1" applyBorder="1"/>
    <xf numFmtId="0" fontId="13" fillId="4" borderId="3" xfId="3" applyFont="1" applyFill="1" applyBorder="1" applyAlignment="1">
      <alignment horizontal="right"/>
    </xf>
    <xf numFmtId="0" fontId="5" fillId="4" borderId="3" xfId="3" applyFont="1" applyFill="1" applyBorder="1" applyAlignment="1">
      <alignment horizontal="right"/>
    </xf>
    <xf numFmtId="0" fontId="5" fillId="4" borderId="4" xfId="3" applyFont="1" applyFill="1" applyBorder="1" applyAlignment="1">
      <alignment horizontal="right"/>
    </xf>
    <xf numFmtId="0" fontId="5" fillId="4" borderId="0" xfId="3" applyFont="1" applyFill="1" applyAlignment="1">
      <alignment horizontal="left"/>
    </xf>
    <xf numFmtId="0" fontId="13" fillId="4" borderId="0" xfId="3" applyFont="1" applyFill="1"/>
    <xf numFmtId="0" fontId="6" fillId="4" borderId="8" xfId="3" applyFont="1" applyFill="1" applyBorder="1"/>
    <xf numFmtId="171" fontId="5" fillId="4" borderId="0" xfId="3" applyNumberFormat="1" applyFont="1" applyFill="1" applyAlignment="1">
      <alignment horizontal="right"/>
    </xf>
    <xf numFmtId="0" fontId="5" fillId="4" borderId="9" xfId="3" applyFont="1" applyFill="1" applyBorder="1" applyAlignment="1">
      <alignment horizontal="right"/>
    </xf>
    <xf numFmtId="0" fontId="6" fillId="4" borderId="0" xfId="3" applyFont="1" applyFill="1" applyAlignment="1">
      <alignment horizontal="left"/>
    </xf>
    <xf numFmtId="0" fontId="16" fillId="4" borderId="9" xfId="3" applyFont="1" applyFill="1" applyBorder="1" applyAlignment="1">
      <alignment horizontal="right"/>
    </xf>
    <xf numFmtId="0" fontId="14" fillId="4" borderId="0" xfId="3" applyFont="1" applyFill="1" applyAlignment="1">
      <alignment horizontal="left"/>
    </xf>
    <xf numFmtId="171" fontId="6" fillId="0" borderId="1" xfId="3" applyNumberFormat="1" applyFont="1" applyBorder="1" applyAlignment="1">
      <alignment horizontal="right"/>
    </xf>
    <xf numFmtId="172" fontId="6" fillId="0" borderId="1" xfId="3" applyNumberFormat="1" applyFont="1" applyBorder="1" applyAlignment="1">
      <alignment horizontal="right"/>
    </xf>
    <xf numFmtId="0" fontId="5" fillId="4" borderId="8" xfId="3" applyFont="1" applyFill="1" applyBorder="1" applyAlignment="1">
      <alignment horizontal="right"/>
    </xf>
    <xf numFmtId="165" fontId="6" fillId="6" borderId="1" xfId="3" applyNumberFormat="1" applyFont="1" applyFill="1" applyBorder="1"/>
    <xf numFmtId="172" fontId="6" fillId="0" borderId="1" xfId="4" applyNumberFormat="1" applyFont="1" applyBorder="1" applyAlignment="1" applyProtection="1"/>
    <xf numFmtId="165" fontId="6" fillId="0" borderId="1" xfId="3" applyNumberFormat="1" applyFont="1" applyBorder="1"/>
    <xf numFmtId="165" fontId="6" fillId="9" borderId="1" xfId="3" applyNumberFormat="1" applyFont="1" applyFill="1" applyBorder="1"/>
    <xf numFmtId="0" fontId="6" fillId="4" borderId="5" xfId="3" applyFont="1" applyFill="1" applyBorder="1"/>
    <xf numFmtId="168" fontId="6" fillId="0" borderId="1" xfId="3" applyNumberFormat="1" applyFont="1" applyBorder="1" applyAlignment="1">
      <alignment horizontal="right"/>
    </xf>
    <xf numFmtId="0" fontId="0" fillId="0" borderId="0" xfId="0" applyAlignment="1">
      <alignment horizontal="center"/>
    </xf>
    <xf numFmtId="0" fontId="37" fillId="4" borderId="1" xfId="0" applyFont="1" applyFill="1" applyBorder="1" applyAlignment="1">
      <alignment horizontal="left" vertical="top"/>
    </xf>
    <xf numFmtId="0" fontId="0" fillId="0" borderId="1" xfId="0" applyBorder="1"/>
    <xf numFmtId="3" fontId="0" fillId="0" borderId="1" xfId="0" applyNumberFormat="1" applyBorder="1"/>
    <xf numFmtId="165" fontId="0" fillId="0" borderId="1" xfId="0" applyNumberFormat="1" applyBorder="1"/>
    <xf numFmtId="0" fontId="0" fillId="0" borderId="1" xfId="0" applyBorder="1" applyAlignment="1">
      <alignment horizontal="center"/>
    </xf>
    <xf numFmtId="0" fontId="36" fillId="0" borderId="14" xfId="0" applyFont="1" applyBorder="1"/>
    <xf numFmtId="0" fontId="0" fillId="0" borderId="24" xfId="0" applyBorder="1"/>
    <xf numFmtId="0" fontId="0" fillId="0" borderId="12" xfId="0" applyBorder="1"/>
    <xf numFmtId="165" fontId="38" fillId="6" borderId="1" xfId="0" applyNumberFormat="1" applyFont="1" applyFill="1" applyBorder="1"/>
    <xf numFmtId="0" fontId="0" fillId="0" borderId="0" xfId="0" applyAlignment="1">
      <alignment vertical="top"/>
    </xf>
    <xf numFmtId="165" fontId="0" fillId="0" borderId="0" xfId="0" applyNumberFormat="1"/>
    <xf numFmtId="165" fontId="38" fillId="6" borderId="24" xfId="1" applyNumberFormat="1" applyFont="1" applyFill="1" applyBorder="1" applyAlignment="1" applyProtection="1">
      <alignment horizontal="right" vertical="center"/>
    </xf>
    <xf numFmtId="165" fontId="0" fillId="0" borderId="0" xfId="1" applyNumberFormat="1" applyFont="1" applyFill="1" applyBorder="1" applyAlignment="1" applyProtection="1">
      <alignment horizontal="right" vertical="center"/>
    </xf>
    <xf numFmtId="0" fontId="0" fillId="0" borderId="0" xfId="0" applyAlignment="1">
      <alignment horizontal="right"/>
    </xf>
    <xf numFmtId="0" fontId="37" fillId="4" borderId="1" xfId="0" applyFont="1" applyFill="1" applyBorder="1" applyAlignment="1">
      <alignment horizontal="right" vertical="top"/>
    </xf>
    <xf numFmtId="0" fontId="37" fillId="4" borderId="1" xfId="0" applyFont="1" applyFill="1" applyBorder="1" applyAlignment="1">
      <alignment horizontal="right" vertical="top" wrapText="1"/>
    </xf>
    <xf numFmtId="0" fontId="3" fillId="0" borderId="0" xfId="0" applyFont="1" applyAlignment="1">
      <alignment horizontal="center"/>
    </xf>
    <xf numFmtId="173" fontId="36" fillId="4" borderId="17" xfId="0" applyNumberFormat="1" applyFont="1" applyFill="1" applyBorder="1" applyAlignment="1">
      <alignment horizontal="left" vertical="top"/>
    </xf>
    <xf numFmtId="173" fontId="36" fillId="4" borderId="16" xfId="0" applyNumberFormat="1" applyFont="1" applyFill="1" applyBorder="1" applyAlignment="1">
      <alignment horizontal="left" vertical="top"/>
    </xf>
    <xf numFmtId="0" fontId="0" fillId="0" borderId="1" xfId="0" applyBorder="1" applyAlignment="1">
      <alignment vertical="top"/>
    </xf>
    <xf numFmtId="0" fontId="18" fillId="0" borderId="1" xfId="0" applyFont="1" applyBorder="1" applyAlignment="1">
      <alignment horizontal="left" vertical="top" wrapText="1"/>
    </xf>
    <xf numFmtId="3" fontId="0" fillId="0" borderId="1" xfId="0" applyNumberFormat="1" applyBorder="1" applyAlignment="1">
      <alignment vertical="top"/>
    </xf>
    <xf numFmtId="165" fontId="0" fillId="0" borderId="1" xfId="0" applyNumberFormat="1" applyBorder="1" applyAlignment="1">
      <alignment vertical="top"/>
    </xf>
    <xf numFmtId="0" fontId="0" fillId="5" borderId="1" xfId="0" applyFill="1" applyBorder="1" applyAlignment="1">
      <alignment horizontal="center" vertical="top"/>
    </xf>
    <xf numFmtId="0" fontId="0" fillId="0" borderId="1" xfId="0" applyBorder="1" applyAlignment="1">
      <alignment vertical="top" wrapText="1"/>
    </xf>
    <xf numFmtId="0" fontId="0" fillId="0" borderId="1" xfId="0" applyBorder="1" applyAlignment="1">
      <alignment horizontal="left" vertical="top"/>
    </xf>
    <xf numFmtId="3" fontId="0" fillId="0" borderId="0" xfId="0" applyNumberFormat="1" applyAlignment="1">
      <alignment vertical="top"/>
    </xf>
    <xf numFmtId="165" fontId="0" fillId="0" borderId="0" xfId="1" applyNumberFormat="1" applyFont="1" applyFill="1" applyBorder="1" applyAlignment="1" applyProtection="1">
      <alignment horizontal="right" vertical="top"/>
    </xf>
    <xf numFmtId="0" fontId="38" fillId="0" borderId="24" xfId="0" applyFont="1" applyBorder="1"/>
    <xf numFmtId="0" fontId="36" fillId="0" borderId="2" xfId="0" applyFont="1" applyBorder="1"/>
    <xf numFmtId="0" fontId="38" fillId="0" borderId="3" xfId="0" applyFont="1" applyBorder="1"/>
    <xf numFmtId="0" fontId="38" fillId="6" borderId="24" xfId="0" applyFont="1" applyFill="1" applyBorder="1"/>
    <xf numFmtId="0" fontId="38" fillId="6" borderId="12" xfId="0" applyFont="1" applyFill="1" applyBorder="1" applyAlignment="1">
      <alignment horizontal="center"/>
    </xf>
    <xf numFmtId="0" fontId="19" fillId="0" borderId="1" xfId="0" applyFont="1" applyBorder="1"/>
    <xf numFmtId="0" fontId="0" fillId="5" borderId="1" xfId="0" applyFill="1" applyBorder="1" applyAlignment="1">
      <alignment horizontal="center"/>
    </xf>
    <xf numFmtId="3" fontId="19" fillId="0" borderId="1" xfId="0" applyNumberFormat="1" applyFont="1" applyBorder="1"/>
    <xf numFmtId="3" fontId="0" fillId="5" borderId="1" xfId="0" applyNumberFormat="1" applyFill="1" applyBorder="1"/>
    <xf numFmtId="0" fontId="19" fillId="0" borderId="0" xfId="0" applyFont="1"/>
    <xf numFmtId="0" fontId="2" fillId="5" borderId="0" xfId="0" applyFont="1" applyFill="1"/>
    <xf numFmtId="0" fontId="0" fillId="0" borderId="1" xfId="0" applyBorder="1" applyAlignment="1">
      <alignment horizontal="left"/>
    </xf>
    <xf numFmtId="0" fontId="38" fillId="0" borderId="0" xfId="0" applyFont="1"/>
    <xf numFmtId="0" fontId="38" fillId="0" borderId="0" xfId="0" applyFont="1" applyAlignment="1">
      <alignment horizontal="center"/>
    </xf>
    <xf numFmtId="3" fontId="2" fillId="0" borderId="0" xfId="0" applyNumberFormat="1" applyFont="1"/>
    <xf numFmtId="165" fontId="0" fillId="0" borderId="1" xfId="1" applyNumberFormat="1" applyFont="1" applyFill="1" applyBorder="1" applyAlignment="1" applyProtection="1">
      <alignment horizontal="left" vertical="center"/>
    </xf>
    <xf numFmtId="3" fontId="0" fillId="0" borderId="28" xfId="0" applyNumberFormat="1" applyBorder="1"/>
    <xf numFmtId="3" fontId="0" fillId="0" borderId="25" xfId="0" applyNumberFormat="1" applyBorder="1"/>
    <xf numFmtId="165" fontId="0" fillId="0" borderId="25" xfId="1" applyNumberFormat="1" applyFont="1" applyFill="1" applyBorder="1" applyAlignment="1" applyProtection="1">
      <alignment horizontal="right" vertical="center"/>
    </xf>
    <xf numFmtId="165" fontId="0" fillId="5" borderId="29" xfId="0" applyNumberFormat="1" applyFill="1" applyBorder="1"/>
    <xf numFmtId="165" fontId="0" fillId="0" borderId="1" xfId="1" applyNumberFormat="1" applyFont="1" applyFill="1" applyBorder="1" applyAlignment="1" applyProtection="1">
      <alignment horizontal="right" vertical="center"/>
    </xf>
    <xf numFmtId="165" fontId="0" fillId="5" borderId="1" xfId="0" applyNumberFormat="1" applyFill="1" applyBorder="1"/>
    <xf numFmtId="0" fontId="0" fillId="0" borderId="0" xfId="0" applyAlignment="1">
      <alignment horizontal="left"/>
    </xf>
    <xf numFmtId="0" fontId="38" fillId="6" borderId="24" xfId="0" applyFont="1" applyFill="1" applyBorder="1" applyAlignment="1">
      <alignment horizontal="center"/>
    </xf>
    <xf numFmtId="0" fontId="0" fillId="5" borderId="1" xfId="0" applyFill="1" applyBorder="1" applyAlignment="1">
      <alignment horizontal="right" vertical="top"/>
    </xf>
    <xf numFmtId="173" fontId="36" fillId="4" borderId="16" xfId="0" applyNumberFormat="1" applyFont="1" applyFill="1" applyBorder="1" applyAlignment="1">
      <alignment horizontal="right" vertical="top"/>
    </xf>
    <xf numFmtId="0" fontId="0" fillId="0" borderId="26" xfId="0" applyBorder="1" applyAlignment="1">
      <alignment vertical="top" wrapText="1"/>
    </xf>
    <xf numFmtId="177" fontId="0" fillId="5" borderId="1" xfId="1" quotePrefix="1" applyNumberFormat="1" applyFont="1" applyFill="1" applyBorder="1" applyAlignment="1" applyProtection="1">
      <alignment horizontal="right" vertical="top"/>
    </xf>
    <xf numFmtId="0" fontId="0" fillId="0" borderId="27" xfId="0" applyBorder="1" applyAlignment="1">
      <alignment vertical="top"/>
    </xf>
    <xf numFmtId="0" fontId="0" fillId="0" borderId="13" xfId="0" applyBorder="1" applyAlignment="1">
      <alignment vertical="top"/>
    </xf>
    <xf numFmtId="177" fontId="0" fillId="0" borderId="0" xfId="0" applyNumberFormat="1" applyAlignment="1">
      <alignment vertical="top"/>
    </xf>
    <xf numFmtId="0" fontId="0" fillId="0" borderId="0" xfId="0" applyAlignment="1">
      <alignment horizontal="center" vertical="top"/>
    </xf>
    <xf numFmtId="0" fontId="0" fillId="0" borderId="18" xfId="0" applyBorder="1" applyAlignment="1">
      <alignment vertical="top"/>
    </xf>
    <xf numFmtId="177" fontId="0" fillId="0" borderId="1" xfId="1" applyNumberFormat="1" applyFont="1" applyFill="1" applyBorder="1" applyAlignment="1" applyProtection="1">
      <alignment horizontal="right" vertical="top"/>
    </xf>
    <xf numFmtId="0" fontId="0" fillId="0" borderId="1" xfId="0" applyBorder="1" applyAlignment="1">
      <alignment horizontal="right" vertical="top"/>
    </xf>
    <xf numFmtId="0" fontId="0" fillId="0" borderId="1" xfId="0" applyBorder="1" applyAlignment="1">
      <alignment horizontal="center" vertical="top"/>
    </xf>
    <xf numFmtId="165" fontId="0" fillId="0" borderId="0" xfId="0" applyNumberFormat="1" applyAlignment="1">
      <alignment vertical="top"/>
    </xf>
    <xf numFmtId="177" fontId="0" fillId="0" borderId="1" xfId="1" applyNumberFormat="1" applyFont="1" applyBorder="1" applyAlignment="1" applyProtection="1">
      <alignment horizontal="right" vertical="top"/>
    </xf>
    <xf numFmtId="17" fontId="0" fillId="0" borderId="0" xfId="0" quotePrefix="1" applyNumberFormat="1"/>
    <xf numFmtId="165" fontId="38" fillId="0" borderId="24" xfId="0" applyNumberFormat="1" applyFont="1" applyBorder="1"/>
    <xf numFmtId="165" fontId="38" fillId="0" borderId="3" xfId="0" applyNumberFormat="1" applyFont="1" applyBorder="1"/>
    <xf numFmtId="0" fontId="23" fillId="0" borderId="0" xfId="0" applyFont="1" applyAlignment="1">
      <alignment horizontal="left" vertical="top"/>
    </xf>
    <xf numFmtId="173" fontId="26" fillId="0" borderId="0" xfId="0" applyNumberFormat="1" applyFont="1" applyAlignment="1">
      <alignment horizontal="left" vertical="top"/>
    </xf>
    <xf numFmtId="0" fontId="0" fillId="0" borderId="0" xfId="0" applyAlignment="1">
      <alignment horizontal="left" vertical="top"/>
    </xf>
    <xf numFmtId="173" fontId="3" fillId="0" borderId="0" xfId="0" applyNumberFormat="1" applyFont="1" applyAlignment="1">
      <alignment horizontal="left" vertical="top"/>
    </xf>
    <xf numFmtId="3" fontId="0" fillId="0" borderId="1" xfId="0" applyNumberFormat="1" applyBorder="1" applyAlignment="1">
      <alignment horizontal="right"/>
    </xf>
    <xf numFmtId="0" fontId="0" fillId="5" borderId="1" xfId="0" applyFill="1" applyBorder="1" applyAlignment="1">
      <alignment horizontal="right"/>
    </xf>
    <xf numFmtId="0" fontId="0" fillId="5" borderId="0" xfId="0" applyFill="1" applyAlignment="1">
      <alignment horizontal="right"/>
    </xf>
    <xf numFmtId="3" fontId="0" fillId="0" borderId="1" xfId="1" applyNumberFormat="1" applyFont="1" applyFill="1" applyBorder="1" applyAlignment="1" applyProtection="1">
      <alignment horizontal="right" vertical="center"/>
    </xf>
    <xf numFmtId="0" fontId="0" fillId="0" borderId="18" xfId="0" applyBorder="1"/>
    <xf numFmtId="3" fontId="0" fillId="0" borderId="18" xfId="0" applyNumberFormat="1" applyBorder="1" applyAlignment="1">
      <alignment horizontal="right"/>
    </xf>
    <xf numFmtId="0" fontId="0" fillId="0" borderId="26" xfId="0" applyBorder="1" applyAlignment="1">
      <alignment vertical="top"/>
    </xf>
    <xf numFmtId="0" fontId="0" fillId="0" borderId="13" xfId="0" applyBorder="1" applyAlignment="1">
      <alignment vertical="top" wrapText="1"/>
    </xf>
    <xf numFmtId="0" fontId="0" fillId="0" borderId="13" xfId="0" applyBorder="1" applyAlignment="1">
      <alignment horizontal="right" vertical="top"/>
    </xf>
    <xf numFmtId="3" fontId="0" fillId="0" borderId="13" xfId="0" applyNumberFormat="1" applyBorder="1" applyAlignment="1">
      <alignment horizontal="right" vertical="top"/>
    </xf>
    <xf numFmtId="165" fontId="0" fillId="0" borderId="13" xfId="0" applyNumberFormat="1" applyBorder="1" applyAlignment="1">
      <alignment vertical="top"/>
    </xf>
    <xf numFmtId="3" fontId="0" fillId="0" borderId="1" xfId="0" applyNumberFormat="1" applyBorder="1" applyAlignment="1">
      <alignment horizontal="right" vertical="top"/>
    </xf>
    <xf numFmtId="173" fontId="36" fillId="4" borderId="20" xfId="0" applyNumberFormat="1" applyFont="1" applyFill="1" applyBorder="1" applyAlignment="1">
      <alignment horizontal="right" vertical="top" wrapText="1"/>
    </xf>
    <xf numFmtId="0" fontId="38" fillId="0" borderId="0" xfId="0" applyFont="1" applyAlignment="1">
      <alignment horizontal="left" vertical="top"/>
    </xf>
    <xf numFmtId="0" fontId="36" fillId="0" borderId="0" xfId="0" applyFont="1"/>
    <xf numFmtId="173" fontId="36" fillId="4" borderId="22" xfId="0" applyNumberFormat="1" applyFont="1" applyFill="1" applyBorder="1" applyAlignment="1">
      <alignment vertical="top"/>
    </xf>
    <xf numFmtId="173" fontId="36" fillId="4" borderId="23" xfId="0" applyNumberFormat="1" applyFont="1" applyFill="1" applyBorder="1" applyAlignment="1">
      <alignment vertical="top"/>
    </xf>
    <xf numFmtId="173" fontId="36" fillId="4" borderId="23" xfId="0" applyNumberFormat="1" applyFont="1" applyFill="1" applyBorder="1" applyAlignment="1">
      <alignment horizontal="right" vertical="top"/>
    </xf>
    <xf numFmtId="173" fontId="36" fillId="4" borderId="25" xfId="0" applyNumberFormat="1" applyFont="1" applyFill="1" applyBorder="1" applyAlignment="1">
      <alignment horizontal="right" vertical="top" wrapText="1"/>
    </xf>
    <xf numFmtId="0" fontId="0" fillId="0" borderId="1" xfId="0" applyBorder="1" applyAlignment="1">
      <alignment horizontal="right" vertical="top" wrapText="1"/>
    </xf>
    <xf numFmtId="165" fontId="0" fillId="0" borderId="1" xfId="0" applyNumberFormat="1" applyBorder="1" applyAlignment="1">
      <alignment horizontal="right" vertical="top"/>
    </xf>
    <xf numFmtId="0" fontId="0" fillId="0" borderId="14" xfId="0" applyBorder="1" applyAlignment="1">
      <alignment vertical="top" wrapText="1"/>
    </xf>
    <xf numFmtId="0" fontId="38" fillId="6" borderId="14" xfId="0" applyFont="1" applyFill="1" applyBorder="1"/>
    <xf numFmtId="0" fontId="0" fillId="0" borderId="0" xfId="0" applyAlignment="1">
      <alignment horizontal="right" vertical="top"/>
    </xf>
    <xf numFmtId="3" fontId="0" fillId="0" borderId="0" xfId="0" applyNumberFormat="1" applyAlignment="1">
      <alignment horizontal="right" vertical="top"/>
    </xf>
    <xf numFmtId="0" fontId="0" fillId="0" borderId="5" xfId="0" applyBorder="1" applyAlignment="1">
      <alignment vertical="top"/>
    </xf>
    <xf numFmtId="0" fontId="0" fillId="0" borderId="5" xfId="0" applyBorder="1" applyAlignment="1">
      <alignment vertical="top" wrapText="1"/>
    </xf>
    <xf numFmtId="1" fontId="0" fillId="0" borderId="5" xfId="0" applyNumberFormat="1" applyBorder="1" applyAlignment="1">
      <alignment horizontal="right" vertical="top"/>
    </xf>
    <xf numFmtId="0" fontId="0" fillId="0" borderId="13" xfId="0" applyBorder="1" applyAlignment="1">
      <alignment horizontal="right" vertical="top" wrapText="1"/>
    </xf>
    <xf numFmtId="165" fontId="0" fillId="0" borderId="13" xfId="0" applyNumberFormat="1" applyBorder="1" applyAlignment="1">
      <alignment horizontal="right" vertical="top"/>
    </xf>
    <xf numFmtId="0" fontId="0" fillId="0" borderId="14" xfId="0" applyBorder="1" applyAlignment="1">
      <alignment vertical="top"/>
    </xf>
    <xf numFmtId="1" fontId="0" fillId="0" borderId="14" xfId="0" applyNumberFormat="1" applyBorder="1" applyAlignment="1">
      <alignment horizontal="right" vertical="top"/>
    </xf>
    <xf numFmtId="0" fontId="0" fillId="0" borderId="19" xfId="0" applyBorder="1" applyAlignment="1">
      <alignment vertical="top"/>
    </xf>
    <xf numFmtId="0" fontId="0" fillId="0" borderId="14" xfId="0" applyBorder="1" applyAlignment="1">
      <alignment horizontal="right" vertical="top"/>
    </xf>
    <xf numFmtId="3" fontId="0" fillId="0" borderId="14" xfId="0" applyNumberFormat="1" applyBorder="1" applyAlignment="1">
      <alignment horizontal="right" vertical="top"/>
    </xf>
    <xf numFmtId="0" fontId="19" fillId="0" borderId="1" xfId="0" applyFont="1" applyBorder="1" applyAlignment="1">
      <alignment vertical="top"/>
    </xf>
    <xf numFmtId="0" fontId="19" fillId="0" borderId="1" xfId="0" applyFont="1" applyBorder="1" applyAlignment="1">
      <alignment horizontal="right" vertical="top"/>
    </xf>
    <xf numFmtId="3" fontId="19" fillId="5" borderId="14" xfId="0" applyNumberFormat="1" applyFont="1" applyFill="1" applyBorder="1" applyAlignment="1">
      <alignment horizontal="right" vertical="top"/>
    </xf>
    <xf numFmtId="0" fontId="19" fillId="0" borderId="1" xfId="0" applyFont="1" applyBorder="1" applyAlignment="1">
      <alignment horizontal="right" vertical="top" wrapText="1"/>
    </xf>
    <xf numFmtId="0" fontId="19" fillId="0" borderId="14" xfId="0" applyFont="1" applyBorder="1" applyAlignment="1">
      <alignment vertical="top" wrapText="1"/>
    </xf>
    <xf numFmtId="3" fontId="19" fillId="0" borderId="14" xfId="0" applyNumberFormat="1" applyFont="1" applyBorder="1" applyAlignment="1">
      <alignment horizontal="right" vertical="top"/>
    </xf>
    <xf numFmtId="17" fontId="0" fillId="0" borderId="0" xfId="0" applyNumberFormat="1"/>
    <xf numFmtId="173" fontId="7" fillId="5" borderId="1" xfId="2" applyNumberFormat="1" applyFont="1" applyFill="1" applyBorder="1" applyAlignment="1">
      <alignment vertical="center"/>
    </xf>
    <xf numFmtId="0" fontId="7" fillId="5" borderId="14" xfId="2" applyFont="1" applyFill="1" applyBorder="1" applyAlignment="1">
      <alignment horizontal="center" vertical="center"/>
    </xf>
    <xf numFmtId="0" fontId="7" fillId="0" borderId="1" xfId="14" applyNumberFormat="1" applyFont="1" applyBorder="1" applyAlignment="1" applyProtection="1">
      <alignment vertical="center"/>
    </xf>
    <xf numFmtId="176" fontId="7" fillId="0" borderId="0" xfId="28" applyNumberFormat="1" applyFont="1" applyAlignment="1" applyProtection="1">
      <alignment horizontal="right" vertical="center"/>
    </xf>
    <xf numFmtId="165" fontId="0" fillId="0" borderId="0" xfId="1" applyNumberFormat="1" applyFont="1" applyFill="1" applyBorder="1" applyAlignment="1" applyProtection="1">
      <alignment horizontal="right" vertical="center"/>
      <protection locked="0"/>
    </xf>
    <xf numFmtId="167" fontId="6" fillId="8" borderId="1" xfId="5" applyFont="1" applyFill="1" applyBorder="1" applyAlignment="1" applyProtection="1">
      <alignment horizontal="left" vertical="center"/>
      <protection locked="0"/>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0" fontId="3" fillId="4" borderId="8" xfId="0" applyFont="1" applyFill="1" applyBorder="1" applyAlignment="1">
      <alignment horizontal="center" vertical="top"/>
    </xf>
    <xf numFmtId="0" fontId="3" fillId="4" borderId="0" xfId="0" applyFont="1" applyFill="1" applyAlignment="1">
      <alignment horizontal="center" vertical="top"/>
    </xf>
    <xf numFmtId="0" fontId="40" fillId="0" borderId="1" xfId="0" applyFont="1" applyBorder="1" applyAlignment="1">
      <alignment horizontal="right" vertical="center"/>
    </xf>
    <xf numFmtId="0" fontId="40" fillId="0" borderId="0" xfId="0" applyFont="1" applyAlignment="1">
      <alignment horizontal="right" vertical="center"/>
    </xf>
    <xf numFmtId="0" fontId="40" fillId="11" borderId="14" xfId="0" applyFont="1" applyFill="1" applyBorder="1" applyAlignment="1">
      <alignment horizontal="left" vertical="center" wrapText="1"/>
    </xf>
    <xf numFmtId="0" fontId="40" fillId="11" borderId="12" xfId="0" applyFont="1" applyFill="1" applyBorder="1" applyAlignment="1">
      <alignment horizontal="left" vertical="center" wrapText="1"/>
    </xf>
    <xf numFmtId="0" fontId="40" fillId="11" borderId="14" xfId="0" applyFont="1" applyFill="1" applyBorder="1" applyAlignment="1">
      <alignment horizontal="right" vertical="center" wrapText="1"/>
    </xf>
    <xf numFmtId="0" fontId="40" fillId="11" borderId="12" xfId="0" applyFont="1" applyFill="1" applyBorder="1" applyAlignment="1">
      <alignment horizontal="right" vertical="center" wrapText="1"/>
    </xf>
    <xf numFmtId="0" fontId="11" fillId="0" borderId="14" xfId="0" applyFont="1" applyBorder="1" applyAlignment="1">
      <alignment horizontal="right" vertical="center"/>
    </xf>
    <xf numFmtId="0" fontId="11" fillId="0" borderId="12" xfId="0" applyFont="1" applyBorder="1" applyAlignment="1">
      <alignment horizontal="right" vertical="center"/>
    </xf>
    <xf numFmtId="0" fontId="40" fillId="0" borderId="14" xfId="0" applyFont="1" applyBorder="1" applyAlignment="1">
      <alignment horizontal="right" vertical="center"/>
    </xf>
    <xf numFmtId="0" fontId="40" fillId="0" borderId="12" xfId="0" applyFont="1" applyBorder="1" applyAlignment="1">
      <alignment horizontal="right" vertical="center"/>
    </xf>
    <xf numFmtId="0" fontId="53" fillId="5" borderId="0" xfId="0" applyFont="1" applyFill="1" applyAlignment="1" applyProtection="1">
      <alignment vertical="center"/>
      <protection hidden="1"/>
    </xf>
    <xf numFmtId="0" fontId="50" fillId="5" borderId="0" xfId="0" applyFont="1" applyFill="1" applyAlignment="1" applyProtection="1">
      <alignment horizontal="left" vertical="top" wrapText="1"/>
      <protection hidden="1"/>
    </xf>
  </cellXfs>
  <cellStyles count="31">
    <cellStyle name="Euro" xfId="29" xr:uid="{B3E93CE6-EDD0-4C74-A497-CF058BFC0B60}"/>
    <cellStyle name="Komma 2" xfId="16" xr:uid="{7670D6CB-EE43-4A2C-BFFB-ABC8C7D12AC5}"/>
    <cellStyle name="Komma 2 2" xfId="22" xr:uid="{26428782-C9FE-4CBB-B86A-B12B73FB4820}"/>
    <cellStyle name="Komma 2 2 2" xfId="28" xr:uid="{3000735A-55A0-4BCB-8E5F-E2D62FA82D70}"/>
    <cellStyle name="Komma 3" xfId="18" xr:uid="{708EE59C-A6F6-4489-8CCA-45863AA20849}"/>
    <cellStyle name="Komma 3 2" xfId="19" xr:uid="{3111D3E2-FD8F-45B0-8514-2353B5A3BE5F}"/>
    <cellStyle name="Komma 3 2 2" xfId="4" xr:uid="{0502BC75-A0C3-4659-A431-E2D8B3AB4523}"/>
    <cellStyle name="Komma 3 2 2 2" xfId="27" xr:uid="{1F927B8F-E62D-445E-A63C-647CEFB775CE}"/>
    <cellStyle name="Komma 3 3" xfId="26" xr:uid="{C703A287-0B4E-48DD-B373-092F6B0F30A6}"/>
    <cellStyle name="Komma 4" xfId="12" xr:uid="{A5334775-8DF0-4BC5-A573-2FDB2B4229EA}"/>
    <cellStyle name="Komma 5" xfId="11" xr:uid="{494D16FB-FB1F-4242-9FFC-DD2B26DC63F7}"/>
    <cellStyle name="Komma 6" xfId="30" xr:uid="{7C08E918-9E7A-4FAD-A471-C57F3D30065E}"/>
    <cellStyle name="Normal 4" xfId="9" xr:uid="{5883D3D0-7C9C-4A23-A6BB-9243BBFC5CEA}"/>
    <cellStyle name="Normal_Application Development Pricing Format" xfId="10" xr:uid="{D6F8AF5B-4FB2-4353-9EF6-A24B6C6F9EEF}"/>
    <cellStyle name="Procent" xfId="1" builtinId="5"/>
    <cellStyle name="Procent 2" xfId="15" xr:uid="{19ED9402-14BA-4E3D-AA8E-13C85DB8D822}"/>
    <cellStyle name="Procent 2 2" xfId="23" xr:uid="{F7F83D30-5D75-4EEE-BE42-98F7E983EC0C}"/>
    <cellStyle name="Procent 3" xfId="21" xr:uid="{8DD62C22-4673-4B7D-A2CB-9A2ADD166441}"/>
    <cellStyle name="Standaard" xfId="0" builtinId="0"/>
    <cellStyle name="Standaard 2" xfId="7" xr:uid="{86532B5E-E1A3-4351-8E73-9BA9D1E24622}"/>
    <cellStyle name="Standaard 3" xfId="17" xr:uid="{FD02D355-FFB3-49A7-B026-227E99B8EAE9}"/>
    <cellStyle name="Standaard 4" xfId="2" xr:uid="{143E7559-EC1D-4CCA-809E-3F96F82AFA2E}"/>
    <cellStyle name="Standaard 5" xfId="3" xr:uid="{E5373B1B-BA1F-4B31-B006-6DD9BB2E63C4}"/>
    <cellStyle name="Valuta 2" xfId="6" xr:uid="{F1B50F45-73B8-4438-AEF3-3D7A44F06FB2}"/>
    <cellStyle name="Valuta 2 2" xfId="25" xr:uid="{86695BC1-84BA-407E-BE70-510D5D81F5F9}"/>
    <cellStyle name="Valuta 2 4" xfId="14" xr:uid="{0653498A-3E54-4636-8DD8-2D8455762B17}"/>
    <cellStyle name="Valuta 3" xfId="13" xr:uid="{9E43D49F-1F1B-43CF-8E3E-B6EFDC5F391E}"/>
    <cellStyle name="Valuta 4" xfId="20" xr:uid="{9FD1BE69-2965-459E-9D3E-241609FCEE14}"/>
    <cellStyle name="Valuta 4 2" xfId="5" xr:uid="{FEA0AA1B-F3C3-45E0-878B-0F11E8FD4BFC}"/>
    <cellStyle name="Valuta 4 2 2" xfId="24" xr:uid="{50D00993-CE96-4A13-9B70-93114C33C1D6}"/>
    <cellStyle name="Valuta 5" xfId="8" xr:uid="{4F823564-0AB2-4B43-89E8-D2C136DEED89}"/>
  </cellStyles>
  <dxfs count="11">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Fictieve  bonus / malus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spPr>
            <a:ln w="38100" cap="rnd">
              <a:solidFill>
                <a:schemeClr val="accent1"/>
              </a:solidFill>
              <a:round/>
            </a:ln>
            <a:effectLst/>
          </c:spPr>
          <c:marker>
            <c:symbol val="none"/>
          </c:marker>
          <c:xVal>
            <c:numRef>
              <c:f>Consultancy!$D$59:$D$79</c:f>
              <c:numCache>
                <c:formatCode>"€"\ #,##0.00</c:formatCode>
                <c:ptCount val="21"/>
                <c:pt idx="0">
                  <c:v>100</c:v>
                </c:pt>
                <c:pt idx="1">
                  <c:v>105</c:v>
                </c:pt>
                <c:pt idx="2">
                  <c:v>110</c:v>
                </c:pt>
                <c:pt idx="3">
                  <c:v>115</c:v>
                </c:pt>
                <c:pt idx="4">
                  <c:v>120</c:v>
                </c:pt>
                <c:pt idx="5">
                  <c:v>125</c:v>
                </c:pt>
                <c:pt idx="6">
                  <c:v>130</c:v>
                </c:pt>
                <c:pt idx="7">
                  <c:v>135</c:v>
                </c:pt>
                <c:pt idx="8">
                  <c:v>140</c:v>
                </c:pt>
                <c:pt idx="9">
                  <c:v>145</c:v>
                </c:pt>
                <c:pt idx="10">
                  <c:v>150</c:v>
                </c:pt>
                <c:pt idx="11">
                  <c:v>155</c:v>
                </c:pt>
                <c:pt idx="12">
                  <c:v>160</c:v>
                </c:pt>
                <c:pt idx="13">
                  <c:v>165</c:v>
                </c:pt>
                <c:pt idx="14">
                  <c:v>170</c:v>
                </c:pt>
                <c:pt idx="15">
                  <c:v>175</c:v>
                </c:pt>
                <c:pt idx="16">
                  <c:v>180</c:v>
                </c:pt>
                <c:pt idx="17">
                  <c:v>185</c:v>
                </c:pt>
                <c:pt idx="18">
                  <c:v>190</c:v>
                </c:pt>
                <c:pt idx="19">
                  <c:v>195</c:v>
                </c:pt>
                <c:pt idx="20">
                  <c:v>200</c:v>
                </c:pt>
              </c:numCache>
            </c:numRef>
          </c:xVal>
          <c:yVal>
            <c:numRef>
              <c:f>Consultancy!$F$59:$F$79</c:f>
              <c:numCache>
                <c:formatCode>0.0%</c:formatCode>
                <c:ptCount val="21"/>
                <c:pt idx="0">
                  <c:v>-0.1</c:v>
                </c:pt>
                <c:pt idx="1">
                  <c:v>-6.7000000000000004E-2</c:v>
                </c:pt>
                <c:pt idx="2">
                  <c:v>-4.9000000000000002E-2</c:v>
                </c:pt>
                <c:pt idx="3">
                  <c:v>-3.6999999999999998E-2</c:v>
                </c:pt>
                <c:pt idx="4">
                  <c:v>-2.9000000000000001E-2</c:v>
                </c:pt>
                <c:pt idx="5">
                  <c:v>-2.1999999999999999E-2</c:v>
                </c:pt>
                <c:pt idx="6">
                  <c:v>-1.7000000000000001E-2</c:v>
                </c:pt>
                <c:pt idx="7">
                  <c:v>-1.2E-2</c:v>
                </c:pt>
                <c:pt idx="8">
                  <c:v>-8.0000000000000002E-3</c:v>
                </c:pt>
                <c:pt idx="9">
                  <c:v>-4.0000000000000001E-3</c:v>
                </c:pt>
                <c:pt idx="10">
                  <c:v>0</c:v>
                </c:pt>
                <c:pt idx="11">
                  <c:v>4.0000000000000001E-3</c:v>
                </c:pt>
                <c:pt idx="12">
                  <c:v>8.0000000000000002E-3</c:v>
                </c:pt>
                <c:pt idx="13">
                  <c:v>1.2E-2</c:v>
                </c:pt>
                <c:pt idx="14">
                  <c:v>1.7000000000000001E-2</c:v>
                </c:pt>
                <c:pt idx="15">
                  <c:v>2.1999999999999999E-2</c:v>
                </c:pt>
                <c:pt idx="16">
                  <c:v>2.9000000000000001E-2</c:v>
                </c:pt>
                <c:pt idx="17">
                  <c:v>3.6999999999999998E-2</c:v>
                </c:pt>
                <c:pt idx="18">
                  <c:v>4.9000000000000002E-2</c:v>
                </c:pt>
                <c:pt idx="19">
                  <c:v>6.7000000000000004E-2</c:v>
                </c:pt>
                <c:pt idx="20">
                  <c:v>0.1</c:v>
                </c:pt>
              </c:numCache>
            </c:numRef>
          </c:yVal>
          <c:smooth val="0"/>
          <c:extLst>
            <c:ext xmlns:c16="http://schemas.microsoft.com/office/drawing/2014/chart" uri="{C3380CC4-5D6E-409C-BE32-E72D297353CC}">
              <c16:uniqueId val="{00000000-7A28-4076-B25A-40EF1C5F0BBF}"/>
            </c:ext>
          </c:extLst>
        </c:ser>
        <c:ser>
          <c:idx val="1"/>
          <c:order val="1"/>
          <c:tx>
            <c:v>Pref</c:v>
          </c:tx>
          <c:spPr>
            <a:ln w="19050" cap="rnd">
              <a:solidFill>
                <a:schemeClr val="accent2"/>
              </a:solidFill>
              <a:round/>
            </a:ln>
            <a:effectLst/>
          </c:spPr>
          <c:marker>
            <c:symbol val="circle"/>
            <c:size val="12"/>
            <c:spPr>
              <a:solidFill>
                <a:schemeClr val="accent2"/>
              </a:solidFill>
              <a:ln w="9525">
                <a:solidFill>
                  <a:schemeClr val="accent2"/>
                </a:solidFill>
              </a:ln>
              <a:effectLst/>
            </c:spPr>
          </c:marker>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nl-NL"/>
                </a:p>
              </c:txPr>
              <c:dLblPos val="b"/>
              <c:showLegendKey val="0"/>
              <c:showVal val="0"/>
              <c:showCatName val="0"/>
              <c:showSerName val="1"/>
              <c:showPercent val="0"/>
              <c:showBubbleSize val="0"/>
              <c:extLst>
                <c:ext xmlns:c16="http://schemas.microsoft.com/office/drawing/2014/chart" uri="{C3380CC4-5D6E-409C-BE32-E72D297353CC}">
                  <c16:uniqueId val="{00000001-7A28-4076-B25A-40EF1C5F0BB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Consultancy!$D$69</c:f>
              <c:numCache>
                <c:formatCode>"€"\ #,##0.00</c:formatCode>
                <c:ptCount val="1"/>
                <c:pt idx="0">
                  <c:v>150</c:v>
                </c:pt>
              </c:numCache>
            </c:numRef>
          </c:xVal>
          <c:yVal>
            <c:numLit>
              <c:formatCode>General</c:formatCode>
              <c:ptCount val="1"/>
              <c:pt idx="0">
                <c:v>0</c:v>
              </c:pt>
            </c:numLit>
          </c:yVal>
          <c:smooth val="0"/>
          <c:extLst>
            <c:ext xmlns:c16="http://schemas.microsoft.com/office/drawing/2014/chart" uri="{C3380CC4-5D6E-409C-BE32-E72D297353CC}">
              <c16:uniqueId val="{00000002-7A28-4076-B25A-40EF1C5F0BBF}"/>
            </c:ext>
          </c:extLst>
        </c:ser>
        <c:ser>
          <c:idx val="2"/>
          <c:order val="2"/>
          <c:tx>
            <c:v>Uw tarief</c:v>
          </c:tx>
          <c:spPr>
            <a:ln w="19050" cap="rnd">
              <a:solidFill>
                <a:schemeClr val="accent3"/>
              </a:solidFill>
              <a:round/>
            </a:ln>
            <a:effectLst/>
          </c:spPr>
          <c:marker>
            <c:symbol val="circle"/>
            <c:size val="12"/>
            <c:spPr>
              <a:solidFill>
                <a:schemeClr val="accent3"/>
              </a:solidFill>
              <a:ln w="9525">
                <a:solidFill>
                  <a:srgbClr val="00B050"/>
                </a:solidFill>
              </a:ln>
              <a:effectLst/>
            </c:spPr>
          </c:marker>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nl-NL"/>
                </a:p>
              </c:txPr>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7A28-4076-B25A-40EF1C5F0BB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Consultancy!$D$48</c:f>
              <c:numCache>
                <c:formatCode>_("€"* #,##0.00_);_("€"* \(#,##0.00\);_("€"* "-"??_);_(@_)</c:formatCode>
                <c:ptCount val="1"/>
                <c:pt idx="0">
                  <c:v>0</c:v>
                </c:pt>
              </c:numCache>
            </c:numRef>
          </c:xVal>
          <c:yVal>
            <c:numRef>
              <c:f>Consultancy!$F$48</c:f>
              <c:numCache>
                <c:formatCode>0.0%</c:formatCode>
                <c:ptCount val="1"/>
                <c:pt idx="0">
                  <c:v>-0.1</c:v>
                </c:pt>
              </c:numCache>
            </c:numRef>
          </c:yVal>
          <c:smooth val="0"/>
          <c:extLst>
            <c:ext xmlns:c16="http://schemas.microsoft.com/office/drawing/2014/chart" uri="{C3380CC4-5D6E-409C-BE32-E72D297353CC}">
              <c16:uniqueId val="{00000004-7A28-4076-B25A-40EF1C5F0BBF}"/>
            </c:ext>
          </c:extLst>
        </c:ser>
        <c:dLbls>
          <c:showLegendKey val="0"/>
          <c:showVal val="0"/>
          <c:showCatName val="0"/>
          <c:showSerName val="0"/>
          <c:showPercent val="0"/>
          <c:showBubbleSize val="0"/>
        </c:dLbls>
        <c:axId val="202939808"/>
        <c:axId val="202940288"/>
      </c:scatterChart>
      <c:valAx>
        <c:axId val="202939808"/>
        <c:scaling>
          <c:orientation val="minMax"/>
          <c:max val="200"/>
          <c:min val="100"/>
        </c:scaling>
        <c:delete val="0"/>
        <c:axPos val="b"/>
        <c:majorGridlines>
          <c:spPr>
            <a:ln w="9525" cap="flat" cmpd="sng" algn="ctr">
              <a:solidFill>
                <a:schemeClr val="tx1">
                  <a:lumMod val="15000"/>
                  <a:lumOff val="85000"/>
                </a:schemeClr>
              </a:solidFill>
              <a:round/>
            </a:ln>
            <a:effectLst/>
          </c:spPr>
        </c:majorGridlines>
        <c:numFmt formatCode="&quot;€&quot;\ #,##0.00"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02940288"/>
        <c:crosses val="autoZero"/>
        <c:crossBetween val="midCat"/>
      </c:valAx>
      <c:valAx>
        <c:axId val="202940288"/>
        <c:scaling>
          <c:orientation val="minMax"/>
          <c:max val="0.1"/>
          <c:min val="-0.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02939808"/>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61.1684937872216</c:v>
                </c:pt>
                <c:pt idx="1">
                  <c:v>61.65388761488132</c:v>
                </c:pt>
                <c:pt idx="2">
                  <c:v>62.139281442541062</c:v>
                </c:pt>
                <c:pt idx="3">
                  <c:v>63.11006909786051</c:v>
                </c:pt>
                <c:pt idx="4">
                  <c:v>65.051644408499428</c:v>
                </c:pt>
                <c:pt idx="5">
                  <c:v>66.993219719138366</c:v>
                </c:pt>
                <c:pt idx="6">
                  <c:v>68.934795029777277</c:v>
                </c:pt>
                <c:pt idx="7">
                  <c:v>70.876370340416202</c:v>
                </c:pt>
                <c:pt idx="8">
                  <c:v>72.817945651055112</c:v>
                </c:pt>
                <c:pt idx="9">
                  <c:v>74.759520961694037</c:v>
                </c:pt>
                <c:pt idx="10">
                  <c:v>76.701096272332961</c:v>
                </c:pt>
                <c:pt idx="11">
                  <c:v>78.642671582971886</c:v>
                </c:pt>
                <c:pt idx="12">
                  <c:v>80.584246893610796</c:v>
                </c:pt>
                <c:pt idx="13">
                  <c:v>82.525822204249721</c:v>
                </c:pt>
                <c:pt idx="14">
                  <c:v>84.467397514888631</c:v>
                </c:pt>
                <c:pt idx="15">
                  <c:v>86.40897282552757</c:v>
                </c:pt>
                <c:pt idx="16">
                  <c:v>88.350548136166481</c:v>
                </c:pt>
                <c:pt idx="17">
                  <c:v>90.292123446805391</c:v>
                </c:pt>
                <c:pt idx="18">
                  <c:v>92.23369875744433</c:v>
                </c:pt>
                <c:pt idx="19">
                  <c:v>94.17527406808324</c:v>
                </c:pt>
                <c:pt idx="20">
                  <c:v>96.116849378722151</c:v>
                </c:pt>
                <c:pt idx="21">
                  <c:v>98.058424689361061</c:v>
                </c:pt>
                <c:pt idx="22">
                  <c:v>100</c:v>
                </c:pt>
              </c:numCache>
            </c:numRef>
          </c:xVal>
          <c:yVal>
            <c:numRef>
              <c:f>DATA!$D$19:$Z$19</c:f>
              <c:numCache>
                <c:formatCode>_(* #,##0.00_);_(* \(#,##0.00\);_(* "-"??_);_(@_)</c:formatCode>
                <c:ptCount val="23"/>
                <c:pt idx="0">
                  <c:v>0</c:v>
                </c:pt>
                <c:pt idx="1">
                  <c:v>20088850.862154301</c:v>
                </c:pt>
                <c:pt idx="2">
                  <c:v>24775231.612246294</c:v>
                </c:pt>
                <c:pt idx="3">
                  <c:v>30502429.979051784</c:v>
                </c:pt>
                <c:pt idx="4">
                  <c:v>37423987.97699824</c:v>
                </c:pt>
                <c:pt idx="5">
                  <c:v>42057810.274144381</c:v>
                </c:pt>
                <c:pt idx="6">
                  <c:v>45596036.782353453</c:v>
                </c:pt>
                <c:pt idx="7">
                  <c:v>48466729.57094764</c:v>
                </c:pt>
                <c:pt idx="8">
                  <c:v>50878931.690153912</c:v>
                </c:pt>
                <c:pt idx="9">
                  <c:v>52952420.179987848</c:v>
                </c:pt>
                <c:pt idx="10">
                  <c:v>54763063.499134414</c:v>
                </c:pt>
                <c:pt idx="11">
                  <c:v>56362372.135430716</c:v>
                </c:pt>
                <c:pt idx="12">
                  <c:v>57787154.360893898</c:v>
                </c:pt>
                <c:pt idx="13">
                  <c:v>59064769.413902074</c:v>
                </c:pt>
                <c:pt idx="14">
                  <c:v>60216201.064494066</c:v>
                </c:pt>
                <c:pt idx="15">
                  <c:v>61257961.136640325</c:v>
                </c:pt>
                <c:pt idx="16">
                  <c:v>62203323.622573897</c:v>
                </c:pt>
                <c:pt idx="17">
                  <c:v>63063155.541558221</c:v>
                </c:pt>
                <c:pt idx="18">
                  <c:v>63846494.281666718</c:v>
                </c:pt>
                <c:pt idx="19">
                  <c:v>64560959.727929614</c:v>
                </c:pt>
                <c:pt idx="20">
                  <c:v>65213055.36430081</c:v>
                </c:pt>
                <c:pt idx="21">
                  <c:v>65808392.755080439</c:v>
                </c:pt>
                <c:pt idx="22">
                  <c:v>66351861.906783789</c:v>
                </c:pt>
              </c:numCache>
            </c:numRef>
          </c:yVal>
          <c:smooth val="0"/>
          <c:extLst>
            <c:ext xmlns:c16="http://schemas.microsoft.com/office/drawing/2014/chart" uri="{C3380CC4-5D6E-409C-BE32-E72D297353CC}">
              <c16:uniqueId val="{00000000-43C7-4521-A9E7-CF5DDB7E2DC5}"/>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71.051644408499442</c:v>
                </c:pt>
                <c:pt idx="1">
                  <c:v>71.413498853393193</c:v>
                </c:pt>
                <c:pt idx="2">
                  <c:v>71.775353298286944</c:v>
                </c:pt>
                <c:pt idx="3">
                  <c:v>72.499062188074461</c:v>
                </c:pt>
                <c:pt idx="4">
                  <c:v>73.946479967649495</c:v>
                </c:pt>
                <c:pt idx="5">
                  <c:v>75.393897747224514</c:v>
                </c:pt>
                <c:pt idx="6">
                  <c:v>76.841315526799548</c:v>
                </c:pt>
                <c:pt idx="7">
                  <c:v>78.288733306374581</c:v>
                </c:pt>
                <c:pt idx="8">
                  <c:v>79.736151085949601</c:v>
                </c:pt>
                <c:pt idx="9">
                  <c:v>81.183568865524634</c:v>
                </c:pt>
                <c:pt idx="10">
                  <c:v>82.630986645099654</c:v>
                </c:pt>
                <c:pt idx="11">
                  <c:v>84.078404424674673</c:v>
                </c:pt>
                <c:pt idx="12">
                  <c:v>85.525822204249707</c:v>
                </c:pt>
                <c:pt idx="13">
                  <c:v>86.97323998382474</c:v>
                </c:pt>
                <c:pt idx="14">
                  <c:v>88.420657763399774</c:v>
                </c:pt>
                <c:pt idx="15">
                  <c:v>89.868075542974807</c:v>
                </c:pt>
                <c:pt idx="16">
                  <c:v>91.315493322549827</c:v>
                </c:pt>
                <c:pt idx="17">
                  <c:v>92.76291110212486</c:v>
                </c:pt>
                <c:pt idx="18">
                  <c:v>94.210328881699894</c:v>
                </c:pt>
                <c:pt idx="19">
                  <c:v>95.657746661274899</c:v>
                </c:pt>
                <c:pt idx="20">
                  <c:v>97.105164440849947</c:v>
                </c:pt>
                <c:pt idx="21">
                  <c:v>98.552582220424981</c:v>
                </c:pt>
                <c:pt idx="22">
                  <c:v>100</c:v>
                </c:pt>
              </c:numCache>
            </c:numRef>
          </c:xVal>
          <c:yVal>
            <c:numRef>
              <c:f>DATA!$D$22:$Z$22</c:f>
              <c:numCache>
                <c:formatCode>_(* #,##0.00_);_(* \(#,##0.00\);_(* "-"??_);_(@_)</c:formatCode>
                <c:ptCount val="23"/>
                <c:pt idx="0">
                  <c:v>0</c:v>
                </c:pt>
                <c:pt idx="1">
                  <c:v>17075661.070526212</c:v>
                </c:pt>
                <c:pt idx="2">
                  <c:v>21065312.280193795</c:v>
                </c:pt>
                <c:pt idx="3">
                  <c:v>25950222.548611883</c:v>
                </c:pt>
                <c:pt idx="4">
                  <c:v>31876711.928501058</c:v>
                </c:pt>
                <c:pt idx="5">
                  <c:v>35866747.492956109</c:v>
                </c:pt>
                <c:pt idx="6">
                  <c:v>38931334.987747982</c:v>
                </c:pt>
                <c:pt idx="7">
                  <c:v>41433120.314325169</c:v>
                </c:pt>
                <c:pt idx="8">
                  <c:v>43549017.649655975</c:v>
                </c:pt>
                <c:pt idx="9">
                  <c:v>45380285.71755109</c:v>
                </c:pt>
                <c:pt idx="10">
                  <c:v>46990989.520153292</c:v>
                </c:pt>
                <c:pt idx="11">
                  <c:v>48424571.43123164</c:v>
                </c:pt>
                <c:pt idx="12">
                  <c:v>49712031.888009682</c:v>
                </c:pt>
                <c:pt idx="13">
                  <c:v>50876378.156350628</c:v>
                </c:pt>
                <c:pt idx="14">
                  <c:v>51935226.114287011</c:v>
                </c:pt>
                <c:pt idx="15">
                  <c:v>52902410.879593246</c:v>
                </c:pt>
                <c:pt idx="16">
                  <c:v>53789030.558731377</c:v>
                </c:pt>
                <c:pt idx="17">
                  <c:v>54604148.614771783</c:v>
                </c:pt>
                <c:pt idx="18">
                  <c:v>55355281.686675735</c:v>
                </c:pt>
                <c:pt idx="19">
                  <c:v>56048747.635714084</c:v>
                </c:pt>
                <c:pt idx="20">
                  <c:v>56689919.693694994</c:v>
                </c:pt>
                <c:pt idx="21">
                  <c:v>57283415.833530024</c:v>
                </c:pt>
                <c:pt idx="22">
                  <c:v>57833242.402455509</c:v>
                </c:pt>
              </c:numCache>
            </c:numRef>
          </c:yVal>
          <c:smooth val="0"/>
          <c:extLst>
            <c:ext xmlns:c16="http://schemas.microsoft.com/office/drawing/2014/chart" uri="{C3380CC4-5D6E-409C-BE32-E72D297353CC}">
              <c16:uniqueId val="{00000001-43C7-4521-A9E7-CF5DDB7E2DC5}"/>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80.934795029777277</c:v>
                </c:pt>
                <c:pt idx="1">
                  <c:v>81.173110091905059</c:v>
                </c:pt>
                <c:pt idx="2">
                  <c:v>81.411425154032841</c:v>
                </c:pt>
                <c:pt idx="3">
                  <c:v>81.888055278288405</c:v>
                </c:pt>
                <c:pt idx="4">
                  <c:v>82.841315526799534</c:v>
                </c:pt>
                <c:pt idx="5">
                  <c:v>83.794575775310676</c:v>
                </c:pt>
                <c:pt idx="6">
                  <c:v>84.747836023821819</c:v>
                </c:pt>
                <c:pt idx="7">
                  <c:v>85.701096272332947</c:v>
                </c:pt>
                <c:pt idx="8">
                  <c:v>86.65435652084409</c:v>
                </c:pt>
                <c:pt idx="9">
                  <c:v>87.607616769355218</c:v>
                </c:pt>
                <c:pt idx="10">
                  <c:v>88.560877017866375</c:v>
                </c:pt>
                <c:pt idx="11">
                  <c:v>89.514137266377489</c:v>
                </c:pt>
                <c:pt idx="12">
                  <c:v>90.467397514888631</c:v>
                </c:pt>
                <c:pt idx="13">
                  <c:v>91.420657763399788</c:v>
                </c:pt>
                <c:pt idx="14">
                  <c:v>92.373918011910902</c:v>
                </c:pt>
                <c:pt idx="15">
                  <c:v>93.327178260422045</c:v>
                </c:pt>
                <c:pt idx="16">
                  <c:v>94.280438508933187</c:v>
                </c:pt>
                <c:pt idx="17">
                  <c:v>95.23369875744433</c:v>
                </c:pt>
                <c:pt idx="18">
                  <c:v>96.186959005955458</c:v>
                </c:pt>
                <c:pt idx="19">
                  <c:v>97.140219254466601</c:v>
                </c:pt>
                <c:pt idx="20">
                  <c:v>98.093479502977729</c:v>
                </c:pt>
                <c:pt idx="21">
                  <c:v>99.046739751488857</c:v>
                </c:pt>
                <c:pt idx="22">
                  <c:v>100</c:v>
                </c:pt>
              </c:numCache>
            </c:numRef>
          </c:xVal>
          <c:yVal>
            <c:numRef>
              <c:f>DATA!$D$25:$Z$25</c:f>
              <c:numCache>
                <c:formatCode>_(* #,##0.00_);_(* \(#,##0.00\);_(* "-"??_);_(@_)</c:formatCode>
                <c:ptCount val="23"/>
                <c:pt idx="0">
                  <c:v>0</c:v>
                </c:pt>
                <c:pt idx="1">
                  <c:v>13856957.666206079</c:v>
                </c:pt>
                <c:pt idx="2">
                  <c:v>17100854.833500877</c:v>
                </c:pt>
                <c:pt idx="3">
                  <c:v>21081964.504783742</c:v>
                </c:pt>
                <c:pt idx="4">
                  <c:v>25935073.315333188</c:v>
                </c:pt>
                <c:pt idx="5">
                  <c:v>29225030.650664899</c:v>
                </c:pt>
                <c:pt idx="6">
                  <c:v>31769930.630707417</c:v>
                </c:pt>
                <c:pt idx="7">
                  <c:v>33862848.794848196</c:v>
                </c:pt>
                <c:pt idx="8">
                  <c:v>35646581.785134666</c:v>
                </c:pt>
                <c:pt idx="9">
                  <c:v>37202757.145390704</c:v>
                </c:pt>
                <c:pt idx="10">
                  <c:v>38582951.597497068</c:v>
                </c:pt>
                <c:pt idx="11">
                  <c:v>39822090.931507774</c:v>
                </c:pt>
                <c:pt idx="12">
                  <c:v>40945061.622214623</c:v>
                </c:pt>
                <c:pt idx="13">
                  <c:v>41970304.403777704</c:v>
                </c:pt>
                <c:pt idx="14">
                  <c:v>42911914.797576442</c:v>
                </c:pt>
                <c:pt idx="15">
                  <c:v>43780942.748500392</c:v>
                </c:pt>
                <c:pt idx="16">
                  <c:v>44586234.388893455</c:v>
                </c:pt>
                <c:pt idx="17">
                  <c:v>45334998.178077988</c:v>
                </c:pt>
                <c:pt idx="18">
                  <c:v>46033197.889231943</c:v>
                </c:pt>
                <c:pt idx="19">
                  <c:v>46685832.837051719</c:v>
                </c:pt>
                <c:pt idx="20">
                  <c:v>47297142.385082997</c:v>
                </c:pt>
                <c:pt idx="21">
                  <c:v>47870758.236724064</c:v>
                </c:pt>
                <c:pt idx="22">
                  <c:v>48409819.872920372</c:v>
                </c:pt>
              </c:numCache>
            </c:numRef>
          </c:yVal>
          <c:smooth val="0"/>
          <c:extLst>
            <c:ext xmlns:c16="http://schemas.microsoft.com/office/drawing/2014/chart" uri="{C3380CC4-5D6E-409C-BE32-E72D297353CC}">
              <c16:uniqueId val="{00000002-43C7-4521-A9E7-CF5DDB7E2DC5}"/>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90.817945651055112</c:v>
                </c:pt>
                <c:pt idx="1">
                  <c:v>90.932721330416925</c:v>
                </c:pt>
                <c:pt idx="2">
                  <c:v>91.047497009778724</c:v>
                </c:pt>
                <c:pt idx="3">
                  <c:v>91.277048368502349</c:v>
                </c:pt>
                <c:pt idx="4">
                  <c:v>91.736151085949601</c:v>
                </c:pt>
                <c:pt idx="5">
                  <c:v>92.195253803396852</c:v>
                </c:pt>
                <c:pt idx="6">
                  <c:v>92.65435652084409</c:v>
                </c:pt>
                <c:pt idx="7">
                  <c:v>93.113459238291327</c:v>
                </c:pt>
                <c:pt idx="8">
                  <c:v>93.572561955738564</c:v>
                </c:pt>
                <c:pt idx="9">
                  <c:v>94.031664673185816</c:v>
                </c:pt>
                <c:pt idx="10">
                  <c:v>94.490767390633067</c:v>
                </c:pt>
                <c:pt idx="11">
                  <c:v>94.949870108080304</c:v>
                </c:pt>
                <c:pt idx="12">
                  <c:v>95.408972825527556</c:v>
                </c:pt>
                <c:pt idx="13">
                  <c:v>95.868075542974807</c:v>
                </c:pt>
                <c:pt idx="14">
                  <c:v>96.327178260422045</c:v>
                </c:pt>
                <c:pt idx="15">
                  <c:v>96.786280977869282</c:v>
                </c:pt>
                <c:pt idx="16">
                  <c:v>97.245383695316519</c:v>
                </c:pt>
                <c:pt idx="17">
                  <c:v>97.704486412763785</c:v>
                </c:pt>
                <c:pt idx="18">
                  <c:v>98.163589130211022</c:v>
                </c:pt>
                <c:pt idx="19">
                  <c:v>98.62269184765826</c:v>
                </c:pt>
                <c:pt idx="20">
                  <c:v>99.081794565105525</c:v>
                </c:pt>
                <c:pt idx="21">
                  <c:v>99.540897282552763</c:v>
                </c:pt>
                <c:pt idx="22">
                  <c:v>100</c:v>
                </c:pt>
              </c:numCache>
            </c:numRef>
          </c:xVal>
          <c:yVal>
            <c:numRef>
              <c:f>DATA!$D$28:$Z$28</c:f>
              <c:numCache>
                <c:formatCode>_(* #,##0.00_);_(* \(#,##0.00\);_(* "-"??_);_(@_)</c:formatCode>
                <c:ptCount val="23"/>
                <c:pt idx="0">
                  <c:v>0</c:v>
                </c:pt>
                <c:pt idx="1">
                  <c:v>10111105.978979897</c:v>
                </c:pt>
                <c:pt idx="2">
                  <c:v>12483993.185144983</c:v>
                </c:pt>
                <c:pt idx="3">
                  <c:v>15404849.505670803</c:v>
                </c:pt>
                <c:pt idx="4">
                  <c:v>18987093.214829642</c:v>
                </c:pt>
                <c:pt idx="5">
                  <c:v>21436551.255732544</c:v>
                </c:pt>
                <c:pt idx="6">
                  <c:v>23347986.14664413</c:v>
                </c:pt>
                <c:pt idx="7">
                  <c:v>24934123.670799948</c:v>
                </c:pt>
                <c:pt idx="8">
                  <c:v>26298450.419562049</c:v>
                </c:pt>
                <c:pt idx="9">
                  <c:v>27500031.47068892</c:v>
                </c:pt>
                <c:pt idx="10">
                  <c:v>28576129.083747063</c:v>
                </c:pt>
                <c:pt idx="11">
                  <c:v>29551935.735297877</c:v>
                </c:pt>
                <c:pt idx="12">
                  <c:v>30445373.172882214</c:v>
                </c:pt>
                <c:pt idx="13">
                  <c:v>31269699.04329345</c:v>
                </c:pt>
                <c:pt idx="14">
                  <c:v>32035029.498646289</c:v>
                </c:pt>
                <c:pt idx="15">
                  <c:v>32749280.628422242</c:v>
                </c:pt>
                <c:pt idx="16">
                  <c:v>33418777.808603518</c:v>
                </c:pt>
                <c:pt idx="17">
                  <c:v>34048665.252886176</c:v>
                </c:pt>
                <c:pt idx="18">
                  <c:v>34643190.112691306</c:v>
                </c:pt>
                <c:pt idx="19">
                  <c:v>35205904.924348459</c:v>
                </c:pt>
                <c:pt idx="20">
                  <c:v>35739815.253049709</c:v>
                </c:pt>
                <c:pt idx="21">
                  <c:v>36247489.564345673</c:v>
                </c:pt>
                <c:pt idx="22">
                  <c:v>36731142.450291805</c:v>
                </c:pt>
              </c:numCache>
            </c:numRef>
          </c:yVal>
          <c:smooth val="0"/>
          <c:extLst>
            <c:ext xmlns:c16="http://schemas.microsoft.com/office/drawing/2014/chart" uri="{C3380CC4-5D6E-409C-BE32-E72D297353CC}">
              <c16:uniqueId val="{00000003-43C7-4521-A9E7-CF5DDB7E2DC5}"/>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60</c:v>
                </c:pt>
                <c:pt idx="1">
                  <c:v>60</c:v>
                </c:pt>
              </c:numCache>
            </c:numRef>
          </c:xVal>
          <c:yVal>
            <c:numRef>
              <c:f>DATA!$C$43:$D$43</c:f>
              <c:numCache>
                <c:formatCode>_ "€"\ * #,##0_ ;_ "€"\ * \-#,##0_ ;_ "€"\ * "-"??_ ;_ @_ </c:formatCode>
                <c:ptCount val="2"/>
                <c:pt idx="0" formatCode="_(&quot;€&quot;* #,##0.00_);_(&quot;€&quot;* \(#,##0.00\);_(&quot;€&quot;* &quot;-&quot;??_);_(@_)">
                  <c:v>0</c:v>
                </c:pt>
                <c:pt idx="1">
                  <c:v>114750000.00000003</c:v>
                </c:pt>
              </c:numCache>
            </c:numRef>
          </c:yVal>
          <c:smooth val="0"/>
          <c:extLst>
            <c:ext xmlns:c16="http://schemas.microsoft.com/office/drawing/2014/chart" uri="{C3380CC4-5D6E-409C-BE32-E72D297353CC}">
              <c16:uniqueId val="{00000004-43C7-4521-A9E7-CF5DDB7E2DC5}"/>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114750000.00000003</c:v>
                </c:pt>
              </c:numCache>
            </c:numRef>
          </c:yVal>
          <c:smooth val="0"/>
          <c:extLst>
            <c:ext xmlns:c16="http://schemas.microsoft.com/office/drawing/2014/chart" uri="{C3380CC4-5D6E-409C-BE32-E72D297353CC}">
              <c16:uniqueId val="{00000005-43C7-4521-A9E7-CF5DDB7E2DC5}"/>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3C7-4521-A9E7-CF5DDB7E2DC5}"/>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80</c:v>
                </c:pt>
              </c:numCache>
            </c:numRef>
          </c:xVal>
          <c:yVal>
            <c:numRef>
              <c:f>DATA!$C$38</c:f>
              <c:numCache>
                <c:formatCode>_ "€"\ * #,##0_ ;_ "€"\ * \-#,##0_ ;_ "€"\ * "-"??_ ;_ @_ </c:formatCode>
                <c:ptCount val="1"/>
                <c:pt idx="0">
                  <c:v>57375000</c:v>
                </c:pt>
              </c:numCache>
            </c:numRef>
          </c:yVal>
          <c:smooth val="0"/>
          <c:extLst>
            <c:ext xmlns:c16="http://schemas.microsoft.com/office/drawing/2014/chart" uri="{C3380CC4-5D6E-409C-BE32-E72D297353CC}">
              <c16:uniqueId val="{00000007-43C7-4521-A9E7-CF5DDB7E2DC5}"/>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43C7-4521-A9E7-CF5DDB7E2DC5}"/>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66352500</c:v>
                </c:pt>
              </c:numCache>
            </c:numRef>
          </c:yVal>
          <c:smooth val="0"/>
          <c:extLst>
            <c:ext xmlns:c16="http://schemas.microsoft.com/office/drawing/2014/chart" uri="{C3380CC4-5D6E-409C-BE32-E72D297353CC}">
              <c16:uniqueId val="{00000009-43C7-4521-A9E7-CF5DDB7E2DC5}"/>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43C7-4521-A9E7-CF5DDB7E2DC5}"/>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60</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43C7-4521-A9E7-CF5DDB7E2DC5}"/>
            </c:ext>
          </c:extLst>
        </c:ser>
        <c:ser>
          <c:idx val="3"/>
          <c:order val="9"/>
          <c:tx>
            <c:strRef>
              <c:f>DATA!$G$41</c:f>
              <c:strCache>
                <c:ptCount val="1"/>
                <c:pt idx="0">
                  <c:v>1500</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43C7-4521-A9E7-CF5DDB7E2DC5}"/>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43C7-4521-A9E7-CF5DDB7E2DC5}"/>
            </c:ext>
          </c:extLst>
        </c:ser>
        <c:ser>
          <c:idx val="5"/>
          <c:order val="10"/>
          <c:tx>
            <c:strRef>
              <c:f>DATA!$G$40</c:f>
              <c:strCache>
                <c:ptCount val="1"/>
                <c:pt idx="0">
                  <c:v>2500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43C7-4521-A9E7-CF5DDB7E2DC5}"/>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43C7-4521-A9E7-CF5DDB7E2DC5}"/>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114750000.00000003</c:v>
                </c:pt>
              </c:numCache>
            </c:numRef>
          </c:yVal>
          <c:smooth val="0"/>
          <c:extLst>
            <c:ext xmlns:c16="http://schemas.microsoft.com/office/drawing/2014/chart" uri="{C3380CC4-5D6E-409C-BE32-E72D297353CC}">
              <c16:uniqueId val="{00000010-43C7-4521-A9E7-CF5DDB7E2DC5}"/>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80</c:v>
                </c:pt>
                <c:pt idx="1">
                  <c:v>80</c:v>
                </c:pt>
              </c:numCache>
            </c:numRef>
          </c:xVal>
          <c:yVal>
            <c:numRef>
              <c:f>DATA!$C$43:$D$43</c:f>
              <c:numCache>
                <c:formatCode>_ "€"\ * #,##0_ ;_ "€"\ * \-#,##0_ ;_ "€"\ * "-"??_ ;_ @_ </c:formatCode>
                <c:ptCount val="2"/>
                <c:pt idx="0" formatCode="_(&quot;€&quot;* #,##0.00_);_(&quot;€&quot;* \(#,##0.00\);_(&quot;€&quot;* &quot;-&quot;??_);_(@_)">
                  <c:v>0</c:v>
                </c:pt>
                <c:pt idx="1">
                  <c:v>114750000.00000003</c:v>
                </c:pt>
              </c:numCache>
            </c:numRef>
          </c:yVal>
          <c:smooth val="0"/>
          <c:extLst>
            <c:ext xmlns:c16="http://schemas.microsoft.com/office/drawing/2014/chart" uri="{C3380CC4-5D6E-409C-BE32-E72D297353CC}">
              <c16:uniqueId val="{00000011-43C7-4521-A9E7-CF5DDB7E2DC5}"/>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3C7-4521-A9E7-CF5DDB7E2DC5}"/>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43C7-4521-A9E7-CF5DDB7E2DC5}"/>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43C7-4521-A9E7-CF5DDB7E2DC5}"/>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102000000.00000003"/>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510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chart" Target="../charts/chart2.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25400</xdr:colOff>
      <xdr:row>2</xdr:row>
      <xdr:rowOff>99483</xdr:rowOff>
    </xdr:from>
    <xdr:to>
      <xdr:col>5</xdr:col>
      <xdr:colOff>1213973</xdr:colOff>
      <xdr:row>6</xdr:row>
      <xdr:rowOff>4543</xdr:rowOff>
    </xdr:to>
    <xdr:pic>
      <xdr:nvPicPr>
        <xdr:cNvPr id="2" name="Afbeelding 1">
          <a:extLst>
            <a:ext uri="{FF2B5EF4-FFF2-40B4-BE49-F238E27FC236}">
              <a16:creationId xmlns:a16="http://schemas.microsoft.com/office/drawing/2014/main" id="{EF5F31E7-1570-4A7A-9757-C1229B48AEE9}"/>
            </a:ext>
          </a:extLst>
        </xdr:cNvPr>
        <xdr:cNvPicPr>
          <a:picLocks noChangeAspect="1"/>
        </xdr:cNvPicPr>
      </xdr:nvPicPr>
      <xdr:blipFill>
        <a:blip xmlns:r="http://schemas.openxmlformats.org/officeDocument/2006/relationships" r:embed="rId1"/>
        <a:stretch>
          <a:fillRect/>
        </a:stretch>
      </xdr:blipFill>
      <xdr:spPr>
        <a:xfrm>
          <a:off x="7560733" y="501650"/>
          <a:ext cx="1188573" cy="92106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8466</xdr:colOff>
      <xdr:row>11</xdr:row>
      <xdr:rowOff>93134</xdr:rowOff>
    </xdr:from>
    <xdr:to>
      <xdr:col>6</xdr:col>
      <xdr:colOff>8467</xdr:colOff>
      <xdr:row>18</xdr:row>
      <xdr:rowOff>67185</xdr:rowOff>
    </xdr:to>
    <xdr:sp macro="" textlink="">
      <xdr:nvSpPr>
        <xdr:cNvPr id="3" name="Tekstvak 2">
          <a:extLst>
            <a:ext uri="{FF2B5EF4-FFF2-40B4-BE49-F238E27FC236}">
              <a16:creationId xmlns:a16="http://schemas.microsoft.com/office/drawing/2014/main" id="{7BB89204-173C-4DD8-B15B-7C1A99D7D60C}"/>
            </a:ext>
          </a:extLst>
        </xdr:cNvPr>
        <xdr:cNvSpPr txBox="1"/>
      </xdr:nvSpPr>
      <xdr:spPr>
        <a:xfrm>
          <a:off x="169333" y="2480734"/>
          <a:ext cx="9914467" cy="12779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FF0000"/>
              </a:solidFill>
              <a:latin typeface="+mn-lt"/>
            </a:rPr>
            <a:t>Toelichting voor alle tabbladen</a:t>
          </a:r>
        </a:p>
        <a:p>
          <a:pPr marL="0" marR="0" lvl="0" indent="0" defTabSz="914400" eaLnBrk="1" fontAlgn="auto" latinLnBrk="0" hangingPunct="1">
            <a:lnSpc>
              <a:spcPct val="100000"/>
            </a:lnSpc>
            <a:spcBef>
              <a:spcPts val="0"/>
            </a:spcBef>
            <a:spcAft>
              <a:spcPts val="0"/>
            </a:spcAft>
            <a:buClrTx/>
            <a:buSzTx/>
            <a:buFontTx/>
            <a:buNone/>
            <a:tabLst/>
            <a:defRPr/>
          </a:pPr>
          <a:r>
            <a:rPr lang="nl-NL" sz="1100" b="0" i="0">
              <a:solidFill>
                <a:schemeClr val="dk1"/>
              </a:solidFill>
              <a:effectLst/>
              <a:latin typeface="+mn-lt"/>
              <a:ea typeface="+mn-ea"/>
              <a:cs typeface="+mn-cs"/>
            </a:rPr>
            <a:t>De in het prijsmodel opgenomen aantallen en dimensioneringen zijn gebaseerd op door Aanbestedende Dienst gehanteerde inschattingen en uitgangspunten. Deze aantallen dienen ter bepaling van de inschrijfprijs en het mogelijk maken van een objectieve en onderling vergelijkbare beoordeling van inschrijvingen. De daadwerkelijk af te nemen aantallen kunnen gedurende de looptijd van de overeenkomst afwijken van de in het prijsmodel genoemde aantallen. Aan de genoemde aantallen kunnen derhalve geen rechten worden ontleend. Indien en voor zover aantallen of dimensioneringen zijn opgenomen die niet noodzakelijkerwijs de verwachte feitelijke afname representeren, zijn deze uitsluitend opgenomen ten behoeve van een eenduidige prijsvergelijking tussen inschrijvers.</a:t>
          </a:r>
          <a:endParaRPr lang="nl-NL">
            <a:effectLst/>
          </a:endParaRPr>
        </a:p>
        <a:p>
          <a:endParaRPr lang="nl-NL" sz="1100" baseline="0">
            <a:latin typeface="+mn-l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371474</xdr:colOff>
      <xdr:row>1</xdr:row>
      <xdr:rowOff>205740</xdr:rowOff>
    </xdr:from>
    <xdr:to>
      <xdr:col>7</xdr:col>
      <xdr:colOff>758188</xdr:colOff>
      <xdr:row>4</xdr:row>
      <xdr:rowOff>246901</xdr:rowOff>
    </xdr:to>
    <xdr:pic>
      <xdr:nvPicPr>
        <xdr:cNvPr id="2" name="Afbeelding 1">
          <a:extLst>
            <a:ext uri="{FF2B5EF4-FFF2-40B4-BE49-F238E27FC236}">
              <a16:creationId xmlns:a16="http://schemas.microsoft.com/office/drawing/2014/main" id="{EE834166-1944-49E5-B39B-BEA4AECE76B4}"/>
            </a:ext>
          </a:extLst>
        </xdr:cNvPr>
        <xdr:cNvPicPr>
          <a:picLocks noChangeAspect="1"/>
        </xdr:cNvPicPr>
      </xdr:nvPicPr>
      <xdr:blipFill>
        <a:blip xmlns:r="http://schemas.openxmlformats.org/officeDocument/2006/relationships" r:embed="rId1"/>
        <a:stretch>
          <a:fillRect/>
        </a:stretch>
      </xdr:blipFill>
      <xdr:spPr>
        <a:xfrm>
          <a:off x="8115299" y="396240"/>
          <a:ext cx="1024889" cy="841261"/>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1291590</xdr:colOff>
      <xdr:row>1</xdr:row>
      <xdr:rowOff>161925</xdr:rowOff>
    </xdr:from>
    <xdr:to>
      <xdr:col>7</xdr:col>
      <xdr:colOff>2249805</xdr:colOff>
      <xdr:row>4</xdr:row>
      <xdr:rowOff>189751</xdr:rowOff>
    </xdr:to>
    <xdr:pic>
      <xdr:nvPicPr>
        <xdr:cNvPr id="2" name="Afbeelding 1">
          <a:extLst>
            <a:ext uri="{FF2B5EF4-FFF2-40B4-BE49-F238E27FC236}">
              <a16:creationId xmlns:a16="http://schemas.microsoft.com/office/drawing/2014/main" id="{AAFE1656-EC01-426D-9F7F-9E7D6966DE1B}"/>
            </a:ext>
          </a:extLst>
        </xdr:cNvPr>
        <xdr:cNvPicPr>
          <a:picLocks noChangeAspect="1"/>
        </xdr:cNvPicPr>
      </xdr:nvPicPr>
      <xdr:blipFill>
        <a:blip xmlns:r="http://schemas.openxmlformats.org/officeDocument/2006/relationships" r:embed="rId1"/>
        <a:stretch>
          <a:fillRect/>
        </a:stretch>
      </xdr:blipFill>
      <xdr:spPr>
        <a:xfrm>
          <a:off x="11359515" y="352425"/>
          <a:ext cx="958215" cy="827926"/>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581025</xdr:colOff>
      <xdr:row>34</xdr:row>
      <xdr:rowOff>152401</xdr:rowOff>
    </xdr:from>
    <xdr:to>
      <xdr:col>1</xdr:col>
      <xdr:colOff>1628775</xdr:colOff>
      <xdr:row>44</xdr:row>
      <xdr:rowOff>180975</xdr:rowOff>
    </xdr:to>
    <xdr:sp macro="" textlink="">
      <xdr:nvSpPr>
        <xdr:cNvPr id="4" name="Pijl: gebogen omhoog 3">
          <a:extLst>
            <a:ext uri="{FF2B5EF4-FFF2-40B4-BE49-F238E27FC236}">
              <a16:creationId xmlns:a16="http://schemas.microsoft.com/office/drawing/2014/main" id="{80645172-A8AC-4A31-8C29-121B71D76A23}"/>
            </a:ext>
          </a:extLst>
        </xdr:cNvPr>
        <xdr:cNvSpPr/>
      </xdr:nvSpPr>
      <xdr:spPr>
        <a:xfrm rot="5400000">
          <a:off x="100013" y="3732213"/>
          <a:ext cx="2009774" cy="1047750"/>
        </a:xfrm>
        <a:prstGeom prst="bentUpArrow">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nl-NL" sz="1100"/>
        </a:p>
      </xdr:txBody>
    </xdr:sp>
    <xdr:clientData/>
  </xdr:twoCellAnchor>
  <xdr:twoCellAnchor>
    <xdr:from>
      <xdr:col>6</xdr:col>
      <xdr:colOff>100011</xdr:colOff>
      <xdr:row>57</xdr:row>
      <xdr:rowOff>14286</xdr:rowOff>
    </xdr:from>
    <xdr:to>
      <xdr:col>13</xdr:col>
      <xdr:colOff>1362074</xdr:colOff>
      <xdr:row>80</xdr:row>
      <xdr:rowOff>19049</xdr:rowOff>
    </xdr:to>
    <xdr:graphicFrame macro="">
      <xdr:nvGraphicFramePr>
        <xdr:cNvPr id="5" name="Grafiek 4">
          <a:extLst>
            <a:ext uri="{FF2B5EF4-FFF2-40B4-BE49-F238E27FC236}">
              <a16:creationId xmlns:a16="http://schemas.microsoft.com/office/drawing/2014/main" id="{FD469DA7-1578-49C0-84A0-39CB6F76B2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12</xdr:col>
      <xdr:colOff>386715</xdr:colOff>
      <xdr:row>1</xdr:row>
      <xdr:rowOff>171450</xdr:rowOff>
    </xdr:from>
    <xdr:ext cx="1073150" cy="848881"/>
    <xdr:pic>
      <xdr:nvPicPr>
        <xdr:cNvPr id="8" name="Afbeelding 2">
          <a:extLst>
            <a:ext uri="{FF2B5EF4-FFF2-40B4-BE49-F238E27FC236}">
              <a16:creationId xmlns:a16="http://schemas.microsoft.com/office/drawing/2014/main" id="{5CCCA203-17E7-4CF2-8030-74DFC8279D36}"/>
            </a:ext>
          </a:extLst>
        </xdr:cNvPr>
        <xdr:cNvPicPr>
          <a:picLocks noChangeAspect="1"/>
        </xdr:cNvPicPr>
      </xdr:nvPicPr>
      <xdr:blipFill>
        <a:blip xmlns:r="http://schemas.openxmlformats.org/officeDocument/2006/relationships" r:embed="rId2"/>
        <a:stretch>
          <a:fillRect/>
        </a:stretch>
      </xdr:blipFill>
      <xdr:spPr>
        <a:xfrm>
          <a:off x="14636115" y="352425"/>
          <a:ext cx="1066800" cy="848881"/>
        </a:xfrm>
        <a:prstGeom prst="rect">
          <a:avLst/>
        </a:prstGeom>
        <a:ln>
          <a:noFill/>
        </a:ln>
        <a:effectLst>
          <a:outerShdw blurRad="292100" dist="139700" dir="2700000" algn="tl" rotWithShape="0">
            <a:srgbClr val="333333">
              <a:alpha val="65000"/>
            </a:srgbClr>
          </a:outerShdw>
        </a:effectLst>
      </xdr:spPr>
    </xdr:pic>
    <xdr:clientData/>
  </xdr:oneCellAnchor>
  <xdr:twoCellAnchor>
    <xdr:from>
      <xdr:col>1</xdr:col>
      <xdr:colOff>0</xdr:colOff>
      <xdr:row>6</xdr:row>
      <xdr:rowOff>139066</xdr:rowOff>
    </xdr:from>
    <xdr:to>
      <xdr:col>14</xdr:col>
      <xdr:colOff>19050</xdr:colOff>
      <xdr:row>17</xdr:row>
      <xdr:rowOff>152400</xdr:rowOff>
    </xdr:to>
    <xdr:sp macro="" textlink="">
      <xdr:nvSpPr>
        <xdr:cNvPr id="277" name="Tekstvak 5">
          <a:extLst>
            <a:ext uri="{FF2B5EF4-FFF2-40B4-BE49-F238E27FC236}">
              <a16:creationId xmlns:a16="http://schemas.microsoft.com/office/drawing/2014/main" id="{0F011EE6-1542-48AC-BDBB-A8936AE9FB2A}"/>
            </a:ext>
          </a:extLst>
        </xdr:cNvPr>
        <xdr:cNvSpPr txBox="1"/>
      </xdr:nvSpPr>
      <xdr:spPr>
        <a:xfrm>
          <a:off x="285750" y="1624966"/>
          <a:ext cx="15792450" cy="2004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FF0000"/>
              </a:solidFill>
              <a:latin typeface="+mn-lt"/>
            </a:rPr>
            <a:t>Toelichting invulling gele</a:t>
          </a:r>
          <a:r>
            <a:rPr lang="nl-NL" sz="1100" b="1" baseline="0">
              <a:solidFill>
                <a:srgbClr val="FF0000"/>
              </a:solidFill>
              <a:latin typeface="+mn-lt"/>
            </a:rPr>
            <a:t> </a:t>
          </a:r>
          <a:r>
            <a:rPr lang="nl-NL" sz="1100" b="1">
              <a:solidFill>
                <a:srgbClr val="FF0000"/>
              </a:solidFill>
              <a:latin typeface="+mn-lt"/>
            </a:rPr>
            <a:t>velden</a:t>
          </a:r>
        </a:p>
        <a:p>
          <a:endParaRPr lang="nl-NL" sz="1100" b="1">
            <a:solidFill>
              <a:srgbClr val="FF0000"/>
            </a:solidFill>
            <a:latin typeface="+mn-lt"/>
          </a:endParaRPr>
        </a:p>
        <a:p>
          <a:r>
            <a:rPr lang="nl-NL"/>
            <a:t>Kadaster wil benadrukken</a:t>
          </a:r>
          <a:r>
            <a:rPr lang="nl-NL" baseline="0"/>
            <a:t> dat de</a:t>
          </a:r>
          <a:r>
            <a:rPr lang="nl-NL"/>
            <a:t> genoemde aantallen een indicatie </a:t>
          </a:r>
          <a:r>
            <a:rPr lang="nl-NL" sz="1100">
              <a:solidFill>
                <a:schemeClr val="dk1"/>
              </a:solidFill>
              <a:effectLst/>
              <a:latin typeface="+mn-lt"/>
              <a:ea typeface="+mn-ea"/>
              <a:cs typeface="+mn-cs"/>
            </a:rPr>
            <a:t>betreffen </a:t>
          </a:r>
          <a:r>
            <a:rPr lang="nl-NL"/>
            <a:t>op jaarbasis en zijn gebaseerd op een inschatting. Voor innovatie en grote projecten, zoals bijv. upgrades, geldt dat deze aantallen niet structureel of jaarlijks worden afgenomen. De daadwerkelijke afname kan per jaar verschillen en is afhankelijk van de behoefte en planning. Behoefte wordt ruim</a:t>
          </a:r>
          <a:r>
            <a:rPr lang="nl-NL" baseline="0"/>
            <a:t> van te voren besproken en afgestemd in een roadmap met Opdrachtnemer. </a:t>
          </a:r>
          <a:br>
            <a:rPr lang="nl-NL" baseline="0"/>
          </a:br>
          <a:br>
            <a:rPr lang="nl-NL" baseline="0"/>
          </a:br>
          <a:r>
            <a:rPr lang="nl-NL" sz="1100">
              <a:solidFill>
                <a:schemeClr val="dk1"/>
              </a:solidFill>
              <a:effectLst/>
              <a:latin typeface="+mn-lt"/>
              <a:ea typeface="+mn-ea"/>
              <a:cs typeface="+mn-cs"/>
            </a:rPr>
            <a:t>De in dit tabblad opgenomen kenniscategorieën en indicatieve uren zijn uitsluitend bedoeld voor het mogelijk maken van een uniforme en vergelijkbare prijsbeoordeling. Het Kadaster benadrukt dat de aard, omvang en frequentie van toekomstige projecten en grootschalige wijzigingen (zoals upgrades, migraties en implementatie of opschaling van BYOD/CYOD) en ondersteuning op tactisch en strategisch niveau vooraf niet exact te bepalen zijn en daarom niet volledig in het prijsmodel zijn opgenomen.</a:t>
          </a:r>
          <a:br>
            <a:rPr lang="nl-NL" sz="1100">
              <a:solidFill>
                <a:schemeClr val="dk1"/>
              </a:solidFill>
              <a:effectLst/>
              <a:latin typeface="+mn-lt"/>
              <a:ea typeface="+mn-ea"/>
              <a:cs typeface="+mn-cs"/>
            </a:rPr>
          </a:b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Voor dergelijke trajecten geldt dat, indien projectmatige inzet en/of specialistische kennis benodigd is, deze wordt geleverd via de in dit tabblad opgenomen kenniscategorieën. De daadwerkelijke inzet wordt gedurende de looptijd van de overeenkomst in onderlinge afstemming bepaald.</a:t>
          </a:r>
        </a:p>
        <a:p>
          <a:endParaRPr lang="nl-NL" sz="1100" b="0">
            <a:solidFill>
              <a:sysClr val="windowText" lastClr="000000"/>
            </a:solidFill>
            <a:latin typeface="+mn-lt"/>
          </a:endParaRPr>
        </a:p>
      </xdr:txBody>
    </xdr:sp>
    <xdr:clientData/>
  </xdr:twoCellAnchor>
  <xdr:twoCellAnchor editAs="oneCell">
    <xdr:from>
      <xdr:col>7</xdr:col>
      <xdr:colOff>83346</xdr:colOff>
      <xdr:row>43</xdr:row>
      <xdr:rowOff>83344</xdr:rowOff>
    </xdr:from>
    <xdr:to>
      <xdr:col>9</xdr:col>
      <xdr:colOff>1082987</xdr:colOff>
      <xdr:row>48</xdr:row>
      <xdr:rowOff>96833</xdr:rowOff>
    </xdr:to>
    <xdr:pic>
      <xdr:nvPicPr>
        <xdr:cNvPr id="3" name="Afbeelding 2">
          <a:extLst>
            <a:ext uri="{FF2B5EF4-FFF2-40B4-BE49-F238E27FC236}">
              <a16:creationId xmlns:a16="http://schemas.microsoft.com/office/drawing/2014/main" id="{2B6FF42F-AD81-37C7-6475-8BE8BE0C8AF3}"/>
            </a:ext>
          </a:extLst>
        </xdr:cNvPr>
        <xdr:cNvPicPr>
          <a:picLocks noChangeAspect="1"/>
        </xdr:cNvPicPr>
      </xdr:nvPicPr>
      <xdr:blipFill>
        <a:blip xmlns:r="http://schemas.openxmlformats.org/officeDocument/2006/relationships" r:embed="rId3"/>
        <a:stretch>
          <a:fillRect/>
        </a:stretch>
      </xdr:blipFill>
      <xdr:spPr>
        <a:xfrm>
          <a:off x="7167565" y="8143875"/>
          <a:ext cx="3353268" cy="11050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0</xdr:colOff>
      <xdr:row>1</xdr:row>
      <xdr:rowOff>280036</xdr:rowOff>
    </xdr:from>
    <xdr:to>
      <xdr:col>14</xdr:col>
      <xdr:colOff>973455</xdr:colOff>
      <xdr:row>4</xdr:row>
      <xdr:rowOff>171451</xdr:rowOff>
    </xdr:to>
    <xdr:pic>
      <xdr:nvPicPr>
        <xdr:cNvPr id="2" name="Afbeelding 1">
          <a:extLst>
            <a:ext uri="{FF2B5EF4-FFF2-40B4-BE49-F238E27FC236}">
              <a16:creationId xmlns:a16="http://schemas.microsoft.com/office/drawing/2014/main" id="{F7864896-D400-4CE4-BF0F-D87CDD0FC1A0}"/>
            </a:ext>
          </a:extLst>
        </xdr:cNvPr>
        <xdr:cNvPicPr>
          <a:picLocks noChangeAspect="1"/>
        </xdr:cNvPicPr>
      </xdr:nvPicPr>
      <xdr:blipFill>
        <a:blip xmlns:r="http://schemas.openxmlformats.org/officeDocument/2006/relationships" r:embed="rId1"/>
        <a:stretch>
          <a:fillRect/>
        </a:stretch>
      </xdr:blipFill>
      <xdr:spPr>
        <a:xfrm>
          <a:off x="12129135" y="375286"/>
          <a:ext cx="1051560" cy="73914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1</xdr:colOff>
      <xdr:row>7</xdr:row>
      <xdr:rowOff>0</xdr:rowOff>
    </xdr:from>
    <xdr:to>
      <xdr:col>15</xdr:col>
      <xdr:colOff>1</xdr:colOff>
      <xdr:row>12</xdr:row>
      <xdr:rowOff>0</xdr:rowOff>
    </xdr:to>
    <xdr:sp macro="" textlink="">
      <xdr:nvSpPr>
        <xdr:cNvPr id="3" name="Tekstvak 5">
          <a:extLst>
            <a:ext uri="{FF2B5EF4-FFF2-40B4-BE49-F238E27FC236}">
              <a16:creationId xmlns:a16="http://schemas.microsoft.com/office/drawing/2014/main" id="{4236B6B9-56C9-4545-B35B-B9C1B466710D}"/>
            </a:ext>
          </a:extLst>
        </xdr:cNvPr>
        <xdr:cNvSpPr txBox="1"/>
      </xdr:nvSpPr>
      <xdr:spPr>
        <a:xfrm>
          <a:off x="129541" y="1600200"/>
          <a:ext cx="13975080" cy="990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FF0000"/>
              </a:solidFill>
              <a:latin typeface="+mn-lt"/>
            </a:rPr>
            <a:t>Toelichting invulling gele</a:t>
          </a:r>
          <a:r>
            <a:rPr lang="nl-NL" sz="1100" b="1" baseline="0">
              <a:solidFill>
                <a:srgbClr val="FF0000"/>
              </a:solidFill>
              <a:latin typeface="+mn-lt"/>
            </a:rPr>
            <a:t> </a:t>
          </a:r>
          <a:r>
            <a:rPr lang="nl-NL" sz="1100" b="1">
              <a:solidFill>
                <a:srgbClr val="FF0000"/>
              </a:solidFill>
              <a:latin typeface="+mn-lt"/>
            </a:rPr>
            <a:t>velden</a:t>
          </a:r>
        </a:p>
        <a:p>
          <a:endParaRPr lang="nl-NL" sz="1100" b="1">
            <a:solidFill>
              <a:srgbClr val="FF0000"/>
            </a:solidFill>
            <a:latin typeface="+mn-lt"/>
          </a:endParaRPr>
        </a:p>
        <a:p>
          <a:r>
            <a:rPr lang="nl-NL"/>
            <a:t>De genoemde aantallen betreffen een indicatie op jaarbasis en zijn gebaseerd op een inschatting. De daadwerkelijke afname kan per jaar verschillen en is afhankelijk van de behoefte en planning. </a:t>
          </a:r>
          <a:endParaRPr lang="nl-NL" sz="1100" b="0">
            <a:solidFill>
              <a:sysClr val="windowText" lastClr="000000"/>
            </a:solidFill>
            <a:latin typeface="+mn-l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7621</xdr:colOff>
      <xdr:row>7</xdr:row>
      <xdr:rowOff>0</xdr:rowOff>
    </xdr:from>
    <xdr:to>
      <xdr:col>2</xdr:col>
      <xdr:colOff>1514475</xdr:colOff>
      <xdr:row>16</xdr:row>
      <xdr:rowOff>0</xdr:rowOff>
    </xdr:to>
    <xdr:sp macro="" textlink="">
      <xdr:nvSpPr>
        <xdr:cNvPr id="2" name="Tekstvak 5">
          <a:extLst>
            <a:ext uri="{FF2B5EF4-FFF2-40B4-BE49-F238E27FC236}">
              <a16:creationId xmlns:a16="http://schemas.microsoft.com/office/drawing/2014/main" id="{4BA86FB7-6259-4013-A0ED-9DF01E939EE9}"/>
            </a:ext>
          </a:extLst>
        </xdr:cNvPr>
        <xdr:cNvSpPr txBox="1"/>
      </xdr:nvSpPr>
      <xdr:spPr>
        <a:xfrm>
          <a:off x="150496" y="1781175"/>
          <a:ext cx="8002904" cy="171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FF0000"/>
              </a:solidFill>
              <a:latin typeface="+mn-lt"/>
            </a:rPr>
            <a:t>Toelichting invulling gele</a:t>
          </a:r>
          <a:r>
            <a:rPr lang="nl-NL" sz="1100" b="1" baseline="0">
              <a:solidFill>
                <a:srgbClr val="FF0000"/>
              </a:solidFill>
              <a:latin typeface="+mn-lt"/>
            </a:rPr>
            <a:t> </a:t>
          </a:r>
          <a:r>
            <a:rPr lang="nl-NL" sz="1100" b="1">
              <a:solidFill>
                <a:srgbClr val="FF0000"/>
              </a:solidFill>
              <a:latin typeface="+mn-lt"/>
            </a:rPr>
            <a:t>velden</a:t>
          </a:r>
        </a:p>
        <a:p>
          <a:endParaRPr lang="nl-NL" sz="1100" b="0">
            <a:solidFill>
              <a:sysClr val="windowText" lastClr="000000"/>
            </a:solidFill>
            <a:latin typeface="+mn-lt"/>
          </a:endParaRPr>
        </a:p>
        <a:p>
          <a:r>
            <a:rPr lang="nl-NL" sz="1100" b="0">
              <a:solidFill>
                <a:sysClr val="windowText" lastClr="000000"/>
              </a:solidFill>
              <a:latin typeface="+mn-lt"/>
            </a:rPr>
            <a:t>Ook de huidige leverancier dient, als deze inschrijft, een realistische prijs voor de Transitie af te geven af te geven, zodat alle inschrijvingen vergeleken kunnen worden.</a:t>
          </a:r>
        </a:p>
        <a:p>
          <a:endParaRPr lang="nl-NL" sz="1100" b="0">
            <a:solidFill>
              <a:sysClr val="windowText" lastClr="000000"/>
            </a:solidFill>
            <a:latin typeface="+mn-lt"/>
          </a:endParaRPr>
        </a:p>
        <a:p>
          <a:r>
            <a:rPr lang="nl-NL" sz="1100" b="0">
              <a:solidFill>
                <a:sysClr val="windowText" lastClr="000000"/>
              </a:solidFill>
              <a:latin typeface="+mn-lt"/>
            </a:rPr>
            <a:t>Het realiseren van de kwalitatieve gunningscriteria zit in de prijs inbegrepen, dit geldt dus ook voor hetgeen tijdens de demonstratie wordt gedemonstreerd.</a:t>
          </a:r>
          <a:br>
            <a:rPr lang="nl-NL" sz="1100" b="0">
              <a:solidFill>
                <a:sysClr val="windowText" lastClr="000000"/>
              </a:solidFill>
              <a:latin typeface="+mn-lt"/>
            </a:rPr>
          </a:br>
          <a:br>
            <a:rPr lang="nl-NL" sz="1100" b="0">
              <a:solidFill>
                <a:sysClr val="windowText" lastClr="000000"/>
              </a:solidFill>
              <a:latin typeface="+mn-lt"/>
            </a:rPr>
          </a:br>
          <a:r>
            <a:rPr lang="nl-NL" sz="1100" b="0">
              <a:solidFill>
                <a:sysClr val="windowText" lastClr="000000"/>
              </a:solidFill>
              <a:latin typeface="+mn-lt"/>
            </a:rPr>
            <a:t>De opgegeven prijs is inclusief alle extra kosten zoals reiskosten,</a:t>
          </a:r>
          <a:r>
            <a:rPr lang="nl-NL" sz="1100" b="0" baseline="0">
              <a:solidFill>
                <a:sysClr val="windowText" lastClr="000000"/>
              </a:solidFill>
              <a:latin typeface="+mn-lt"/>
            </a:rPr>
            <a:t> hardware, software etc. </a:t>
          </a:r>
          <a:endParaRPr lang="nl-NL" sz="1100" b="1">
            <a:solidFill>
              <a:srgbClr val="FF0000"/>
            </a:solidFill>
            <a:latin typeface="+mn-lt"/>
          </a:endParaRPr>
        </a:p>
      </xdr:txBody>
    </xdr:sp>
    <xdr:clientData/>
  </xdr:twoCellAnchor>
  <xdr:twoCellAnchor editAs="oneCell">
    <xdr:from>
      <xdr:col>2</xdr:col>
      <xdr:colOff>190499</xdr:colOff>
      <xdr:row>1</xdr:row>
      <xdr:rowOff>99059</xdr:rowOff>
    </xdr:from>
    <xdr:to>
      <xdr:col>2</xdr:col>
      <xdr:colOff>874394</xdr:colOff>
      <xdr:row>3</xdr:row>
      <xdr:rowOff>119832</xdr:rowOff>
    </xdr:to>
    <xdr:pic>
      <xdr:nvPicPr>
        <xdr:cNvPr id="3" name="Afbeelding 2">
          <a:extLst>
            <a:ext uri="{FF2B5EF4-FFF2-40B4-BE49-F238E27FC236}">
              <a16:creationId xmlns:a16="http://schemas.microsoft.com/office/drawing/2014/main" id="{043BF924-FB1C-4CF8-BF93-A2F0DE4FE341}"/>
            </a:ext>
          </a:extLst>
        </xdr:cNvPr>
        <xdr:cNvPicPr>
          <a:picLocks noChangeAspect="1"/>
        </xdr:cNvPicPr>
      </xdr:nvPicPr>
      <xdr:blipFill>
        <a:blip xmlns:r="http://schemas.openxmlformats.org/officeDocument/2006/relationships" r:embed="rId1"/>
        <a:stretch>
          <a:fillRect/>
        </a:stretch>
      </xdr:blipFill>
      <xdr:spPr>
        <a:xfrm>
          <a:off x="5280659" y="220979"/>
          <a:ext cx="683895" cy="615133"/>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244475</xdr:colOff>
      <xdr:row>7</xdr:row>
      <xdr:rowOff>180975</xdr:rowOff>
    </xdr:from>
    <xdr:to>
      <xdr:col>1</xdr:col>
      <xdr:colOff>6162675</xdr:colOff>
      <xdr:row>25</xdr:row>
      <xdr:rowOff>180415</xdr:rowOff>
    </xdr:to>
    <xdr:graphicFrame macro="">
      <xdr:nvGraphicFramePr>
        <xdr:cNvPr id="2" name="Grafiek1">
          <a:extLst>
            <a:ext uri="{FF2B5EF4-FFF2-40B4-BE49-F238E27FC236}">
              <a16:creationId xmlns:a16="http://schemas.microsoft.com/office/drawing/2014/main" id="{CE76E635-865E-4C96-A8CE-98A0B376B8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862853</xdr:colOff>
      <xdr:row>10</xdr:row>
      <xdr:rowOff>11206</xdr:rowOff>
    </xdr:from>
    <xdr:ext cx="1501589" cy="1864658"/>
    <xdr:pic>
      <xdr:nvPicPr>
        <xdr:cNvPr id="3" name="Afbeelding 2">
          <a:extLst>
            <a:ext uri="{FF2B5EF4-FFF2-40B4-BE49-F238E27FC236}">
              <a16:creationId xmlns:a16="http://schemas.microsoft.com/office/drawing/2014/main" id="{744EF581-1119-479D-B896-495D9FC57D65}"/>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21933" y="1840006"/>
          <a:ext cx="1501589" cy="1864658"/>
        </a:xfrm>
        <a:prstGeom prst="rect">
          <a:avLst/>
        </a:prstGeom>
      </xdr:spPr>
    </xdr:pic>
    <xdr:clientData/>
  </xdr:oneCellAnchor>
  <xdr:twoCellAnchor editAs="oneCell">
    <xdr:from>
      <xdr:col>6</xdr:col>
      <xdr:colOff>190500</xdr:colOff>
      <xdr:row>1</xdr:row>
      <xdr:rowOff>123825</xdr:rowOff>
    </xdr:from>
    <xdr:to>
      <xdr:col>7</xdr:col>
      <xdr:colOff>133350</xdr:colOff>
      <xdr:row>3</xdr:row>
      <xdr:rowOff>207463</xdr:rowOff>
    </xdr:to>
    <xdr:pic>
      <xdr:nvPicPr>
        <xdr:cNvPr id="6" name="Afbeelding 5">
          <a:extLst>
            <a:ext uri="{FF2B5EF4-FFF2-40B4-BE49-F238E27FC236}">
              <a16:creationId xmlns:a16="http://schemas.microsoft.com/office/drawing/2014/main" id="{C445CEE5-9310-494B-A773-D5B260BF2980}"/>
            </a:ext>
          </a:extLst>
        </xdr:cNvPr>
        <xdr:cNvPicPr>
          <a:picLocks noChangeAspect="1"/>
        </xdr:cNvPicPr>
      </xdr:nvPicPr>
      <xdr:blipFill>
        <a:blip xmlns:r="http://schemas.openxmlformats.org/officeDocument/2006/relationships" r:embed="rId3"/>
        <a:stretch>
          <a:fillRect/>
        </a:stretch>
      </xdr:blipFill>
      <xdr:spPr>
        <a:xfrm>
          <a:off x="12068175" y="390525"/>
          <a:ext cx="683895" cy="611323"/>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16.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73025</xdr:colOff>
      <xdr:row>6</xdr:row>
      <xdr:rowOff>85725</xdr:rowOff>
    </xdr:from>
    <xdr:to>
      <xdr:col>16</xdr:col>
      <xdr:colOff>15875</xdr:colOff>
      <xdr:row>36</xdr:row>
      <xdr:rowOff>35978</xdr:rowOff>
    </xdr:to>
    <xdr:pic>
      <xdr:nvPicPr>
        <xdr:cNvPr id="2" name="Graphic 1">
          <a:extLst>
            <a:ext uri="{FF2B5EF4-FFF2-40B4-BE49-F238E27FC236}">
              <a16:creationId xmlns:a16="http://schemas.microsoft.com/office/drawing/2014/main" id="{928B6703-2ECF-FA8D-90CB-F27B67409C49}"/>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3688" r="3989" b="3020"/>
        <a:stretch>
          <a:fillRect/>
        </a:stretch>
      </xdr:blipFill>
      <xdr:spPr bwMode="auto">
        <a:xfrm>
          <a:off x="1292225" y="85725"/>
          <a:ext cx="9086850" cy="5379503"/>
        </a:xfrm>
        <a:prstGeom prst="rect">
          <a:avLst/>
        </a:prstGeom>
        <a:ln>
          <a:noFill/>
        </a:ln>
        <a:effectLst/>
        <a:extLst>
          <a:ext uri="{53640926-AAD7-44D8-BBD7-CCE9431645EC}">
            <a14:shadowObscured xmlns:a14="http://schemas.microsoft.com/office/drawing/2010/main"/>
          </a:ext>
        </a:extLst>
      </xdr:spPr>
    </xdr:pic>
    <xdr:clientData/>
  </xdr:twoCellAnchor>
  <xdr:twoCellAnchor>
    <xdr:from>
      <xdr:col>7</xdr:col>
      <xdr:colOff>9525</xdr:colOff>
      <xdr:row>33</xdr:row>
      <xdr:rowOff>142875</xdr:rowOff>
    </xdr:from>
    <xdr:to>
      <xdr:col>9</xdr:col>
      <xdr:colOff>390525</xdr:colOff>
      <xdr:row>42</xdr:row>
      <xdr:rowOff>28575</xdr:rowOff>
    </xdr:to>
    <xdr:cxnSp macro="">
      <xdr:nvCxnSpPr>
        <xdr:cNvPr id="12" name="Rechte verbindingslijn met pijl 11">
          <a:extLst>
            <a:ext uri="{FF2B5EF4-FFF2-40B4-BE49-F238E27FC236}">
              <a16:creationId xmlns:a16="http://schemas.microsoft.com/office/drawing/2014/main" id="{9F1940E8-365D-3757-35F3-714CD8D3B19A}"/>
            </a:ext>
          </a:extLst>
        </xdr:cNvPr>
        <xdr:cNvCxnSpPr/>
      </xdr:nvCxnSpPr>
      <xdr:spPr>
        <a:xfrm>
          <a:off x="4886325" y="6810375"/>
          <a:ext cx="1600200" cy="1600200"/>
        </a:xfrm>
        <a:prstGeom prst="straightConnector1">
          <a:avLst/>
        </a:prstGeom>
        <a:ln w="952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581025</xdr:colOff>
      <xdr:row>33</xdr:row>
      <xdr:rowOff>139700</xdr:rowOff>
    </xdr:from>
    <xdr:to>
      <xdr:col>8</xdr:col>
      <xdr:colOff>57150</xdr:colOff>
      <xdr:row>42</xdr:row>
      <xdr:rowOff>9525</xdr:rowOff>
    </xdr:to>
    <xdr:cxnSp macro="">
      <xdr:nvCxnSpPr>
        <xdr:cNvPr id="15" name="Rechte verbindingslijn met pijl 14">
          <a:extLst>
            <a:ext uri="{FF2B5EF4-FFF2-40B4-BE49-F238E27FC236}">
              <a16:creationId xmlns:a16="http://schemas.microsoft.com/office/drawing/2014/main" id="{12F9E11D-A889-46BD-8BDC-A19E5F3F34D2}"/>
            </a:ext>
          </a:extLst>
        </xdr:cNvPr>
        <xdr:cNvCxnSpPr/>
      </xdr:nvCxnSpPr>
      <xdr:spPr>
        <a:xfrm>
          <a:off x="4238625" y="6807200"/>
          <a:ext cx="1304925" cy="1584325"/>
        </a:xfrm>
        <a:prstGeom prst="straightConnector1">
          <a:avLst/>
        </a:prstGeom>
        <a:ln w="952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38100</xdr:colOff>
      <xdr:row>33</xdr:row>
      <xdr:rowOff>130175</xdr:rowOff>
    </xdr:from>
    <xdr:to>
      <xdr:col>11</xdr:col>
      <xdr:colOff>114300</xdr:colOff>
      <xdr:row>42</xdr:row>
      <xdr:rowOff>57150</xdr:rowOff>
    </xdr:to>
    <xdr:cxnSp macro="">
      <xdr:nvCxnSpPr>
        <xdr:cNvPr id="10" name="Rechte verbindingslijn met pijl 9">
          <a:extLst>
            <a:ext uri="{FF2B5EF4-FFF2-40B4-BE49-F238E27FC236}">
              <a16:creationId xmlns:a16="http://schemas.microsoft.com/office/drawing/2014/main" id="{09690F38-AF38-4A98-85BF-67395A5F70AD}"/>
            </a:ext>
          </a:extLst>
        </xdr:cNvPr>
        <xdr:cNvCxnSpPr/>
      </xdr:nvCxnSpPr>
      <xdr:spPr>
        <a:xfrm>
          <a:off x="5524500" y="6797675"/>
          <a:ext cx="1905000" cy="1641475"/>
        </a:xfrm>
        <a:prstGeom prst="straightConnector1">
          <a:avLst/>
        </a:prstGeom>
        <a:ln w="952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198436</xdr:colOff>
      <xdr:row>35</xdr:row>
      <xdr:rowOff>66677</xdr:rowOff>
    </xdr:from>
    <xdr:to>
      <xdr:col>12</xdr:col>
      <xdr:colOff>533400</xdr:colOff>
      <xdr:row>42</xdr:row>
      <xdr:rowOff>47625</xdr:rowOff>
    </xdr:to>
    <xdr:cxnSp macro="">
      <xdr:nvCxnSpPr>
        <xdr:cNvPr id="26" name="Rechte verbindingslijn met pijl 25">
          <a:extLst>
            <a:ext uri="{FF2B5EF4-FFF2-40B4-BE49-F238E27FC236}">
              <a16:creationId xmlns:a16="http://schemas.microsoft.com/office/drawing/2014/main" id="{E6C95696-2173-4D74-81EE-A9F34F8BABFD}"/>
            </a:ext>
          </a:extLst>
        </xdr:cNvPr>
        <xdr:cNvCxnSpPr>
          <a:stCxn id="32" idx="1"/>
        </xdr:cNvCxnSpPr>
      </xdr:nvCxnSpPr>
      <xdr:spPr>
        <a:xfrm>
          <a:off x="8123236" y="7115177"/>
          <a:ext cx="334964" cy="1314448"/>
        </a:xfrm>
        <a:prstGeom prst="straightConnector1">
          <a:avLst/>
        </a:prstGeom>
        <a:ln w="952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473074</xdr:colOff>
      <xdr:row>34</xdr:row>
      <xdr:rowOff>0</xdr:rowOff>
    </xdr:from>
    <xdr:to>
      <xdr:col>15</xdr:col>
      <xdr:colOff>533399</xdr:colOff>
      <xdr:row>35</xdr:row>
      <xdr:rowOff>66677</xdr:rowOff>
    </xdr:to>
    <xdr:sp macro="" textlink="">
      <xdr:nvSpPr>
        <xdr:cNvPr id="32" name="Rechteraccolade 31">
          <a:extLst>
            <a:ext uri="{FF2B5EF4-FFF2-40B4-BE49-F238E27FC236}">
              <a16:creationId xmlns:a16="http://schemas.microsoft.com/office/drawing/2014/main" id="{0EFA90C1-9C0B-5BA5-34D2-7ABD15AD5E82}"/>
            </a:ext>
          </a:extLst>
        </xdr:cNvPr>
        <xdr:cNvSpPr/>
      </xdr:nvSpPr>
      <xdr:spPr>
        <a:xfrm rot="5400000">
          <a:off x="7999411" y="3027363"/>
          <a:ext cx="247652" cy="4327525"/>
        </a:xfrm>
        <a:prstGeom prst="rightBrace">
          <a:avLst/>
        </a:prstGeom>
        <a:ln w="9525">
          <a:solidFill>
            <a:srgbClr val="C00000"/>
          </a:solidFill>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xdr:from>
      <xdr:col>1</xdr:col>
      <xdr:colOff>47625</xdr:colOff>
      <xdr:row>34</xdr:row>
      <xdr:rowOff>38100</xdr:rowOff>
    </xdr:from>
    <xdr:to>
      <xdr:col>4</xdr:col>
      <xdr:colOff>209550</xdr:colOff>
      <xdr:row>36</xdr:row>
      <xdr:rowOff>76200</xdr:rowOff>
    </xdr:to>
    <xdr:sp macro="" textlink="">
      <xdr:nvSpPr>
        <xdr:cNvPr id="5" name="Rechthoek 4">
          <a:extLst>
            <a:ext uri="{FF2B5EF4-FFF2-40B4-BE49-F238E27FC236}">
              <a16:creationId xmlns:a16="http://schemas.microsoft.com/office/drawing/2014/main" id="{EA9C6FC9-1836-C27A-E77C-04BFA18300DC}"/>
            </a:ext>
          </a:extLst>
        </xdr:cNvPr>
        <xdr:cNvSpPr/>
      </xdr:nvSpPr>
      <xdr:spPr>
        <a:xfrm>
          <a:off x="1266825" y="5372100"/>
          <a:ext cx="1990725" cy="41910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482600</xdr:colOff>
      <xdr:row>33</xdr:row>
      <xdr:rowOff>133350</xdr:rowOff>
    </xdr:from>
    <xdr:to>
      <xdr:col>6</xdr:col>
      <xdr:colOff>571500</xdr:colOff>
      <xdr:row>42</xdr:row>
      <xdr:rowOff>38100</xdr:rowOff>
    </xdr:to>
    <xdr:cxnSp macro="">
      <xdr:nvCxnSpPr>
        <xdr:cNvPr id="16" name="Rechte verbindingslijn met pijl 15">
          <a:extLst>
            <a:ext uri="{FF2B5EF4-FFF2-40B4-BE49-F238E27FC236}">
              <a16:creationId xmlns:a16="http://schemas.microsoft.com/office/drawing/2014/main" id="{B65E1684-CC45-4109-A450-A5F4B49310F2}"/>
            </a:ext>
          </a:extLst>
        </xdr:cNvPr>
        <xdr:cNvCxnSpPr/>
      </xdr:nvCxnSpPr>
      <xdr:spPr>
        <a:xfrm>
          <a:off x="2921000" y="6800850"/>
          <a:ext cx="1917700" cy="1619250"/>
        </a:xfrm>
        <a:prstGeom prst="straightConnector1">
          <a:avLst/>
        </a:prstGeom>
        <a:ln w="952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454025</xdr:colOff>
      <xdr:row>33</xdr:row>
      <xdr:rowOff>161925</xdr:rowOff>
    </xdr:from>
    <xdr:to>
      <xdr:col>5</xdr:col>
      <xdr:colOff>495300</xdr:colOff>
      <xdr:row>42</xdr:row>
      <xdr:rowOff>57150</xdr:rowOff>
    </xdr:to>
    <xdr:cxnSp macro="">
      <xdr:nvCxnSpPr>
        <xdr:cNvPr id="17" name="Rechte verbindingslijn met pijl 16">
          <a:extLst>
            <a:ext uri="{FF2B5EF4-FFF2-40B4-BE49-F238E27FC236}">
              <a16:creationId xmlns:a16="http://schemas.microsoft.com/office/drawing/2014/main" id="{ACBB5651-D254-4A25-8A91-3F1A23C7FB50}"/>
            </a:ext>
          </a:extLst>
        </xdr:cNvPr>
        <xdr:cNvCxnSpPr/>
      </xdr:nvCxnSpPr>
      <xdr:spPr>
        <a:xfrm>
          <a:off x="2282825" y="6829425"/>
          <a:ext cx="1870075" cy="1609725"/>
        </a:xfrm>
        <a:prstGeom prst="straightConnector1">
          <a:avLst/>
        </a:prstGeom>
        <a:ln w="952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371475</xdr:colOff>
      <xdr:row>33</xdr:row>
      <xdr:rowOff>142875</xdr:rowOff>
    </xdr:from>
    <xdr:to>
      <xdr:col>4</xdr:col>
      <xdr:colOff>323850</xdr:colOff>
      <xdr:row>42</xdr:row>
      <xdr:rowOff>19050</xdr:rowOff>
    </xdr:to>
    <xdr:cxnSp macro="">
      <xdr:nvCxnSpPr>
        <xdr:cNvPr id="18" name="Rechte verbindingslijn met pijl 17">
          <a:extLst>
            <a:ext uri="{FF2B5EF4-FFF2-40B4-BE49-F238E27FC236}">
              <a16:creationId xmlns:a16="http://schemas.microsoft.com/office/drawing/2014/main" id="{28CD1731-2A8D-4A64-A3D1-A826F4239D0D}"/>
            </a:ext>
          </a:extLst>
        </xdr:cNvPr>
        <xdr:cNvCxnSpPr/>
      </xdr:nvCxnSpPr>
      <xdr:spPr>
        <a:xfrm>
          <a:off x="1590675" y="6810375"/>
          <a:ext cx="1781175" cy="1590675"/>
        </a:xfrm>
        <a:prstGeom prst="straightConnector1">
          <a:avLst/>
        </a:prstGeom>
        <a:ln w="9525">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342900</xdr:colOff>
      <xdr:row>21</xdr:row>
      <xdr:rowOff>95251</xdr:rowOff>
    </xdr:from>
    <xdr:to>
      <xdr:col>6</xdr:col>
      <xdr:colOff>123084</xdr:colOff>
      <xdr:row>23</xdr:row>
      <xdr:rowOff>72825</xdr:rowOff>
    </xdr:to>
    <xdr:pic>
      <xdr:nvPicPr>
        <xdr:cNvPr id="6" name="Afbeelding 5">
          <a:extLst>
            <a:ext uri="{FF2B5EF4-FFF2-40B4-BE49-F238E27FC236}">
              <a16:creationId xmlns:a16="http://schemas.microsoft.com/office/drawing/2014/main" id="{69E2B409-741D-7560-D4C5-00C67672ED24}"/>
            </a:ext>
          </a:extLst>
        </xdr:cNvPr>
        <xdr:cNvPicPr>
          <a:picLocks noChangeAspect="1"/>
        </xdr:cNvPicPr>
      </xdr:nvPicPr>
      <xdr:blipFill>
        <a:blip xmlns:r="http://schemas.openxmlformats.org/officeDocument/2006/relationships" r:embed="rId3"/>
        <a:stretch>
          <a:fillRect/>
        </a:stretch>
      </xdr:blipFill>
      <xdr:spPr>
        <a:xfrm>
          <a:off x="2781300" y="2952751"/>
          <a:ext cx="1608984" cy="358574"/>
        </a:xfrm>
        <a:prstGeom prst="rect">
          <a:avLst/>
        </a:prstGeom>
      </xdr:spPr>
    </xdr:pic>
    <xdr:clientData/>
  </xdr:twoCellAnchor>
  <xdr:twoCellAnchor editAs="oneCell">
    <xdr:from>
      <xdr:col>1</xdr:col>
      <xdr:colOff>238125</xdr:colOff>
      <xdr:row>42</xdr:row>
      <xdr:rowOff>104775</xdr:rowOff>
    </xdr:from>
    <xdr:to>
      <xdr:col>13</xdr:col>
      <xdr:colOff>505883</xdr:colOff>
      <xdr:row>44</xdr:row>
      <xdr:rowOff>171512</xdr:rowOff>
    </xdr:to>
    <xdr:pic>
      <xdr:nvPicPr>
        <xdr:cNvPr id="20" name="Afbeelding 19">
          <a:extLst>
            <a:ext uri="{FF2B5EF4-FFF2-40B4-BE49-F238E27FC236}">
              <a16:creationId xmlns:a16="http://schemas.microsoft.com/office/drawing/2014/main" id="{43F9119A-E7C4-2629-354B-FB104C3B3567}"/>
            </a:ext>
          </a:extLst>
        </xdr:cNvPr>
        <xdr:cNvPicPr>
          <a:picLocks noChangeAspect="1"/>
        </xdr:cNvPicPr>
      </xdr:nvPicPr>
      <xdr:blipFill>
        <a:blip xmlns:r="http://schemas.openxmlformats.org/officeDocument/2006/relationships" r:embed="rId4"/>
        <a:stretch>
          <a:fillRect/>
        </a:stretch>
      </xdr:blipFill>
      <xdr:spPr>
        <a:xfrm>
          <a:off x="847725" y="8467725"/>
          <a:ext cx="7582958" cy="447737"/>
        </a:xfrm>
        <a:prstGeom prst="rect">
          <a:avLst/>
        </a:prstGeom>
      </xdr:spPr>
    </xdr:pic>
    <xdr:clientData/>
  </xdr:twoCellAnchor>
  <xdr:twoCellAnchor editAs="oneCell">
    <xdr:from>
      <xdr:col>14</xdr:col>
      <xdr:colOff>96932</xdr:colOff>
      <xdr:row>1</xdr:row>
      <xdr:rowOff>114299</xdr:rowOff>
    </xdr:from>
    <xdr:to>
      <xdr:col>15</xdr:col>
      <xdr:colOff>408824</xdr:colOff>
      <xdr:row>4</xdr:row>
      <xdr:rowOff>204878</xdr:rowOff>
    </xdr:to>
    <xdr:pic>
      <xdr:nvPicPr>
        <xdr:cNvPr id="22" name="Afbeelding 21">
          <a:extLst>
            <a:ext uri="{FF2B5EF4-FFF2-40B4-BE49-F238E27FC236}">
              <a16:creationId xmlns:a16="http://schemas.microsoft.com/office/drawing/2014/main" id="{7FE99472-3D75-4AEE-A34D-16CB0DB8ACB0}"/>
            </a:ext>
          </a:extLst>
        </xdr:cNvPr>
        <xdr:cNvPicPr>
          <a:picLocks noChangeAspect="1"/>
        </xdr:cNvPicPr>
      </xdr:nvPicPr>
      <xdr:blipFill>
        <a:blip xmlns:r="http://schemas.openxmlformats.org/officeDocument/2006/relationships" r:embed="rId5"/>
        <a:stretch>
          <a:fillRect/>
        </a:stretch>
      </xdr:blipFill>
      <xdr:spPr>
        <a:xfrm>
          <a:off x="8631332" y="304799"/>
          <a:ext cx="921492" cy="947829"/>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87406</xdr:colOff>
      <xdr:row>1</xdr:row>
      <xdr:rowOff>215153</xdr:rowOff>
    </xdr:from>
    <xdr:to>
      <xdr:col>9</xdr:col>
      <xdr:colOff>511324</xdr:colOff>
      <xdr:row>4</xdr:row>
      <xdr:rowOff>202974</xdr:rowOff>
    </xdr:to>
    <xdr:pic>
      <xdr:nvPicPr>
        <xdr:cNvPr id="2" name="Afbeelding 1">
          <a:extLst>
            <a:ext uri="{FF2B5EF4-FFF2-40B4-BE49-F238E27FC236}">
              <a16:creationId xmlns:a16="http://schemas.microsoft.com/office/drawing/2014/main" id="{FC1B9252-1DA8-4F95-AE3D-61E9C2E7E7E7}"/>
            </a:ext>
          </a:extLst>
        </xdr:cNvPr>
        <xdr:cNvPicPr>
          <a:picLocks noChangeAspect="1"/>
        </xdr:cNvPicPr>
      </xdr:nvPicPr>
      <xdr:blipFill>
        <a:blip xmlns:r="http://schemas.openxmlformats.org/officeDocument/2006/relationships" r:embed="rId1"/>
        <a:stretch>
          <a:fillRect/>
        </a:stretch>
      </xdr:blipFill>
      <xdr:spPr>
        <a:xfrm>
          <a:off x="10520082" y="316006"/>
          <a:ext cx="1141094" cy="83184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220980</xdr:colOff>
      <xdr:row>7</xdr:row>
      <xdr:rowOff>22860</xdr:rowOff>
    </xdr:from>
    <xdr:to>
      <xdr:col>9</xdr:col>
      <xdr:colOff>986117</xdr:colOff>
      <xdr:row>12</xdr:row>
      <xdr:rowOff>56030</xdr:rowOff>
    </xdr:to>
    <xdr:sp macro="" textlink="">
      <xdr:nvSpPr>
        <xdr:cNvPr id="4" name="Tekstvak 2">
          <a:extLst>
            <a:ext uri="{FF2B5EF4-FFF2-40B4-BE49-F238E27FC236}">
              <a16:creationId xmlns:a16="http://schemas.microsoft.com/office/drawing/2014/main" id="{DCB59E75-FF3E-4295-B58A-32582248A4FC}"/>
            </a:ext>
          </a:extLst>
        </xdr:cNvPr>
        <xdr:cNvSpPr txBox="1"/>
      </xdr:nvSpPr>
      <xdr:spPr>
        <a:xfrm>
          <a:off x="220980" y="1625301"/>
          <a:ext cx="11735696" cy="9856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FF0000"/>
              </a:solidFill>
              <a:latin typeface="+mn-lt"/>
            </a:rPr>
            <a:t>Toelichting invulling gele</a:t>
          </a:r>
          <a:r>
            <a:rPr lang="nl-NL" sz="1100" b="1" baseline="0">
              <a:solidFill>
                <a:srgbClr val="FF0000"/>
              </a:solidFill>
              <a:latin typeface="+mn-lt"/>
            </a:rPr>
            <a:t> </a:t>
          </a:r>
          <a:r>
            <a:rPr lang="nl-NL" sz="1100" b="1">
              <a:solidFill>
                <a:srgbClr val="FF0000"/>
              </a:solidFill>
              <a:latin typeface="+mn-lt"/>
            </a:rPr>
            <a:t>velden</a:t>
          </a:r>
        </a:p>
        <a:p>
          <a:endParaRPr lang="nl-NL" sz="1100" baseline="0">
            <a:latin typeface="+mn-lt"/>
          </a:endParaRPr>
        </a:p>
        <a:p>
          <a:pPr marL="0" marR="0" lvl="0" indent="0" defTabSz="914400" rtl="0" eaLnBrk="1" fontAlgn="base" latinLnBrk="0" hangingPunct="1">
            <a:lnSpc>
              <a:spcPct val="100000"/>
            </a:lnSpc>
            <a:spcBef>
              <a:spcPts val="0"/>
            </a:spcBef>
            <a:spcAft>
              <a:spcPts val="0"/>
            </a:spcAft>
            <a:buClrTx/>
            <a:buSzTx/>
            <a:buFontTx/>
            <a:buNone/>
            <a:tabLst/>
            <a:defRPr/>
          </a:pPr>
          <a:r>
            <a:rPr lang="nl-NL" sz="1100" b="0" i="0" u="none" strike="noStrike">
              <a:solidFill>
                <a:schemeClr val="dk1"/>
              </a:solidFill>
              <a:effectLst/>
              <a:latin typeface="+mn-lt"/>
              <a:ea typeface="+mn-ea"/>
              <a:cs typeface="+mn-cs"/>
            </a:rPr>
            <a:t>Opmerking: </a:t>
          </a:r>
          <a:r>
            <a:rPr lang="nl-NL">
              <a:effectLst/>
            </a:rPr>
            <a:t>Toner en drum vervangen doet Local Support van de leverancier. Papier vervangen doet Kadaster.</a:t>
          </a:r>
          <a:br>
            <a:rPr lang="nl-NL" sz="1100" b="0" i="0" u="none">
              <a:solidFill>
                <a:schemeClr val="dk1"/>
              </a:solidFill>
              <a:effectLst/>
              <a:latin typeface="+mn-lt"/>
              <a:ea typeface="+mn-ea"/>
              <a:cs typeface="+mn-cs"/>
            </a:rPr>
          </a:br>
          <a:r>
            <a:rPr lang="nl-NL" sz="1100" b="0" i="0">
              <a:solidFill>
                <a:schemeClr val="dk1"/>
              </a:solidFill>
              <a:effectLst/>
              <a:latin typeface="+mn-lt"/>
              <a:ea typeface="+mn-ea"/>
              <a:cs typeface="+mn-cs"/>
            </a:rPr>
            <a:t>Bij de prijs van laptops is de bijbehorende oplader inbegrepen.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653415</xdr:colOff>
      <xdr:row>1</xdr:row>
      <xdr:rowOff>215265</xdr:rowOff>
    </xdr:from>
    <xdr:to>
      <xdr:col>9</xdr:col>
      <xdr:colOff>669924</xdr:colOff>
      <xdr:row>4</xdr:row>
      <xdr:rowOff>212611</xdr:rowOff>
    </xdr:to>
    <xdr:pic>
      <xdr:nvPicPr>
        <xdr:cNvPr id="2" name="Afbeelding 1">
          <a:extLst>
            <a:ext uri="{FF2B5EF4-FFF2-40B4-BE49-F238E27FC236}">
              <a16:creationId xmlns:a16="http://schemas.microsoft.com/office/drawing/2014/main" id="{E85C6AD0-F221-4545-8968-E6D6540ECF1F}"/>
            </a:ext>
          </a:extLst>
        </xdr:cNvPr>
        <xdr:cNvPicPr>
          <a:picLocks noChangeAspect="1"/>
        </xdr:cNvPicPr>
      </xdr:nvPicPr>
      <xdr:blipFill>
        <a:blip xmlns:r="http://schemas.openxmlformats.org/officeDocument/2006/relationships" r:embed="rId1"/>
        <a:stretch>
          <a:fillRect/>
        </a:stretch>
      </xdr:blipFill>
      <xdr:spPr>
        <a:xfrm>
          <a:off x="11588115" y="405765"/>
          <a:ext cx="1115694" cy="862216"/>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0</xdr:colOff>
      <xdr:row>6</xdr:row>
      <xdr:rowOff>121920</xdr:rowOff>
    </xdr:from>
    <xdr:to>
      <xdr:col>7</xdr:col>
      <xdr:colOff>1609725</xdr:colOff>
      <xdr:row>10</xdr:row>
      <xdr:rowOff>152400</xdr:rowOff>
    </xdr:to>
    <xdr:sp macro="" textlink="">
      <xdr:nvSpPr>
        <xdr:cNvPr id="3" name="Tekstvak 2">
          <a:extLst>
            <a:ext uri="{FF2B5EF4-FFF2-40B4-BE49-F238E27FC236}">
              <a16:creationId xmlns:a16="http://schemas.microsoft.com/office/drawing/2014/main" id="{7DEE160A-A3B1-4198-B2BF-34F486BE7D3C}"/>
            </a:ext>
          </a:extLst>
        </xdr:cNvPr>
        <xdr:cNvSpPr txBox="1"/>
      </xdr:nvSpPr>
      <xdr:spPr>
        <a:xfrm>
          <a:off x="266700" y="1626870"/>
          <a:ext cx="10591800" cy="792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FF0000"/>
              </a:solidFill>
              <a:latin typeface="+mn-lt"/>
            </a:rPr>
            <a:t>Toelichting invulling gele</a:t>
          </a:r>
          <a:r>
            <a:rPr lang="nl-NL" sz="1100" b="1" baseline="0">
              <a:solidFill>
                <a:srgbClr val="FF0000"/>
              </a:solidFill>
              <a:latin typeface="+mn-lt"/>
            </a:rPr>
            <a:t> </a:t>
          </a:r>
          <a:r>
            <a:rPr lang="nl-NL" sz="1100" b="1">
              <a:solidFill>
                <a:srgbClr val="FF0000"/>
              </a:solidFill>
              <a:latin typeface="+mn-lt"/>
            </a:rPr>
            <a:t>velden</a:t>
          </a:r>
        </a:p>
        <a:p>
          <a:r>
            <a:rPr lang="nl-NL" sz="1100" b="0" i="0" u="none" strike="noStrike">
              <a:solidFill>
                <a:schemeClr val="dk1"/>
              </a:solidFill>
              <a:effectLst/>
              <a:latin typeface="+mn-lt"/>
              <a:ea typeface="+mn-ea"/>
              <a:cs typeface="+mn-cs"/>
            </a:rPr>
            <a:t>Anywhere365</a:t>
          </a:r>
          <a:r>
            <a:rPr lang="nl-NL">
              <a:effectLst/>
            </a:rPr>
            <a:t>: </a:t>
          </a:r>
          <a:r>
            <a:rPr lang="nl-NL" sz="1100" b="0" i="0" u="none" strike="noStrike">
              <a:solidFill>
                <a:schemeClr val="dk1"/>
              </a:solidFill>
              <a:effectLst/>
              <a:latin typeface="+mn-lt"/>
              <a:ea typeface="+mn-ea"/>
              <a:cs typeface="+mn-cs"/>
            </a:rPr>
            <a:t>wordt uitgefaseerd, en vervangen door Teams. Beheer op korte termijn wordt hier uitgevraagd</a:t>
          </a:r>
          <a:r>
            <a:rPr lang="nl-NL">
              <a:effectLst/>
            </a:rPr>
            <a:t> </a:t>
          </a:r>
          <a:r>
            <a:rPr lang="nl-NL" sz="1100" b="0" i="0" u="none" strike="noStrike">
              <a:solidFill>
                <a:schemeClr val="dk1"/>
              </a:solidFill>
              <a:effectLst/>
              <a:latin typeface="+mn-lt"/>
              <a:ea typeface="+mn-ea"/>
              <a:cs typeface="+mn-cs"/>
            </a:rPr>
            <a:t>BHV Microsoft Teams telefoons</a:t>
          </a:r>
          <a:r>
            <a:rPr lang="nl-NL">
              <a:effectLst/>
            </a:rPr>
            <a:t> </a:t>
          </a:r>
          <a:r>
            <a:rPr lang="nl-NL" sz="1100" b="0" i="0" u="none" strike="noStrike">
              <a:solidFill>
                <a:schemeClr val="dk1"/>
              </a:solidFill>
              <a:effectLst/>
              <a:latin typeface="+mn-lt"/>
              <a:ea typeface="+mn-ea"/>
              <a:cs typeface="+mn-cs"/>
            </a:rPr>
            <a:t>Er zijn ongeveer 55 Teams (tele)phones. Per maand zijn er ongeveer 2 mutaties.</a:t>
          </a:r>
          <a:r>
            <a:rPr lang="nl-NL">
              <a:effectLst/>
            </a:rPr>
            <a:t> </a:t>
          </a:r>
          <a:endParaRPr lang="nl-NL" sz="1100" baseline="0">
            <a:latin typeface="+mn-lt"/>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304799</xdr:colOff>
      <xdr:row>1</xdr:row>
      <xdr:rowOff>228600</xdr:rowOff>
    </xdr:from>
    <xdr:to>
      <xdr:col>10</xdr:col>
      <xdr:colOff>746758</xdr:colOff>
      <xdr:row>4</xdr:row>
      <xdr:rowOff>208801</xdr:rowOff>
    </xdr:to>
    <xdr:pic>
      <xdr:nvPicPr>
        <xdr:cNvPr id="2" name="Afbeelding 1">
          <a:extLst>
            <a:ext uri="{FF2B5EF4-FFF2-40B4-BE49-F238E27FC236}">
              <a16:creationId xmlns:a16="http://schemas.microsoft.com/office/drawing/2014/main" id="{471B39D2-E4FB-4383-8FB3-ABE47E0AD87E}"/>
            </a:ext>
          </a:extLst>
        </xdr:cNvPr>
        <xdr:cNvPicPr>
          <a:picLocks noChangeAspect="1"/>
        </xdr:cNvPicPr>
      </xdr:nvPicPr>
      <xdr:blipFill>
        <a:blip xmlns:r="http://schemas.openxmlformats.org/officeDocument/2006/relationships" r:embed="rId1"/>
        <a:stretch>
          <a:fillRect/>
        </a:stretch>
      </xdr:blipFill>
      <xdr:spPr>
        <a:xfrm>
          <a:off x="13115924" y="371475"/>
          <a:ext cx="1162049" cy="84126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0</xdr:colOff>
      <xdr:row>7</xdr:row>
      <xdr:rowOff>22860</xdr:rowOff>
    </xdr:from>
    <xdr:to>
      <xdr:col>10</xdr:col>
      <xdr:colOff>838200</xdr:colOff>
      <xdr:row>10</xdr:row>
      <xdr:rowOff>47625</xdr:rowOff>
    </xdr:to>
    <xdr:sp macro="" textlink="">
      <xdr:nvSpPr>
        <xdr:cNvPr id="7" name="Tekstvak 3">
          <a:extLst>
            <a:ext uri="{FF2B5EF4-FFF2-40B4-BE49-F238E27FC236}">
              <a16:creationId xmlns:a16="http://schemas.microsoft.com/office/drawing/2014/main" id="{14AD77DB-8464-4BA1-B353-A3E43F66649F}"/>
            </a:ext>
          </a:extLst>
        </xdr:cNvPr>
        <xdr:cNvSpPr txBox="1"/>
      </xdr:nvSpPr>
      <xdr:spPr>
        <a:xfrm>
          <a:off x="219075" y="1670685"/>
          <a:ext cx="14154150" cy="5962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FF0000"/>
              </a:solidFill>
              <a:latin typeface="+mn-lt"/>
            </a:rPr>
            <a:t>Toelichting invulling gele</a:t>
          </a:r>
          <a:r>
            <a:rPr lang="nl-NL" sz="1100" b="1" baseline="0">
              <a:solidFill>
                <a:srgbClr val="FF0000"/>
              </a:solidFill>
              <a:latin typeface="+mn-lt"/>
            </a:rPr>
            <a:t> </a:t>
          </a:r>
          <a:r>
            <a:rPr lang="nl-NL" sz="1100" b="1">
              <a:solidFill>
                <a:srgbClr val="FF0000"/>
              </a:solidFill>
              <a:latin typeface="+mn-lt"/>
            </a:rPr>
            <a:t>velden</a:t>
          </a:r>
        </a:p>
        <a:p>
          <a:r>
            <a:rPr lang="nl-NL" sz="1100" b="0" i="0" u="none" strike="noStrike">
              <a:solidFill>
                <a:schemeClr val="dk1"/>
              </a:solidFill>
              <a:effectLst/>
              <a:latin typeface="+mn-lt"/>
              <a:ea typeface="+mn-ea"/>
              <a:cs typeface="+mn-cs"/>
            </a:rPr>
            <a:t>Aanschaf print hardware in overleg, en niet altijd bij de start van het contract omdat veel hardware nog niet EOL is, zie kolom 'Vervanging per'. </a:t>
          </a:r>
          <a:r>
            <a:rPr lang="nl-NL">
              <a:effectLst/>
            </a:rPr>
            <a:t> </a:t>
          </a:r>
          <a:endParaRPr lang="nl-NL" sz="1100" baseline="0">
            <a:latin typeface="+mn-lt"/>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571500</xdr:colOff>
      <xdr:row>1</xdr:row>
      <xdr:rowOff>224790</xdr:rowOff>
    </xdr:from>
    <xdr:to>
      <xdr:col>8</xdr:col>
      <xdr:colOff>847089</xdr:colOff>
      <xdr:row>4</xdr:row>
      <xdr:rowOff>229756</xdr:rowOff>
    </xdr:to>
    <xdr:pic>
      <xdr:nvPicPr>
        <xdr:cNvPr id="2" name="Afbeelding 1">
          <a:extLst>
            <a:ext uri="{FF2B5EF4-FFF2-40B4-BE49-F238E27FC236}">
              <a16:creationId xmlns:a16="http://schemas.microsoft.com/office/drawing/2014/main" id="{51B27517-91F5-48A7-A345-5B122A42B315}"/>
            </a:ext>
          </a:extLst>
        </xdr:cNvPr>
        <xdr:cNvPicPr>
          <a:picLocks noChangeAspect="1"/>
        </xdr:cNvPicPr>
      </xdr:nvPicPr>
      <xdr:blipFill>
        <a:blip xmlns:r="http://schemas.openxmlformats.org/officeDocument/2006/relationships" r:embed="rId1"/>
        <a:stretch>
          <a:fillRect/>
        </a:stretch>
      </xdr:blipFill>
      <xdr:spPr>
        <a:xfrm>
          <a:off x="9686925" y="415290"/>
          <a:ext cx="1180464" cy="862216"/>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0</xdr:colOff>
      <xdr:row>7</xdr:row>
      <xdr:rowOff>7620</xdr:rowOff>
    </xdr:from>
    <xdr:to>
      <xdr:col>8</xdr:col>
      <xdr:colOff>1000124</xdr:colOff>
      <xdr:row>10</xdr:row>
      <xdr:rowOff>47625</xdr:rowOff>
    </xdr:to>
    <xdr:sp macro="" textlink="">
      <xdr:nvSpPr>
        <xdr:cNvPr id="17" name="Tekstvak 2">
          <a:extLst>
            <a:ext uri="{FF2B5EF4-FFF2-40B4-BE49-F238E27FC236}">
              <a16:creationId xmlns:a16="http://schemas.microsoft.com/office/drawing/2014/main" id="{1A68F865-0A83-4803-868A-8508BBA1BC7C}"/>
            </a:ext>
          </a:extLst>
        </xdr:cNvPr>
        <xdr:cNvSpPr txBox="1"/>
      </xdr:nvSpPr>
      <xdr:spPr>
        <a:xfrm>
          <a:off x="371475" y="1703070"/>
          <a:ext cx="10648949" cy="6115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FF0000"/>
              </a:solidFill>
              <a:latin typeface="+mn-lt"/>
            </a:rPr>
            <a:t>Toelichting invulling gele</a:t>
          </a:r>
          <a:r>
            <a:rPr lang="nl-NL" sz="1100" b="1" baseline="0">
              <a:solidFill>
                <a:srgbClr val="FF0000"/>
              </a:solidFill>
              <a:latin typeface="+mn-lt"/>
            </a:rPr>
            <a:t> </a:t>
          </a:r>
          <a:r>
            <a:rPr lang="nl-NL" sz="1100" b="1">
              <a:solidFill>
                <a:srgbClr val="FF0000"/>
              </a:solidFill>
              <a:latin typeface="+mn-lt"/>
            </a:rPr>
            <a:t>velden</a:t>
          </a:r>
        </a:p>
        <a:p>
          <a:r>
            <a:rPr lang="nl-NL" sz="1100" b="0" i="0" u="none" strike="noStrike">
              <a:solidFill>
                <a:schemeClr val="dk1"/>
              </a:solidFill>
              <a:effectLst/>
              <a:latin typeface="+mn-lt"/>
              <a:ea typeface="+mn-ea"/>
              <a:cs typeface="+mn-cs"/>
            </a:rPr>
            <a:t>Opmerking: Verwijzen naar lijst met applicaties die het betreft. </a:t>
          </a:r>
          <a:r>
            <a:rPr lang="nl-NL">
              <a:effectLst/>
            </a:rPr>
            <a:t> </a:t>
          </a:r>
        </a:p>
        <a:p>
          <a:endParaRPr lang="nl-NL" sz="1100" baseline="0">
            <a:effectLst/>
            <a:latin typeface="+mn-lt"/>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542925</xdr:colOff>
      <xdr:row>1</xdr:row>
      <xdr:rowOff>238125</xdr:rowOff>
    </xdr:from>
    <xdr:to>
      <xdr:col>12</xdr:col>
      <xdr:colOff>970279</xdr:colOff>
      <xdr:row>4</xdr:row>
      <xdr:rowOff>244996</xdr:rowOff>
    </xdr:to>
    <xdr:pic>
      <xdr:nvPicPr>
        <xdr:cNvPr id="2" name="Afbeelding 1">
          <a:extLst>
            <a:ext uri="{FF2B5EF4-FFF2-40B4-BE49-F238E27FC236}">
              <a16:creationId xmlns:a16="http://schemas.microsoft.com/office/drawing/2014/main" id="{C78B4A17-CA74-4B41-9719-C1A2677DE2AE}"/>
            </a:ext>
          </a:extLst>
        </xdr:cNvPr>
        <xdr:cNvPicPr>
          <a:picLocks noChangeAspect="1"/>
        </xdr:cNvPicPr>
      </xdr:nvPicPr>
      <xdr:blipFill>
        <a:blip xmlns:r="http://schemas.openxmlformats.org/officeDocument/2006/relationships" r:embed="rId1"/>
        <a:stretch>
          <a:fillRect/>
        </a:stretch>
      </xdr:blipFill>
      <xdr:spPr>
        <a:xfrm>
          <a:off x="13592175" y="428625"/>
          <a:ext cx="1143634" cy="858406"/>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1904</xdr:colOff>
      <xdr:row>6</xdr:row>
      <xdr:rowOff>175260</xdr:rowOff>
    </xdr:from>
    <xdr:to>
      <xdr:col>12</xdr:col>
      <xdr:colOff>1143000</xdr:colOff>
      <xdr:row>9</xdr:row>
      <xdr:rowOff>95250</xdr:rowOff>
    </xdr:to>
    <xdr:sp macro="" textlink="">
      <xdr:nvSpPr>
        <xdr:cNvPr id="6" name="Tekstvak 2">
          <a:extLst>
            <a:ext uri="{FF2B5EF4-FFF2-40B4-BE49-F238E27FC236}">
              <a16:creationId xmlns:a16="http://schemas.microsoft.com/office/drawing/2014/main" id="{7FD96A22-B19C-493A-9D5D-78DF618A4272}"/>
            </a:ext>
          </a:extLst>
        </xdr:cNvPr>
        <xdr:cNvSpPr txBox="1"/>
      </xdr:nvSpPr>
      <xdr:spPr>
        <a:xfrm>
          <a:off x="373379" y="1680210"/>
          <a:ext cx="14523721" cy="4914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FF0000"/>
              </a:solidFill>
              <a:latin typeface="+mn-lt"/>
            </a:rPr>
            <a:t>Toelichting invulling gele</a:t>
          </a:r>
          <a:r>
            <a:rPr lang="nl-NL" sz="1100" b="1" baseline="0">
              <a:solidFill>
                <a:srgbClr val="FF0000"/>
              </a:solidFill>
              <a:latin typeface="+mn-lt"/>
            </a:rPr>
            <a:t> </a:t>
          </a:r>
          <a:r>
            <a:rPr lang="nl-NL" sz="1100" b="1">
              <a:solidFill>
                <a:srgbClr val="FF0000"/>
              </a:solidFill>
              <a:latin typeface="+mn-lt"/>
            </a:rPr>
            <a:t>velden</a:t>
          </a:r>
        </a:p>
        <a:p>
          <a:r>
            <a:rPr lang="nl-NL" sz="1100" b="0" i="0" u="none" strike="noStrike">
              <a:solidFill>
                <a:schemeClr val="dk1"/>
              </a:solidFill>
              <a:effectLst/>
              <a:latin typeface="+mn-lt"/>
              <a:ea typeface="+mn-ea"/>
              <a:cs typeface="+mn-cs"/>
            </a:rPr>
            <a:t>Opmerking: Prijs is per event, niet per maand. </a:t>
          </a:r>
          <a:r>
            <a:rPr lang="nl-NL">
              <a:effectLst/>
            </a:rPr>
            <a:t> </a:t>
          </a:r>
          <a:endParaRPr lang="nl-NL" sz="1100" baseline="0">
            <a:latin typeface="+mn-lt"/>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744682</xdr:colOff>
      <xdr:row>1</xdr:row>
      <xdr:rowOff>188594</xdr:rowOff>
    </xdr:from>
    <xdr:to>
      <xdr:col>8</xdr:col>
      <xdr:colOff>921844</xdr:colOff>
      <xdr:row>4</xdr:row>
      <xdr:rowOff>180225</xdr:rowOff>
    </xdr:to>
    <xdr:pic>
      <xdr:nvPicPr>
        <xdr:cNvPr id="2" name="Afbeelding 1">
          <a:extLst>
            <a:ext uri="{FF2B5EF4-FFF2-40B4-BE49-F238E27FC236}">
              <a16:creationId xmlns:a16="http://schemas.microsoft.com/office/drawing/2014/main" id="{54D59CDD-82FD-4F58-A844-AAF8BC3F1A56}"/>
            </a:ext>
          </a:extLst>
        </xdr:cNvPr>
        <xdr:cNvPicPr>
          <a:picLocks noChangeAspect="1"/>
        </xdr:cNvPicPr>
      </xdr:nvPicPr>
      <xdr:blipFill>
        <a:blip xmlns:r="http://schemas.openxmlformats.org/officeDocument/2006/relationships" r:embed="rId1"/>
        <a:stretch>
          <a:fillRect/>
        </a:stretch>
      </xdr:blipFill>
      <xdr:spPr>
        <a:xfrm>
          <a:off x="9193357" y="379094"/>
          <a:ext cx="986787" cy="84888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1</xdr:col>
      <xdr:colOff>0</xdr:colOff>
      <xdr:row>7</xdr:row>
      <xdr:rowOff>0</xdr:rowOff>
    </xdr:from>
    <xdr:to>
      <xdr:col>9</xdr:col>
      <xdr:colOff>15240</xdr:colOff>
      <xdr:row>10</xdr:row>
      <xdr:rowOff>0</xdr:rowOff>
    </xdr:to>
    <xdr:sp macro="" textlink="">
      <xdr:nvSpPr>
        <xdr:cNvPr id="6" name="Tekstvak 2">
          <a:extLst>
            <a:ext uri="{FF2B5EF4-FFF2-40B4-BE49-F238E27FC236}">
              <a16:creationId xmlns:a16="http://schemas.microsoft.com/office/drawing/2014/main" id="{75EA0DFF-2D5E-4CF3-BB22-003E6B843A4B}"/>
            </a:ext>
          </a:extLst>
        </xdr:cNvPr>
        <xdr:cNvSpPr txBox="1"/>
      </xdr:nvSpPr>
      <xdr:spPr>
        <a:xfrm>
          <a:off x="381000" y="1676400"/>
          <a:ext cx="10378440" cy="548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FF0000"/>
              </a:solidFill>
              <a:latin typeface="+mn-lt"/>
            </a:rPr>
            <a:t>Toelichting invulling gele</a:t>
          </a:r>
          <a:r>
            <a:rPr lang="nl-NL" sz="1100" b="1" baseline="0">
              <a:solidFill>
                <a:srgbClr val="FF0000"/>
              </a:solidFill>
              <a:latin typeface="+mn-lt"/>
            </a:rPr>
            <a:t> </a:t>
          </a:r>
          <a:r>
            <a:rPr lang="nl-NL" sz="1100" b="1">
              <a:solidFill>
                <a:srgbClr val="FF0000"/>
              </a:solidFill>
              <a:latin typeface="+mn-lt"/>
            </a:rPr>
            <a:t>velden</a:t>
          </a:r>
        </a:p>
        <a:p>
          <a:r>
            <a:rPr lang="nl-NL" sz="1100" b="0">
              <a:solidFill>
                <a:sysClr val="windowText" lastClr="000000"/>
              </a:solidFill>
              <a:latin typeface="+mn-lt"/>
            </a:rPr>
            <a:t>AVD Images Linux,</a:t>
          </a:r>
          <a:r>
            <a:rPr lang="nl-NL" sz="1100" b="0" baseline="0">
              <a:solidFill>
                <a:sysClr val="windowText" lastClr="000000"/>
              </a:solidFill>
              <a:latin typeface="+mn-lt"/>
            </a:rPr>
            <a:t> Devbox en W365 zit momenteel nog niet in de dienstverlening. </a:t>
          </a:r>
          <a:endParaRPr lang="nl-NL" sz="1100" b="0">
            <a:solidFill>
              <a:sysClr val="windowText" lastClr="000000"/>
            </a:solidFill>
            <a:latin typeface="+mn-lt"/>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542925</xdr:colOff>
      <xdr:row>1</xdr:row>
      <xdr:rowOff>173355</xdr:rowOff>
    </xdr:from>
    <xdr:to>
      <xdr:col>10</xdr:col>
      <xdr:colOff>636270</xdr:colOff>
      <xdr:row>4</xdr:row>
      <xdr:rowOff>168796</xdr:rowOff>
    </xdr:to>
    <xdr:pic>
      <xdr:nvPicPr>
        <xdr:cNvPr id="7" name="Afbeelding 6">
          <a:extLst>
            <a:ext uri="{FF2B5EF4-FFF2-40B4-BE49-F238E27FC236}">
              <a16:creationId xmlns:a16="http://schemas.microsoft.com/office/drawing/2014/main" id="{CB606AC8-0CB0-48F9-91A0-7DA9A6D57642}"/>
            </a:ext>
          </a:extLst>
        </xdr:cNvPr>
        <xdr:cNvPicPr>
          <a:picLocks noChangeAspect="1"/>
        </xdr:cNvPicPr>
      </xdr:nvPicPr>
      <xdr:blipFill>
        <a:blip xmlns:r="http://schemas.openxmlformats.org/officeDocument/2006/relationships" r:embed="rId1"/>
        <a:stretch>
          <a:fillRect/>
        </a:stretch>
      </xdr:blipFill>
      <xdr:spPr>
        <a:xfrm>
          <a:off x="11953875" y="363855"/>
          <a:ext cx="1066800" cy="85650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-28575</xdr:colOff>
      <xdr:row>0</xdr:row>
      <xdr:rowOff>-9525</xdr:rowOff>
    </xdr:from>
    <xdr:to>
      <xdr:col>0</xdr:col>
      <xdr:colOff>142875</xdr:colOff>
      <xdr:row>0</xdr:row>
      <xdr:rowOff>-9525</xdr:rowOff>
    </xdr:to>
    <xdr:sp macro="" textlink="">
      <xdr:nvSpPr>
        <xdr:cNvPr id="321" name="Tekstvak 1">
          <a:extLst>
            <a:ext uri="{FF2B5EF4-FFF2-40B4-BE49-F238E27FC236}">
              <a16:creationId xmlns:a16="http://schemas.microsoft.com/office/drawing/2014/main" id="{C16E4ECC-02B6-433B-AF47-D28B53AB3949}"/>
            </a:ext>
            <a:ext uri="{147F2762-F138-4A5C-976F-8EAC2B608ADB}">
              <a16:predDERef xmlns:a16="http://schemas.microsoft.com/office/drawing/2014/main" pred="{CB606AC8-0CB0-48F9-91A0-7DA9A6D57642}"/>
            </a:ext>
          </a:extLst>
        </xdr:cNvPr>
        <xdr:cNvSpPr txBox="1"/>
      </xdr:nvSpPr>
      <xdr:spPr>
        <a:xfrm>
          <a:off x="-28575" y="-9525"/>
          <a:ext cx="171450"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FF0000"/>
              </a:solidFill>
              <a:latin typeface="+mn-lt"/>
            </a:rPr>
            <a:t>Toelichting invulling gele</a:t>
          </a:r>
          <a:r>
            <a:rPr lang="nl-NL" sz="1100" b="1" baseline="0">
              <a:solidFill>
                <a:srgbClr val="FF0000"/>
              </a:solidFill>
              <a:latin typeface="+mn-lt"/>
            </a:rPr>
            <a:t> </a:t>
          </a:r>
          <a:r>
            <a:rPr lang="nl-NL" sz="1100" b="1">
              <a:solidFill>
                <a:srgbClr val="FF0000"/>
              </a:solidFill>
              <a:latin typeface="+mn-lt"/>
            </a:rPr>
            <a:t>velden</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Opmerking: 	Specificicatie</a:t>
          </a:r>
          <a:r>
            <a:rPr lang="nl-NL" sz="1100" b="0" i="0" u="none" strike="noStrike" baseline="0">
              <a:solidFill>
                <a:schemeClr val="dk1"/>
              </a:solidFill>
              <a:effectLst/>
              <a:latin typeface="+mn-lt"/>
              <a:ea typeface="+mn-ea"/>
              <a:cs typeface="+mn-cs"/>
            </a:rPr>
            <a:t> c</a:t>
          </a:r>
          <a:r>
            <a:rPr lang="nl-NL" sz="1100" b="0" i="0" u="none" strike="noStrike">
              <a:solidFill>
                <a:schemeClr val="dk1"/>
              </a:solidFill>
              <a:effectLst/>
              <a:latin typeface="+mn-lt"/>
              <a:ea typeface="+mn-ea"/>
              <a:cs typeface="+mn-cs"/>
            </a:rPr>
            <a:t>omplexiteit low/medium/high</a:t>
          </a:r>
          <a:r>
            <a:rPr lang="nl-NL" sz="1100" b="0" i="0" u="none" strike="noStrike" baseline="0">
              <a:solidFill>
                <a:schemeClr val="dk1"/>
              </a:solidFill>
              <a:effectLst/>
              <a:latin typeface="+mn-lt"/>
              <a:ea typeface="+mn-ea"/>
              <a:cs typeface="+mn-cs"/>
            </a:rPr>
            <a:t> te vinden in bijlage A1 PVEW perceel 1 Werkplekservices, H3.10 Kadaster M365 </a:t>
          </a:r>
          <a:br>
            <a:rPr lang="nl-NL" sz="1100" b="0" i="0" u="none" strike="noStrike" baseline="0">
              <a:solidFill>
                <a:schemeClr val="dk1"/>
              </a:solidFill>
              <a:effectLst/>
              <a:latin typeface="+mn-lt"/>
              <a:ea typeface="+mn-ea"/>
              <a:cs typeface="+mn-cs"/>
            </a:rPr>
          </a:br>
          <a:r>
            <a:rPr lang="nl-NL" sz="1100" b="0" i="0" u="none" strike="noStrike" baseline="0">
              <a:solidFill>
                <a:schemeClr val="dk1"/>
              </a:solidFill>
              <a:effectLst/>
              <a:latin typeface="+mn-lt"/>
              <a:ea typeface="+mn-ea"/>
              <a:cs typeface="+mn-cs"/>
            </a:rPr>
            <a:t>	Specificatie p</a:t>
          </a:r>
          <a:r>
            <a:rPr lang="nl-NL" sz="1100" b="0" i="0" u="none" strike="noStrike">
              <a:solidFill>
                <a:schemeClr val="dk1"/>
              </a:solidFill>
              <a:effectLst/>
              <a:latin typeface="+mn-lt"/>
              <a:ea typeface="+mn-ea"/>
              <a:cs typeface="+mn-cs"/>
            </a:rPr>
            <a:t>restatie categorie 2,</a:t>
          </a:r>
          <a:r>
            <a:rPr lang="nl-NL" sz="1100" b="0" i="0" u="none" strike="noStrike" baseline="0">
              <a:solidFill>
                <a:schemeClr val="dk1"/>
              </a:solidFill>
              <a:effectLst/>
              <a:latin typeface="+mn-lt"/>
              <a:ea typeface="+mn-ea"/>
              <a:cs typeface="+mn-cs"/>
            </a:rPr>
            <a:t> 3 &amp; 4 te vinden in bijlage 3 Kadaster DWP SLA, H3.2.4 Prestatie</a:t>
          </a:r>
          <a:endParaRPr lang="nl-NL" sz="1100" baseline="0">
            <a:latin typeface="+mn-lt"/>
          </a:endParaRPr>
        </a:p>
      </xdr:txBody>
    </xdr:sp>
    <xdr:clientData/>
  </xdr:twoCellAnchor>
  <xdr:twoCellAnchor>
    <xdr:from>
      <xdr:col>1</xdr:col>
      <xdr:colOff>0</xdr:colOff>
      <xdr:row>7</xdr:row>
      <xdr:rowOff>0</xdr:rowOff>
    </xdr:from>
    <xdr:to>
      <xdr:col>11</xdr:col>
      <xdr:colOff>19050</xdr:colOff>
      <xdr:row>11</xdr:row>
      <xdr:rowOff>76200</xdr:rowOff>
    </xdr:to>
    <xdr:sp macro="" textlink="">
      <xdr:nvSpPr>
        <xdr:cNvPr id="4" name="Tekstvak 1">
          <a:extLst>
            <a:ext uri="{FF2B5EF4-FFF2-40B4-BE49-F238E27FC236}">
              <a16:creationId xmlns:a16="http://schemas.microsoft.com/office/drawing/2014/main" id="{E10D8AB5-ADE1-4063-B2F5-31C587BA7250}"/>
            </a:ext>
            <a:ext uri="{147F2762-F138-4A5C-976F-8EAC2B608ADB}">
              <a16:predDERef xmlns:a16="http://schemas.microsoft.com/office/drawing/2014/main" pred="{C16E4ECC-02B6-433B-AF47-D28B53AB3949}"/>
            </a:ext>
          </a:extLst>
        </xdr:cNvPr>
        <xdr:cNvSpPr txBox="1"/>
      </xdr:nvSpPr>
      <xdr:spPr>
        <a:xfrm>
          <a:off x="247650" y="1666875"/>
          <a:ext cx="13068300" cy="80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nl-NL" sz="1100" b="1">
              <a:solidFill>
                <a:srgbClr val="FF0000"/>
              </a:solidFill>
              <a:latin typeface="+mn-lt"/>
            </a:rPr>
            <a:t>Toelichting invulling gele</a:t>
          </a:r>
          <a:r>
            <a:rPr lang="nl-NL" sz="1100" b="1" baseline="0">
              <a:solidFill>
                <a:srgbClr val="FF0000"/>
              </a:solidFill>
              <a:latin typeface="+mn-lt"/>
            </a:rPr>
            <a:t> </a:t>
          </a:r>
          <a:r>
            <a:rPr lang="nl-NL" sz="1100" b="1">
              <a:solidFill>
                <a:srgbClr val="FF0000"/>
              </a:solidFill>
              <a:latin typeface="+mn-lt"/>
            </a:rPr>
            <a:t>velden</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Opmerking: 	Specificicatie</a:t>
          </a:r>
          <a:r>
            <a:rPr lang="nl-NL" sz="1100" b="0" i="0" u="none" strike="noStrike" baseline="0">
              <a:solidFill>
                <a:schemeClr val="dk1"/>
              </a:solidFill>
              <a:effectLst/>
              <a:latin typeface="+mn-lt"/>
              <a:ea typeface="+mn-ea"/>
              <a:cs typeface="+mn-cs"/>
            </a:rPr>
            <a:t> c</a:t>
          </a:r>
          <a:r>
            <a:rPr lang="nl-NL" sz="1100" b="0" i="0" u="none" strike="noStrike">
              <a:solidFill>
                <a:schemeClr val="dk1"/>
              </a:solidFill>
              <a:effectLst/>
              <a:latin typeface="+mn-lt"/>
              <a:ea typeface="+mn-ea"/>
              <a:cs typeface="+mn-cs"/>
            </a:rPr>
            <a:t>omplexiteit low/medium/high</a:t>
          </a:r>
          <a:r>
            <a:rPr lang="nl-NL" sz="1100" b="0" i="0" u="none" strike="noStrike" baseline="0">
              <a:solidFill>
                <a:schemeClr val="dk1"/>
              </a:solidFill>
              <a:effectLst/>
              <a:latin typeface="+mn-lt"/>
              <a:ea typeface="+mn-ea"/>
              <a:cs typeface="+mn-cs"/>
            </a:rPr>
            <a:t> te vinden in bijlage A1 PVEW perceel 1 Werkplekservices, H3.10 Kadaster M365 </a:t>
          </a:r>
          <a:br>
            <a:rPr lang="nl-NL" sz="1100" b="0" i="0" u="none" strike="noStrike" baseline="0">
              <a:solidFill>
                <a:schemeClr val="dk1"/>
              </a:solidFill>
              <a:effectLst/>
              <a:latin typeface="+mn-lt"/>
              <a:ea typeface="+mn-ea"/>
              <a:cs typeface="+mn-cs"/>
            </a:rPr>
          </a:br>
          <a:r>
            <a:rPr lang="nl-NL" sz="1100" b="0" i="0" u="none" strike="noStrike" baseline="0">
              <a:solidFill>
                <a:schemeClr val="dk1"/>
              </a:solidFill>
              <a:effectLst/>
              <a:latin typeface="+mn-lt"/>
              <a:ea typeface="+mn-ea"/>
              <a:cs typeface="+mn-cs"/>
            </a:rPr>
            <a:t>	Specificatie p</a:t>
          </a:r>
          <a:r>
            <a:rPr lang="nl-NL" sz="1100" b="0" i="0" u="none" strike="noStrike">
              <a:solidFill>
                <a:schemeClr val="dk1"/>
              </a:solidFill>
              <a:effectLst/>
              <a:latin typeface="+mn-lt"/>
              <a:ea typeface="+mn-ea"/>
              <a:cs typeface="+mn-cs"/>
            </a:rPr>
            <a:t>restatie categorie 2,</a:t>
          </a:r>
          <a:r>
            <a:rPr lang="nl-NL" sz="1100" b="0" i="0" u="none" strike="noStrike" baseline="0">
              <a:solidFill>
                <a:schemeClr val="dk1"/>
              </a:solidFill>
              <a:effectLst/>
              <a:latin typeface="+mn-lt"/>
              <a:ea typeface="+mn-ea"/>
              <a:cs typeface="+mn-cs"/>
            </a:rPr>
            <a:t> 3 &amp; 4 te vinden in bijlage 12 Kadaster DWP SLA, H3.2.4 Prestatie</a:t>
          </a:r>
          <a:endParaRPr lang="nl-NL" sz="1100" baseline="0">
            <a:latin typeface="+mn-lt"/>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hetkadaster-my.sharepoint.com/personal/niels_stoker_kadaster_nl/Documents/Mijn%20Documenten/UITGANGSPUNTEN%20-%20Digitale%20werkplek%20-%20Werkplekservices%20-%20Perceel%201.xlsm" TargetMode="External"/><Relationship Id="rId1" Type="http://schemas.openxmlformats.org/officeDocument/2006/relationships/externalLinkPath" Target="https://hetkadaster-my.sharepoint.com/personal/niels_stoker_kadaster_nl/Documents/Mijn%20Documenten/UITGANGSPUNTEN%20-%20Digitale%20werkplek%20-%20Werkplekservices%20-%20Perceel%201.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hetkadaster-my.sharepoint.com/personal/thomas_vansambeek_kadaster_nl/Documents/Alle%20werkfiles%20Thomas/1)%20Werkplek%20project%2025-26/Prijzenblad%20mei%202026/Mei%2026%20week%203/VDA%20azure%20aantallen%202.0.xlsx" TargetMode="External"/><Relationship Id="rId2" Type="http://schemas.microsoft.com/office/2019/04/relationships/externalLinkLongPath" Target="https://hetkadaster-my.sharepoint.com/sites/DGV-T-ProjectKITA-DWP-KadasterIntern/Shared%20Documents/Kadaster%20Intern/000%20her-aanbesteding%20DWP/04%20EA%20documenten/Bijlagen%20bij%20BD/Bijlagen%20nog%20aanpassen%20door%20projectgroep/VDA%20azure%20aantallen%202.0.xlsx?2ED8B8AB" TargetMode="External"/><Relationship Id="rId1" Type="http://schemas.openxmlformats.org/officeDocument/2006/relationships/externalLinkPath" Target="file:///\\2ED8B8AB\VDA%20azure%20aantallen%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Export"/>
      <sheetName val="Klopt dit"/>
    </sheetNames>
    <sheetDataSet>
      <sheetData sheetId="0" refreshError="1"/>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AEFD9-5C92-4899-B745-12D561BCAB91}">
  <dimension ref="A1:G63"/>
  <sheetViews>
    <sheetView showGridLines="0" zoomScale="90" zoomScaleNormal="90" workbookViewId="0">
      <selection activeCell="C9" sqref="C9"/>
    </sheetView>
  </sheetViews>
  <sheetFormatPr defaultColWidth="0" defaultRowHeight="14.4" zeroHeight="1" x14ac:dyDescent="0.3"/>
  <cols>
    <col min="1" max="1" width="3.6640625" customWidth="1"/>
    <col min="2" max="2" width="19.33203125" customWidth="1"/>
    <col min="3" max="3" width="68.6640625" customWidth="1"/>
    <col min="4" max="4" width="23.6640625" customWidth="1"/>
    <col min="5" max="5" width="9.33203125" customWidth="1"/>
    <col min="6" max="6" width="26" customWidth="1"/>
    <col min="7" max="7" width="3.6640625" customWidth="1"/>
    <col min="8" max="16384" width="9.33203125" hidden="1"/>
  </cols>
  <sheetData>
    <row r="1" spans="2:6" ht="8.6999999999999993" customHeight="1" x14ac:dyDescent="0.3"/>
    <row r="2" spans="2:6" ht="23.4" x14ac:dyDescent="0.3">
      <c r="B2" s="6" t="s">
        <v>0</v>
      </c>
      <c r="C2" s="6"/>
      <c r="D2" s="6"/>
      <c r="E2" s="6"/>
      <c r="F2" s="7"/>
    </row>
    <row r="3" spans="2:6" ht="23.4" x14ac:dyDescent="0.3">
      <c r="B3" s="8" t="s">
        <v>1</v>
      </c>
      <c r="C3" s="8"/>
      <c r="D3" s="8"/>
      <c r="E3" s="8"/>
      <c r="F3" s="7"/>
    </row>
    <row r="4" spans="2:6" ht="21" x14ac:dyDescent="0.3">
      <c r="B4" s="9" t="s">
        <v>2</v>
      </c>
      <c r="C4" s="9"/>
      <c r="D4" s="9"/>
      <c r="E4" s="9"/>
      <c r="F4" s="10"/>
    </row>
    <row r="5" spans="2:6" ht="21" x14ac:dyDescent="0.3">
      <c r="B5" s="11" t="s">
        <v>3</v>
      </c>
      <c r="C5" s="9"/>
      <c r="D5" s="9"/>
      <c r="E5" s="9"/>
      <c r="F5" s="10"/>
    </row>
    <row r="6" spans="2:6" x14ac:dyDescent="0.3">
      <c r="B6" s="12" t="s">
        <v>4</v>
      </c>
      <c r="C6" s="12"/>
      <c r="D6" s="12"/>
      <c r="E6" s="12"/>
      <c r="F6" s="10"/>
    </row>
    <row r="7" spans="2:6" x14ac:dyDescent="0.3">
      <c r="B7" s="38"/>
      <c r="C7" s="39"/>
      <c r="D7" s="39"/>
      <c r="E7" s="39"/>
      <c r="F7" s="39"/>
    </row>
    <row r="8" spans="2:6" ht="16.2" x14ac:dyDescent="0.3">
      <c r="B8" s="36"/>
      <c r="C8" s="37" t="s">
        <v>5</v>
      </c>
      <c r="D8" s="40"/>
      <c r="E8" s="40"/>
      <c r="F8" s="39"/>
    </row>
    <row r="9" spans="2:6" ht="33" customHeight="1" x14ac:dyDescent="0.3">
      <c r="B9" s="36"/>
      <c r="C9" s="34"/>
      <c r="D9" s="41"/>
      <c r="E9" s="42"/>
      <c r="F9" s="39"/>
    </row>
    <row r="10" spans="2:6" x14ac:dyDescent="0.3">
      <c r="B10" s="36"/>
      <c r="C10" s="35"/>
      <c r="D10" s="41"/>
      <c r="E10" s="41"/>
      <c r="F10" s="41"/>
    </row>
    <row r="11" spans="2:6" ht="15" thickBot="1" x14ac:dyDescent="0.35">
      <c r="B11" s="33"/>
      <c r="C11" s="18"/>
      <c r="D11" s="17"/>
      <c r="E11" s="17"/>
      <c r="F11" s="16"/>
    </row>
    <row r="12" spans="2:6" x14ac:dyDescent="0.3">
      <c r="B12" s="32"/>
      <c r="C12" s="15"/>
      <c r="D12" s="14"/>
      <c r="E12" s="14"/>
      <c r="F12" s="13"/>
    </row>
    <row r="13" spans="2:6" x14ac:dyDescent="0.3">
      <c r="B13" s="32"/>
      <c r="C13" s="15"/>
      <c r="D13" s="14"/>
      <c r="E13" s="14"/>
      <c r="F13" s="13"/>
    </row>
    <row r="14" spans="2:6" x14ac:dyDescent="0.3">
      <c r="B14" s="32"/>
      <c r="C14" s="15"/>
      <c r="D14" s="14"/>
      <c r="E14" s="14"/>
      <c r="F14" s="13"/>
    </row>
    <row r="15" spans="2:6" x14ac:dyDescent="0.3">
      <c r="B15" s="32"/>
      <c r="C15" s="15"/>
      <c r="D15" s="14"/>
      <c r="E15" s="14"/>
      <c r="F15" s="13"/>
    </row>
    <row r="16" spans="2:6" x14ac:dyDescent="0.3">
      <c r="B16" s="32"/>
      <c r="C16" s="15"/>
      <c r="D16" s="14"/>
      <c r="E16" s="14"/>
      <c r="F16" s="13"/>
    </row>
    <row r="17" spans="2:6" x14ac:dyDescent="0.3">
      <c r="B17" s="32"/>
      <c r="C17" s="15"/>
      <c r="D17" s="14"/>
      <c r="E17" s="14"/>
      <c r="F17" s="13"/>
    </row>
    <row r="18" spans="2:6" x14ac:dyDescent="0.3">
      <c r="B18" s="32"/>
      <c r="C18" s="15"/>
      <c r="D18" s="14"/>
      <c r="E18" s="14"/>
      <c r="F18" s="13"/>
    </row>
    <row r="19" spans="2:6" ht="15" thickBot="1" x14ac:dyDescent="0.35">
      <c r="B19" s="32"/>
      <c r="C19" s="15"/>
      <c r="D19" s="14"/>
      <c r="E19" s="14"/>
      <c r="F19" s="13"/>
    </row>
    <row r="20" spans="2:6" ht="18" thickBot="1" x14ac:dyDescent="0.35">
      <c r="C20" s="21" t="s">
        <v>6</v>
      </c>
      <c r="D20" s="20"/>
      <c r="E20" s="20"/>
      <c r="F20" s="19">
        <f>SUM(F23:F46)</f>
        <v>0</v>
      </c>
    </row>
    <row r="21" spans="2:6" ht="15" thickBot="1" x14ac:dyDescent="0.35">
      <c r="B21" s="33"/>
      <c r="C21" s="18"/>
      <c r="D21" s="17"/>
      <c r="E21" s="17"/>
      <c r="F21" s="16"/>
    </row>
    <row r="22" spans="2:6" x14ac:dyDescent="0.3">
      <c r="B22" s="32"/>
      <c r="C22" s="15"/>
      <c r="D22" s="14"/>
      <c r="E22" s="14"/>
      <c r="F22" s="13"/>
    </row>
    <row r="23" spans="2:6" ht="17.399999999999999" x14ac:dyDescent="0.3">
      <c r="B23" s="28" t="s">
        <v>7</v>
      </c>
      <c r="C23" s="26" t="s">
        <v>8</v>
      </c>
      <c r="D23" s="31"/>
      <c r="E23" s="14"/>
      <c r="F23" s="51">
        <f>SUM(D24:D26)</f>
        <v>0</v>
      </c>
    </row>
    <row r="24" spans="2:6" x14ac:dyDescent="0.3">
      <c r="B24" s="24" t="s">
        <v>9</v>
      </c>
      <c r="C24" s="23" t="str">
        <f>Werkplek!C15 &amp; " &amp; " &amp; Werkplek!C19</f>
        <v>Lokaal support &amp; Endpoint beheer WPL</v>
      </c>
      <c r="D24" s="22">
        <f>Werkplek!J25</f>
        <v>0</v>
      </c>
      <c r="E24" s="14"/>
      <c r="F24" s="30"/>
    </row>
    <row r="25" spans="2:6" x14ac:dyDescent="0.3">
      <c r="B25" s="24" t="s">
        <v>10</v>
      </c>
      <c r="C25" s="23" t="str">
        <f>Werkplek!B27</f>
        <v>Soort</v>
      </c>
      <c r="D25" s="22">
        <f>Werkplek!J38</f>
        <v>0</v>
      </c>
      <c r="E25" s="14"/>
      <c r="F25" s="30"/>
    </row>
    <row r="26" spans="2:6" x14ac:dyDescent="0.3">
      <c r="B26" s="24" t="s">
        <v>11</v>
      </c>
      <c r="C26" s="23" t="str">
        <f>Werkplek!B40</f>
        <v>Soort</v>
      </c>
      <c r="D26" s="22">
        <f>Werkplek!J56</f>
        <v>0</v>
      </c>
      <c r="E26" s="14"/>
      <c r="F26" s="30"/>
    </row>
    <row r="27" spans="2:6" x14ac:dyDescent="0.3">
      <c r="C27" s="15"/>
      <c r="D27" s="15"/>
      <c r="E27" s="14"/>
      <c r="F27" s="30"/>
    </row>
    <row r="28" spans="2:6" ht="17.399999999999999" x14ac:dyDescent="0.3">
      <c r="B28" s="28" t="s">
        <v>12</v>
      </c>
      <c r="C28" s="26" t="s">
        <v>13</v>
      </c>
      <c r="D28" s="31"/>
      <c r="E28" s="25"/>
      <c r="F28" s="51">
        <f>Telecom!J29</f>
        <v>0</v>
      </c>
    </row>
    <row r="29" spans="2:6" x14ac:dyDescent="0.3">
      <c r="B29" s="32"/>
      <c r="C29" s="15"/>
      <c r="D29" s="14"/>
      <c r="E29" s="14"/>
      <c r="F29" s="13"/>
    </row>
    <row r="30" spans="2:6" ht="17.399999999999999" x14ac:dyDescent="0.3">
      <c r="B30" s="28" t="s">
        <v>14</v>
      </c>
      <c r="C30" s="26" t="s">
        <v>15</v>
      </c>
      <c r="D30" s="31"/>
      <c r="E30" s="14"/>
      <c r="F30" s="51">
        <f>Printing!K33</f>
        <v>0</v>
      </c>
    </row>
    <row r="31" spans="2:6" x14ac:dyDescent="0.3">
      <c r="C31" s="15"/>
      <c r="D31" s="15"/>
      <c r="E31" s="14"/>
      <c r="F31" s="30"/>
    </row>
    <row r="32" spans="2:6" ht="17.399999999999999" x14ac:dyDescent="0.3">
      <c r="B32" s="28" t="s">
        <v>16</v>
      </c>
      <c r="C32" s="26" t="s">
        <v>17</v>
      </c>
      <c r="D32" s="29"/>
      <c r="E32" s="25"/>
      <c r="F32" s="51">
        <f>'KA Apps'!I17</f>
        <v>0</v>
      </c>
    </row>
    <row r="33" spans="2:6" x14ac:dyDescent="0.3">
      <c r="B33" s="43"/>
      <c r="C33" s="44"/>
      <c r="D33" s="27"/>
    </row>
    <row r="34" spans="2:6" ht="17.399999999999999" x14ac:dyDescent="0.3">
      <c r="B34" s="28" t="s">
        <v>18</v>
      </c>
      <c r="C34" s="26" t="s">
        <v>19</v>
      </c>
      <c r="D34" s="31"/>
      <c r="E34" s="14"/>
      <c r="F34" s="51">
        <f>'App Portaal'!M20</f>
        <v>0</v>
      </c>
    </row>
    <row r="35" spans="2:6" x14ac:dyDescent="0.3">
      <c r="C35" s="15"/>
      <c r="D35" s="15"/>
      <c r="E35" s="14"/>
      <c r="F35" s="30"/>
    </row>
    <row r="36" spans="2:6" ht="17.399999999999999" x14ac:dyDescent="0.3">
      <c r="B36" s="28" t="s">
        <v>20</v>
      </c>
      <c r="C36" s="26" t="str">
        <f>'Virtuele WPL'!B4</f>
        <v>Virtuele WPL</v>
      </c>
      <c r="D36" s="29"/>
      <c r="E36" s="25"/>
      <c r="F36" s="51">
        <f>'Virtuele WPL'!I24</f>
        <v>0</v>
      </c>
    </row>
    <row r="37" spans="2:6" x14ac:dyDescent="0.3">
      <c r="B37" s="43"/>
      <c r="C37" s="44"/>
      <c r="D37" s="27"/>
    </row>
    <row r="38" spans="2:6" ht="17.399999999999999" x14ac:dyDescent="0.3">
      <c r="B38" s="28" t="s">
        <v>21</v>
      </c>
      <c r="C38" s="26" t="str">
        <f>'M365 apps'!B4</f>
        <v>M365 apps</v>
      </c>
      <c r="D38" s="29"/>
      <c r="E38" s="25"/>
      <c r="F38" s="51">
        <f>'M365 apps'!K26</f>
        <v>0</v>
      </c>
    </row>
    <row r="39" spans="2:6" x14ac:dyDescent="0.3"/>
    <row r="40" spans="2:6" ht="17.399999999999999" x14ac:dyDescent="0.3">
      <c r="B40" s="28"/>
      <c r="C40" s="26" t="str">
        <f>'VIP support'!B4</f>
        <v>VIP support</v>
      </c>
      <c r="D40" s="29"/>
      <c r="E40" s="25"/>
      <c r="F40" s="51">
        <f>'VIP support'!H14</f>
        <v>0</v>
      </c>
    </row>
    <row r="41" spans="2:6" x14ac:dyDescent="0.3"/>
    <row r="42" spans="2:6" ht="17.399999999999999" x14ac:dyDescent="0.3">
      <c r="B42" s="28"/>
      <c r="C42" s="26" t="str">
        <f>Consultancy!B4</f>
        <v>Consultancy</v>
      </c>
      <c r="D42" s="29"/>
      <c r="E42" s="25"/>
      <c r="F42" s="51">
        <f>Consultancy!N40</f>
        <v>0</v>
      </c>
    </row>
    <row r="43" spans="2:6" x14ac:dyDescent="0.3"/>
    <row r="44" spans="2:6" ht="17.399999999999999" x14ac:dyDescent="0.3">
      <c r="B44" s="28"/>
      <c r="C44" s="26" t="s">
        <v>22</v>
      </c>
      <c r="D44" s="29"/>
      <c r="E44" s="25"/>
      <c r="F44" s="51">
        <f>Opleiding!O29</f>
        <v>0</v>
      </c>
    </row>
    <row r="45" spans="2:6" x14ac:dyDescent="0.3"/>
    <row r="46" spans="2:6" ht="17.399999999999999" x14ac:dyDescent="0.3">
      <c r="B46" s="28"/>
      <c r="C46" s="26" t="str">
        <f>Transitie!B4</f>
        <v>Transitie</v>
      </c>
      <c r="D46" s="29"/>
      <c r="E46" s="25"/>
      <c r="F46" s="51">
        <f>Transitie!C35</f>
        <v>0</v>
      </c>
    </row>
    <row r="47" spans="2:6" x14ac:dyDescent="0.3"/>
    <row r="48" spans="2:6"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3E747-026F-4DF2-8602-E2DC405262FB}">
  <dimension ref="A1:L29"/>
  <sheetViews>
    <sheetView showGridLines="0" workbookViewId="0">
      <selection activeCell="E10" sqref="E10"/>
    </sheetView>
  </sheetViews>
  <sheetFormatPr defaultColWidth="0" defaultRowHeight="14.4" zeroHeight="1" x14ac:dyDescent="0.3"/>
  <cols>
    <col min="1" max="1" width="5.5546875" style="266" customWidth="1"/>
    <col min="2" max="2" width="26.33203125" bestFit="1" customWidth="1"/>
    <col min="3" max="3" width="16" customWidth="1"/>
    <col min="4" max="4" width="13.6640625" customWidth="1"/>
    <col min="5" max="5" width="15.33203125" customWidth="1"/>
    <col min="6" max="6" width="28.6640625" customWidth="1"/>
    <col min="7" max="7" width="9.5546875" customWidth="1"/>
    <col min="8" max="8" width="16.44140625" customWidth="1"/>
    <col min="9" max="9" width="3.6640625" customWidth="1"/>
    <col min="10" max="10" width="59.5546875" hidden="1" customWidth="1"/>
    <col min="11" max="11" width="15.5546875" style="266" hidden="1" customWidth="1"/>
    <col min="12" max="12" width="12.5546875" hidden="1" customWidth="1"/>
    <col min="13" max="16384" width="9.33203125" hidden="1"/>
  </cols>
  <sheetData>
    <row r="1" spans="1:12" x14ac:dyDescent="0.3"/>
    <row r="2" spans="1:12" ht="23.4" x14ac:dyDescent="0.3">
      <c r="B2" s="6" t="s">
        <v>0</v>
      </c>
      <c r="C2" s="6"/>
      <c r="D2" s="6"/>
      <c r="E2" s="6"/>
      <c r="F2" s="6"/>
      <c r="G2" s="12"/>
      <c r="H2" s="12"/>
    </row>
    <row r="3" spans="1:12" ht="18" x14ac:dyDescent="0.3">
      <c r="B3" s="8" t="s">
        <v>1</v>
      </c>
      <c r="C3" s="8"/>
      <c r="D3" s="8"/>
      <c r="E3" s="8"/>
      <c r="F3" s="8"/>
      <c r="G3" s="12"/>
      <c r="H3" s="12"/>
    </row>
    <row r="4" spans="1:12" ht="21" x14ac:dyDescent="0.3">
      <c r="B4" s="9" t="s">
        <v>187</v>
      </c>
      <c r="C4" s="9"/>
      <c r="D4" s="9"/>
      <c r="E4" s="9"/>
      <c r="F4" s="9"/>
      <c r="G4" s="12"/>
      <c r="H4" s="10"/>
    </row>
    <row r="5" spans="1:12" ht="21" x14ac:dyDescent="0.3">
      <c r="B5" s="11" t="s">
        <v>140</v>
      </c>
      <c r="C5" s="9"/>
      <c r="D5" s="12"/>
      <c r="E5" s="99" t="s">
        <v>25</v>
      </c>
      <c r="F5" s="12"/>
      <c r="G5" s="10"/>
      <c r="H5" s="10"/>
    </row>
    <row r="6" spans="1:12" x14ac:dyDescent="0.3">
      <c r="B6" s="12" t="s">
        <v>4</v>
      </c>
      <c r="C6" s="12"/>
      <c r="D6" s="12"/>
      <c r="E6" s="12"/>
      <c r="F6" s="12"/>
      <c r="G6" s="10"/>
      <c r="H6" s="10"/>
    </row>
    <row r="7" spans="1:12" x14ac:dyDescent="0.3"/>
    <row r="8" spans="1:12" ht="15" thickBot="1" x14ac:dyDescent="0.35"/>
    <row r="9" spans="1:12" ht="31.8" thickBot="1" x14ac:dyDescent="0.35">
      <c r="A9"/>
      <c r="B9" s="267" t="s">
        <v>160</v>
      </c>
      <c r="C9" s="267" t="s">
        <v>29</v>
      </c>
      <c r="D9" s="282" t="s">
        <v>188</v>
      </c>
      <c r="E9" s="281" t="s">
        <v>189</v>
      </c>
      <c r="F9" s="282" t="s">
        <v>32</v>
      </c>
      <c r="G9" s="47" t="s">
        <v>33</v>
      </c>
      <c r="H9" s="50" t="s">
        <v>34</v>
      </c>
      <c r="J9" s="192"/>
    </row>
    <row r="10" spans="1:12" x14ac:dyDescent="0.3">
      <c r="A10"/>
      <c r="B10" s="268" t="s">
        <v>190</v>
      </c>
      <c r="C10" s="268" t="s">
        <v>38</v>
      </c>
      <c r="D10" s="269">
        <v>10</v>
      </c>
      <c r="E10" s="5"/>
      <c r="F10" s="270">
        <f>D10*E10*12</f>
        <v>0</v>
      </c>
      <c r="G10" s="271">
        <v>12</v>
      </c>
      <c r="H10" s="270">
        <f>F10*G10</f>
        <v>0</v>
      </c>
    </row>
    <row r="11" spans="1:12" x14ac:dyDescent="0.3">
      <c r="A11"/>
    </row>
    <row r="12" spans="1:12" ht="15.6" x14ac:dyDescent="0.3">
      <c r="A12"/>
      <c r="B12" s="272" t="s">
        <v>47</v>
      </c>
      <c r="C12" s="133"/>
      <c r="D12" s="273"/>
      <c r="E12" s="274"/>
      <c r="F12" s="275">
        <f>SUM(F2:F10)</f>
        <v>0</v>
      </c>
      <c r="H12" s="276"/>
      <c r="J12" s="1"/>
      <c r="L12" s="277"/>
    </row>
    <row r="13" spans="1:12" ht="15.6" x14ac:dyDescent="0.3">
      <c r="A13"/>
      <c r="B13" s="272" t="s">
        <v>48</v>
      </c>
      <c r="C13" s="273"/>
      <c r="D13" s="273"/>
      <c r="E13" s="274"/>
      <c r="F13" s="275">
        <f>ROUND(+F12/12,2)</f>
        <v>0</v>
      </c>
      <c r="H13" s="276"/>
      <c r="J13" s="1"/>
      <c r="L13" s="277"/>
    </row>
    <row r="14" spans="1:12" ht="16.2" thickBot="1" x14ac:dyDescent="0.35">
      <c r="A14"/>
      <c r="B14" s="135" t="s">
        <v>49</v>
      </c>
      <c r="C14" s="278"/>
      <c r="D14" s="278"/>
      <c r="E14" s="278"/>
      <c r="F14" s="278"/>
      <c r="G14" s="278"/>
      <c r="H14" s="136">
        <f>H10</f>
        <v>0</v>
      </c>
      <c r="L14" s="277"/>
    </row>
    <row r="15" spans="1:12" ht="15" thickTop="1" x14ac:dyDescent="0.3">
      <c r="A15"/>
      <c r="H15" s="1"/>
      <c r="L15" s="277"/>
    </row>
    <row r="16" spans="1:12" hidden="1" x14ac:dyDescent="0.3">
      <c r="A16"/>
      <c r="H16" s="1"/>
      <c r="I16" s="279"/>
      <c r="L16" s="277"/>
    </row>
    <row r="17" spans="1:12" hidden="1" x14ac:dyDescent="0.3">
      <c r="A17"/>
      <c r="H17" s="1"/>
      <c r="I17" s="279"/>
      <c r="L17" s="277"/>
    </row>
    <row r="18" spans="1:12" hidden="1" x14ac:dyDescent="0.3">
      <c r="A18"/>
      <c r="H18" s="1"/>
      <c r="I18" s="279"/>
      <c r="L18" s="277"/>
    </row>
    <row r="19" spans="1:12" hidden="1" x14ac:dyDescent="0.3">
      <c r="A19"/>
      <c r="H19" s="1"/>
      <c r="I19" s="279"/>
      <c r="L19" s="277"/>
    </row>
    <row r="20" spans="1:12" hidden="1" x14ac:dyDescent="0.3">
      <c r="A20"/>
      <c r="H20" s="1"/>
      <c r="I20" s="279"/>
      <c r="L20" s="277"/>
    </row>
    <row r="21" spans="1:12" hidden="1" x14ac:dyDescent="0.3">
      <c r="A21"/>
      <c r="H21" s="1"/>
      <c r="I21" s="279"/>
      <c r="L21" s="277"/>
    </row>
    <row r="22" spans="1:12" hidden="1" x14ac:dyDescent="0.3">
      <c r="A22"/>
      <c r="H22" s="1"/>
      <c r="I22" s="279"/>
      <c r="L22" s="277"/>
    </row>
    <row r="23" spans="1:12" hidden="1" x14ac:dyDescent="0.3">
      <c r="I23" s="279"/>
      <c r="L23" s="277"/>
    </row>
    <row r="24" spans="1:12" hidden="1" x14ac:dyDescent="0.3">
      <c r="A24" s="280"/>
      <c r="I24" s="279"/>
    </row>
    <row r="25" spans="1:12" hidden="1" x14ac:dyDescent="0.3">
      <c r="A25" s="280"/>
      <c r="I25" s="279"/>
    </row>
    <row r="26" spans="1:12" hidden="1" x14ac:dyDescent="0.3">
      <c r="A26" s="280"/>
      <c r="I26" s="279"/>
    </row>
    <row r="27" spans="1:12" hidden="1" x14ac:dyDescent="0.3">
      <c r="A27" s="280"/>
      <c r="I27" s="279"/>
    </row>
    <row r="28" spans="1:12" hidden="1" x14ac:dyDescent="0.3">
      <c r="A28" s="280"/>
      <c r="I28" s="279"/>
    </row>
    <row r="29" spans="1:12" hidden="1" x14ac:dyDescent="0.3">
      <c r="A29" s="280"/>
    </row>
  </sheetData>
  <sheetProtection algorithmName="SHA-512" hashValue="JdPZKhxSKWs6Q9uc15+J3EuGfnN9AK7oL6WMaj2ZqC9G+I/O61Jy/k+RoEDpKEcoR7d9tjeqSCA/ZeEal4YYgQ==" saltValue="jzbYz1AtS99J7qTZ1x7hHQ==" spinCount="100000"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7C383-9D2C-4EA9-92BA-EFCE0904FA9D}">
  <dimension ref="A1:T24"/>
  <sheetViews>
    <sheetView showGridLines="0" workbookViewId="0">
      <selection activeCell="D14" sqref="D14"/>
    </sheetView>
  </sheetViews>
  <sheetFormatPr defaultColWidth="0" defaultRowHeight="14.4" zeroHeight="1" x14ac:dyDescent="0.3"/>
  <cols>
    <col min="1" max="1" width="3.6640625" customWidth="1"/>
    <col min="2" max="2" width="37.5546875" customWidth="1"/>
    <col min="3" max="3" width="51.33203125" customWidth="1"/>
    <col min="4" max="4" width="15" customWidth="1"/>
    <col min="5" max="5" width="26.5546875" customWidth="1"/>
    <col min="6" max="6" width="4.6640625" customWidth="1"/>
    <col min="7" max="7" width="12.33203125" customWidth="1"/>
    <col min="8" max="8" width="39.5546875" bestFit="1" customWidth="1"/>
    <col min="9" max="9" width="3.6640625" customWidth="1"/>
    <col min="10" max="19" width="15.6640625" hidden="1" customWidth="1"/>
    <col min="20" max="20" width="19.6640625" hidden="1" customWidth="1"/>
    <col min="21" max="16384" width="9.33203125" hidden="1"/>
  </cols>
  <sheetData>
    <row r="1" spans="2:8" x14ac:dyDescent="0.3"/>
    <row r="2" spans="2:8" ht="23.4" x14ac:dyDescent="0.3">
      <c r="B2" s="6" t="s">
        <v>0</v>
      </c>
      <c r="C2" s="6"/>
      <c r="D2" s="6"/>
      <c r="E2" s="6"/>
      <c r="F2" s="6"/>
      <c r="G2" s="12"/>
      <c r="H2" s="12"/>
    </row>
    <row r="3" spans="2:8" ht="18" x14ac:dyDescent="0.3">
      <c r="B3" s="8" t="s">
        <v>1</v>
      </c>
      <c r="C3" s="8"/>
      <c r="D3" s="8"/>
      <c r="E3" s="8"/>
      <c r="F3" s="8"/>
      <c r="G3" s="12"/>
      <c r="H3" s="12"/>
    </row>
    <row r="4" spans="2:8" ht="21" x14ac:dyDescent="0.3">
      <c r="B4" s="9" t="s">
        <v>191</v>
      </c>
      <c r="C4" s="9"/>
      <c r="D4" s="9"/>
      <c r="E4" s="9"/>
      <c r="F4" s="9"/>
      <c r="G4" s="12"/>
      <c r="H4" s="10"/>
    </row>
    <row r="5" spans="2:8" ht="21" x14ac:dyDescent="0.3">
      <c r="B5" s="11" t="s">
        <v>140</v>
      </c>
      <c r="C5" s="9"/>
      <c r="D5" s="12"/>
      <c r="E5" s="12"/>
      <c r="F5" s="12"/>
      <c r="G5" s="12"/>
      <c r="H5" s="12"/>
    </row>
    <row r="6" spans="2:8" x14ac:dyDescent="0.3">
      <c r="B6" s="12" t="s">
        <v>4</v>
      </c>
      <c r="C6" s="12"/>
      <c r="D6" s="12"/>
      <c r="E6" s="12"/>
      <c r="F6" s="12"/>
      <c r="G6" s="10"/>
      <c r="H6" s="10"/>
    </row>
    <row r="7" spans="2:8" x14ac:dyDescent="0.3"/>
    <row r="8" spans="2:8" x14ac:dyDescent="0.3"/>
    <row r="9" spans="2:8" x14ac:dyDescent="0.3">
      <c r="B9" s="4" t="s">
        <v>192</v>
      </c>
      <c r="C9" s="3" t="s">
        <v>193</v>
      </c>
      <c r="D9" s="3" t="s">
        <v>194</v>
      </c>
      <c r="E9" s="3"/>
      <c r="F9" s="3"/>
      <c r="G9" s="3"/>
      <c r="H9" s="3"/>
    </row>
    <row r="10" spans="2:8" x14ac:dyDescent="0.3">
      <c r="C10" s="3"/>
      <c r="D10" s="3" t="s">
        <v>195</v>
      </c>
      <c r="E10" s="3"/>
      <c r="F10" s="3"/>
      <c r="G10" s="3"/>
      <c r="H10" s="3"/>
    </row>
    <row r="11" spans="2:8" x14ac:dyDescent="0.3"/>
    <row r="12" spans="2:8" x14ac:dyDescent="0.3">
      <c r="B12" s="4" t="s">
        <v>196</v>
      </c>
      <c r="C12" s="3" t="s">
        <v>197</v>
      </c>
      <c r="D12" s="3" t="s">
        <v>198</v>
      </c>
      <c r="E12" s="3"/>
      <c r="F12" s="3"/>
      <c r="G12" s="3"/>
      <c r="H12" s="3"/>
    </row>
    <row r="13" spans="2:8" x14ac:dyDescent="0.3"/>
    <row r="14" spans="2:8" x14ac:dyDescent="0.3">
      <c r="B14" s="4" t="s">
        <v>199</v>
      </c>
      <c r="C14" s="3" t="s">
        <v>53</v>
      </c>
      <c r="D14" s="3" t="s">
        <v>200</v>
      </c>
      <c r="E14" s="3"/>
      <c r="F14" s="3"/>
      <c r="G14" s="3"/>
      <c r="H14" s="3"/>
    </row>
    <row r="15" spans="2:8" x14ac:dyDescent="0.3"/>
    <row r="16" spans="2:8" x14ac:dyDescent="0.3">
      <c r="B16" s="4" t="s">
        <v>201</v>
      </c>
      <c r="C16" s="3" t="s">
        <v>202</v>
      </c>
      <c r="D16" s="3" t="s">
        <v>203</v>
      </c>
      <c r="E16" s="3"/>
      <c r="F16" s="3"/>
      <c r="G16" s="3"/>
      <c r="H16" s="3"/>
    </row>
    <row r="17" spans="3:8" x14ac:dyDescent="0.3">
      <c r="C17" s="3"/>
      <c r="D17" s="3" t="s">
        <v>204</v>
      </c>
      <c r="E17" s="3"/>
      <c r="F17" s="3"/>
      <c r="G17" s="3"/>
      <c r="H17" s="3"/>
    </row>
    <row r="18" spans="3:8" x14ac:dyDescent="0.3"/>
    <row r="19" spans="3:8" x14ac:dyDescent="0.3"/>
    <row r="21" spans="3:8" hidden="1" x14ac:dyDescent="0.3">
      <c r="H21" s="1"/>
    </row>
    <row r="22" spans="3:8" hidden="1" x14ac:dyDescent="0.3">
      <c r="H22" s="1"/>
    </row>
    <row r="23" spans="3:8" hidden="1" x14ac:dyDescent="0.3">
      <c r="H23" s="1"/>
    </row>
    <row r="24" spans="3:8" x14ac:dyDescent="0.3"/>
  </sheetData>
  <sheetProtection algorithmName="SHA-512" hashValue="56H4xXLONwwfeH2Ril9SXBfU+cQxzaDUfwWZn9SLYh1ZRwWL0pMRLqYcBMNWpe7E+GVazsUqyABrVpiKPMXMMQ==" saltValue="7+7RF6OdhKLBJqZsB6hBVg==" spinCount="100000" sheet="1" objects="1" scenarios="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522D0-61B0-487D-BCCD-583A040D23F9}">
  <dimension ref="A1:R85"/>
  <sheetViews>
    <sheetView showGridLines="0" zoomScaleNormal="100" workbookViewId="0">
      <selection activeCell="B24" sqref="B24"/>
    </sheetView>
  </sheetViews>
  <sheetFormatPr defaultColWidth="0" defaultRowHeight="14.4" zeroHeight="1" x14ac:dyDescent="0.3"/>
  <cols>
    <col min="1" max="1" width="4.33203125" customWidth="1"/>
    <col min="2" max="2" width="34.33203125" customWidth="1"/>
    <col min="3" max="3" width="19" customWidth="1"/>
    <col min="4" max="6" width="15.6640625" customWidth="1"/>
    <col min="7" max="7" width="1.6640625" customWidth="1"/>
    <col min="8" max="13" width="17.6640625" customWidth="1"/>
    <col min="14" max="14" width="20.6640625" customWidth="1"/>
    <col min="15" max="15" width="3.6640625" customWidth="1"/>
    <col min="16" max="16" width="9.33203125" hidden="1" customWidth="1"/>
    <col min="17" max="17" width="56.44140625" hidden="1" customWidth="1"/>
    <col min="18" max="18" width="0" hidden="1" customWidth="1"/>
    <col min="19" max="16384" width="9.33203125" hidden="1"/>
  </cols>
  <sheetData>
    <row r="1" spans="2:14" x14ac:dyDescent="0.3"/>
    <row r="2" spans="2:14" ht="23.4" x14ac:dyDescent="0.3">
      <c r="B2" s="6" t="s">
        <v>0</v>
      </c>
      <c r="C2" s="6"/>
      <c r="D2" s="6"/>
      <c r="E2" s="12"/>
      <c r="F2" s="12"/>
      <c r="G2" s="7"/>
      <c r="H2" s="45"/>
      <c r="I2" s="7"/>
      <c r="J2" s="7"/>
      <c r="K2" s="7"/>
      <c r="L2" s="7"/>
      <c r="M2" s="7"/>
      <c r="N2" s="7"/>
    </row>
    <row r="3" spans="2:14" ht="23.4" x14ac:dyDescent="0.3">
      <c r="B3" s="8" t="s">
        <v>1</v>
      </c>
      <c r="C3" s="8"/>
      <c r="D3" s="8"/>
      <c r="E3" s="12"/>
      <c r="F3" s="12"/>
      <c r="G3" s="7"/>
      <c r="H3" s="45"/>
      <c r="I3" s="7"/>
      <c r="J3" s="7"/>
      <c r="K3" s="7"/>
      <c r="L3" s="7"/>
      <c r="M3" s="7"/>
      <c r="N3" s="7"/>
    </row>
    <row r="4" spans="2:14" ht="21" x14ac:dyDescent="0.3">
      <c r="B4" s="9" t="s">
        <v>205</v>
      </c>
      <c r="C4" s="9"/>
      <c r="D4" s="9"/>
      <c r="E4" s="12"/>
      <c r="F4" s="10"/>
      <c r="G4" s="10"/>
      <c r="H4" s="10"/>
      <c r="I4" s="10"/>
      <c r="J4" s="10"/>
      <c r="K4" s="10"/>
      <c r="L4" s="10"/>
      <c r="M4" s="10"/>
      <c r="N4" s="10"/>
    </row>
    <row r="5" spans="2:14" ht="21" x14ac:dyDescent="0.3">
      <c r="B5" s="11" t="s">
        <v>3</v>
      </c>
      <c r="C5" s="9"/>
      <c r="D5" s="12"/>
      <c r="E5" s="99" t="s">
        <v>25</v>
      </c>
      <c r="F5" s="12"/>
      <c r="G5" s="10"/>
      <c r="H5" s="10"/>
      <c r="I5" s="10"/>
      <c r="J5" s="10"/>
      <c r="K5" s="10"/>
      <c r="L5" s="10"/>
      <c r="M5" s="10"/>
      <c r="N5" s="10"/>
    </row>
    <row r="6" spans="2:14" x14ac:dyDescent="0.3">
      <c r="B6" s="12" t="s">
        <v>4</v>
      </c>
      <c r="C6" s="12"/>
      <c r="D6" s="12"/>
      <c r="E6" s="10"/>
      <c r="F6" s="10"/>
      <c r="G6" s="10"/>
      <c r="H6" s="10"/>
      <c r="I6" s="10"/>
      <c r="J6" s="10"/>
      <c r="K6" s="10"/>
      <c r="L6" s="10"/>
      <c r="M6" s="10"/>
      <c r="N6" s="10"/>
    </row>
    <row r="7" spans="2:14" x14ac:dyDescent="0.3"/>
    <row r="8" spans="2:14" x14ac:dyDescent="0.3"/>
    <row r="9" spans="2:14" x14ac:dyDescent="0.3">
      <c r="D9" s="1"/>
    </row>
    <row r="10" spans="2:14" x14ac:dyDescent="0.3">
      <c r="D10" s="189"/>
    </row>
    <row r="11" spans="2:14" x14ac:dyDescent="0.3">
      <c r="D11" s="1"/>
    </row>
    <row r="12" spans="2:14" x14ac:dyDescent="0.3">
      <c r="D12" s="1"/>
    </row>
    <row r="13" spans="2:14" x14ac:dyDescent="0.3">
      <c r="D13" s="1"/>
    </row>
    <row r="14" spans="2:14" x14ac:dyDescent="0.3">
      <c r="D14" s="1"/>
    </row>
    <row r="15" spans="2:14" x14ac:dyDescent="0.3">
      <c r="D15" s="1"/>
    </row>
    <row r="16" spans="2:14" x14ac:dyDescent="0.3">
      <c r="D16" s="1"/>
    </row>
    <row r="17" spans="2:18" x14ac:dyDescent="0.3">
      <c r="D17" s="1"/>
    </row>
    <row r="18" spans="2:18" x14ac:dyDescent="0.3">
      <c r="D18" s="1"/>
    </row>
    <row r="19" spans="2:18" x14ac:dyDescent="0.3">
      <c r="D19" s="1"/>
    </row>
    <row r="20" spans="2:18" ht="39" x14ac:dyDescent="0.3">
      <c r="B20" s="190" t="s">
        <v>206</v>
      </c>
      <c r="C20" s="190" t="s">
        <v>207</v>
      </c>
      <c r="D20" s="191" t="s">
        <v>208</v>
      </c>
      <c r="E20" s="191" t="s">
        <v>209</v>
      </c>
      <c r="F20" s="191" t="s">
        <v>210</v>
      </c>
      <c r="H20" s="191" t="s">
        <v>211</v>
      </c>
      <c r="I20" s="191" t="s">
        <v>212</v>
      </c>
      <c r="J20" s="191" t="s">
        <v>213</v>
      </c>
      <c r="K20" s="191" t="s">
        <v>214</v>
      </c>
      <c r="L20" s="191" t="s">
        <v>215</v>
      </c>
      <c r="M20" s="191" t="s">
        <v>211</v>
      </c>
      <c r="N20" s="191" t="s">
        <v>216</v>
      </c>
      <c r="Q20" s="192"/>
    </row>
    <row r="21" spans="2:18" x14ac:dyDescent="0.3">
      <c r="B21" s="162"/>
      <c r="C21" s="162"/>
      <c r="D21" s="152"/>
      <c r="E21" s="152"/>
      <c r="F21" s="162"/>
      <c r="H21" s="193"/>
      <c r="I21" s="194"/>
      <c r="J21" s="195" t="s">
        <v>134</v>
      </c>
      <c r="K21" s="152"/>
      <c r="L21" s="152"/>
      <c r="M21" s="152"/>
      <c r="N21" s="152"/>
      <c r="Q21" s="196"/>
    </row>
    <row r="22" spans="2:18" x14ac:dyDescent="0.3">
      <c r="B22" s="197" t="s">
        <v>217</v>
      </c>
      <c r="C22" s="197" t="s">
        <v>218</v>
      </c>
      <c r="D22" s="198">
        <v>150</v>
      </c>
      <c r="E22" s="2"/>
      <c r="F22" s="199">
        <f>IF(ISBLANK(E22),,IF(OR(E22&gt;D22+Spreiding,E22&lt;D22-Spreiding),IF(E22&lt;D22-Spreiding,-F58,F80),ROUND((1+TAN((E22-D22)/C51)*C50-1),3)))</f>
        <v>0</v>
      </c>
      <c r="H22" s="200">
        <f>IF(ISBLANK(E22),,+D22*F22)</f>
        <v>0</v>
      </c>
      <c r="I22" s="198">
        <f>IF(ISBLANK(E22),,+E22+H22)</f>
        <v>0</v>
      </c>
      <c r="J22" s="201">
        <v>200</v>
      </c>
      <c r="K22" s="202">
        <f>+J22*D22</f>
        <v>30000</v>
      </c>
      <c r="L22" s="202">
        <f>+E22*J22</f>
        <v>0</v>
      </c>
      <c r="M22" s="203">
        <f>IF(ISBLANK(E22),,+J22*H22)</f>
        <v>0</v>
      </c>
      <c r="N22" s="204">
        <f>SUM(L22:M22)</f>
        <v>0</v>
      </c>
      <c r="P22" s="167"/>
    </row>
    <row r="23" spans="2:18" x14ac:dyDescent="0.3">
      <c r="B23" s="205"/>
      <c r="C23" s="197" t="s">
        <v>219</v>
      </c>
      <c r="D23" s="206">
        <v>0.8</v>
      </c>
      <c r="E23" s="207">
        <f>E22*0.8</f>
        <v>0</v>
      </c>
      <c r="F23" s="208"/>
      <c r="H23" s="205"/>
      <c r="I23" s="205"/>
      <c r="J23" s="201">
        <v>125</v>
      </c>
      <c r="K23" s="205"/>
      <c r="L23" s="202">
        <f>+E23*J23</f>
        <v>0</v>
      </c>
      <c r="M23" s="205"/>
      <c r="N23" s="204">
        <f>L23</f>
        <v>0</v>
      </c>
    </row>
    <row r="24" spans="2:18" x14ac:dyDescent="0.3">
      <c r="B24" s="205"/>
      <c r="C24" s="197" t="s">
        <v>220</v>
      </c>
      <c r="D24" s="206">
        <v>0.6</v>
      </c>
      <c r="E24" s="207">
        <f>E23*0.6</f>
        <v>0</v>
      </c>
      <c r="F24" s="208"/>
      <c r="H24" s="205"/>
      <c r="I24" s="205"/>
      <c r="J24" s="201">
        <v>125</v>
      </c>
      <c r="K24" s="205"/>
      <c r="L24" s="202">
        <f>+E24*J24</f>
        <v>0</v>
      </c>
      <c r="M24" s="205"/>
      <c r="N24" s="204">
        <f>L24</f>
        <v>0</v>
      </c>
    </row>
    <row r="25" spans="2:18" x14ac:dyDescent="0.3">
      <c r="B25" s="205"/>
      <c r="C25" s="209"/>
      <c r="D25" s="209"/>
      <c r="E25" s="208"/>
      <c r="F25" s="208"/>
      <c r="H25" s="205"/>
      <c r="I25" s="205"/>
      <c r="J25" s="210"/>
      <c r="K25" s="205"/>
      <c r="L25" s="205"/>
      <c r="M25" s="205"/>
      <c r="N25" s="205"/>
      <c r="P25" s="171"/>
    </row>
    <row r="26" spans="2:18" x14ac:dyDescent="0.3">
      <c r="B26" s="197" t="s">
        <v>221</v>
      </c>
      <c r="C26" s="197" t="s">
        <v>218</v>
      </c>
      <c r="D26" s="198">
        <v>150</v>
      </c>
      <c r="E26" s="2"/>
      <c r="F26" s="199">
        <f>IF(ISBLANK(E26),,IF(OR(E26&gt;D26+Spreiding,E26&lt;D26-Spreiding),IF(E26&lt;D26-Spreiding,-F60,G82),ROUND((1+TAN((E26-D26)/C51)*C50-1),3)))</f>
        <v>0</v>
      </c>
      <c r="H26" s="200">
        <f>IF(ISBLANK(E26),,+D26*F26)</f>
        <v>0</v>
      </c>
      <c r="I26" s="198">
        <f>IF(ISBLANK(E26),,+E26+H26)</f>
        <v>0</v>
      </c>
      <c r="J26" s="201">
        <v>750</v>
      </c>
      <c r="K26" s="202">
        <f>+J26*D26</f>
        <v>112500</v>
      </c>
      <c r="L26" s="202">
        <f>+E26*J26</f>
        <v>0</v>
      </c>
      <c r="M26" s="203">
        <f>IF(ISBLANK(E26),,+J26*H26)</f>
        <v>0</v>
      </c>
      <c r="N26" s="204">
        <f>SUM(L26:M26)</f>
        <v>0</v>
      </c>
      <c r="Q26" s="171"/>
      <c r="R26" s="171"/>
    </row>
    <row r="27" spans="2:18" x14ac:dyDescent="0.3">
      <c r="B27" s="205"/>
      <c r="C27" s="197" t="s">
        <v>219</v>
      </c>
      <c r="D27" s="206">
        <v>0.8</v>
      </c>
      <c r="E27" s="207">
        <f>E26*0.8</f>
        <v>0</v>
      </c>
      <c r="F27" s="208"/>
      <c r="H27" s="205"/>
      <c r="I27" s="205"/>
      <c r="J27" s="201">
        <v>350</v>
      </c>
      <c r="K27" s="205"/>
      <c r="L27" s="202">
        <f>+E27*J27</f>
        <v>0</v>
      </c>
      <c r="M27" s="205"/>
      <c r="N27" s="204">
        <f>L27</f>
        <v>0</v>
      </c>
      <c r="P27" s="171"/>
      <c r="Q27" s="171"/>
      <c r="R27" s="171"/>
    </row>
    <row r="28" spans="2:18" x14ac:dyDescent="0.3">
      <c r="B28" s="205"/>
      <c r="C28" s="197" t="s">
        <v>220</v>
      </c>
      <c r="D28" s="206">
        <v>0.6</v>
      </c>
      <c r="E28" s="207">
        <f>E27*0.6</f>
        <v>0</v>
      </c>
      <c r="F28" s="208"/>
      <c r="H28" s="205"/>
      <c r="I28" s="205"/>
      <c r="J28" s="201">
        <v>150</v>
      </c>
      <c r="K28" s="205"/>
      <c r="L28" s="202">
        <f>+E28*J28</f>
        <v>0</v>
      </c>
      <c r="M28" s="205"/>
      <c r="N28" s="204">
        <f>L28</f>
        <v>0</v>
      </c>
      <c r="P28" s="171"/>
      <c r="Q28" s="171"/>
      <c r="R28" s="171"/>
    </row>
    <row r="29" spans="2:18" x14ac:dyDescent="0.3">
      <c r="B29" s="205"/>
      <c r="C29" s="208"/>
      <c r="D29" s="208"/>
      <c r="E29" s="208"/>
      <c r="F29" s="208"/>
      <c r="H29" s="205"/>
      <c r="I29" s="205"/>
      <c r="J29" s="210"/>
      <c r="K29" s="205"/>
      <c r="L29" s="205"/>
      <c r="M29" s="205"/>
      <c r="N29" s="205"/>
      <c r="P29" s="171"/>
      <c r="Q29" s="171"/>
      <c r="R29" s="171"/>
    </row>
    <row r="30" spans="2:18" x14ac:dyDescent="0.3">
      <c r="B30" s="197" t="s">
        <v>222</v>
      </c>
      <c r="C30" s="197" t="s">
        <v>218</v>
      </c>
      <c r="D30" s="198">
        <v>150</v>
      </c>
      <c r="E30" s="2"/>
      <c r="F30" s="199">
        <f>IF(ISBLANK(E30),,IF(OR(E30&gt;D30+Spreiding,E30&lt;D30-Spreiding),IF(E30&lt;D30-Spreiding,-F62,G84),ROUND((1+TAN((E30-D30)/C51)*C50-1),3)))</f>
        <v>0</v>
      </c>
      <c r="H30" s="200">
        <f>IF(ISBLANK(E30),,+D30*F30)</f>
        <v>0</v>
      </c>
      <c r="I30" s="198">
        <f>IF(ISBLANK(E30),,+E30+H30)</f>
        <v>0</v>
      </c>
      <c r="J30" s="201">
        <v>150</v>
      </c>
      <c r="K30" s="202">
        <f>+J30*D30</f>
        <v>22500</v>
      </c>
      <c r="L30" s="202">
        <f>+E30*J30</f>
        <v>0</v>
      </c>
      <c r="M30" s="203">
        <f>IF(ISBLANK(E30),,+J30*H30)</f>
        <v>0</v>
      </c>
      <c r="N30" s="204">
        <f>SUM(L30:M30)</f>
        <v>0</v>
      </c>
      <c r="P30" s="171"/>
      <c r="Q30" s="171"/>
    </row>
    <row r="31" spans="2:18" x14ac:dyDescent="0.3">
      <c r="B31" s="205"/>
      <c r="C31" s="197" t="s">
        <v>219</v>
      </c>
      <c r="D31" s="206">
        <v>0.8</v>
      </c>
      <c r="E31" s="207">
        <f>E30*0.8</f>
        <v>0</v>
      </c>
      <c r="F31" s="208"/>
      <c r="H31" s="205"/>
      <c r="I31" s="205"/>
      <c r="J31" s="201">
        <v>50</v>
      </c>
      <c r="K31" s="205"/>
      <c r="L31" s="202">
        <f>+E31*J31</f>
        <v>0</v>
      </c>
      <c r="M31" s="205"/>
      <c r="N31" s="204">
        <f>L31</f>
        <v>0</v>
      </c>
    </row>
    <row r="32" spans="2:18" x14ac:dyDescent="0.3">
      <c r="B32" s="205"/>
      <c r="C32" s="197" t="s">
        <v>220</v>
      </c>
      <c r="D32" s="206">
        <v>0.6</v>
      </c>
      <c r="E32" s="207">
        <f>E31*0.6</f>
        <v>0</v>
      </c>
      <c r="F32" s="208"/>
      <c r="H32" s="205"/>
      <c r="I32" s="205"/>
      <c r="J32" s="201">
        <v>50</v>
      </c>
      <c r="K32" s="205"/>
      <c r="L32" s="202">
        <f>+E32*J32</f>
        <v>0</v>
      </c>
      <c r="M32" s="205"/>
      <c r="N32" s="204">
        <f>L32</f>
        <v>0</v>
      </c>
      <c r="P32" s="171"/>
    </row>
    <row r="33" spans="2:16" x14ac:dyDescent="0.3">
      <c r="B33" s="205"/>
      <c r="C33" s="208"/>
      <c r="D33" s="208"/>
      <c r="E33" s="208"/>
      <c r="F33" s="208"/>
      <c r="H33" s="205"/>
      <c r="I33" s="205"/>
      <c r="J33" s="210"/>
      <c r="K33" s="205"/>
      <c r="L33" s="205"/>
      <c r="M33" s="205"/>
      <c r="N33" s="205"/>
    </row>
    <row r="34" spans="2:16" x14ac:dyDescent="0.3">
      <c r="B34" s="197" t="s">
        <v>223</v>
      </c>
      <c r="C34" s="197" t="s">
        <v>218</v>
      </c>
      <c r="D34" s="198">
        <v>150</v>
      </c>
      <c r="E34" s="2"/>
      <c r="F34" s="199">
        <f>IF(ISBLANK(E34),,IF(OR(E34&gt;D34+Spreiding,E34&lt;D34-Spreiding),IF(E34&lt;D34-Spreiding,-F64,G86),ROUND((1+TAN((E34-D34)/C51)*C50-1),3)))</f>
        <v>0</v>
      </c>
      <c r="H34" s="200">
        <f>IF(ISBLANK(E34),,+D34*F34)</f>
        <v>0</v>
      </c>
      <c r="I34" s="198">
        <f>IF(ISBLANK(E34),,+E34+H34)</f>
        <v>0</v>
      </c>
      <c r="J34" s="201">
        <v>300</v>
      </c>
      <c r="K34" s="202">
        <f>+J34*D34</f>
        <v>45000</v>
      </c>
      <c r="L34" s="202">
        <f>+E34*J34</f>
        <v>0</v>
      </c>
      <c r="M34" s="203">
        <f>IF(ISBLANK(E34),,+J34*H34)</f>
        <v>0</v>
      </c>
      <c r="N34" s="204">
        <f>SUM(L34:M34)</f>
        <v>0</v>
      </c>
      <c r="P34" s="171"/>
    </row>
    <row r="35" spans="2:16" x14ac:dyDescent="0.3">
      <c r="B35" s="205"/>
      <c r="C35" s="197" t="s">
        <v>219</v>
      </c>
      <c r="D35" s="206">
        <v>0.8</v>
      </c>
      <c r="E35" s="207">
        <f>E34*0.8</f>
        <v>0</v>
      </c>
      <c r="F35" s="208"/>
      <c r="H35" s="205"/>
      <c r="I35" s="205"/>
      <c r="J35" s="201">
        <v>200</v>
      </c>
      <c r="K35" s="205"/>
      <c r="L35" s="202">
        <f>+E35*J35</f>
        <v>0</v>
      </c>
      <c r="M35" s="205"/>
      <c r="N35" s="204">
        <f>L35</f>
        <v>0</v>
      </c>
      <c r="O35" s="205"/>
    </row>
    <row r="36" spans="2:16" x14ac:dyDescent="0.3">
      <c r="B36" s="205"/>
      <c r="C36" s="197" t="s">
        <v>220</v>
      </c>
      <c r="D36" s="206">
        <v>0.6</v>
      </c>
      <c r="E36" s="207">
        <f>E35*0.6</f>
        <v>0</v>
      </c>
      <c r="F36" s="208"/>
      <c r="H36" s="205"/>
      <c r="I36" s="205"/>
      <c r="J36" s="201">
        <v>50</v>
      </c>
      <c r="K36" s="205"/>
      <c r="L36" s="202">
        <f>+E36*J36</f>
        <v>0</v>
      </c>
      <c r="M36" s="205"/>
      <c r="N36" s="204">
        <f>L36</f>
        <v>0</v>
      </c>
      <c r="O36" s="205"/>
    </row>
    <row r="37" spans="2:16" x14ac:dyDescent="0.3">
      <c r="B37" s="205"/>
      <c r="C37" s="208"/>
      <c r="E37" s="208"/>
      <c r="F37" s="208"/>
      <c r="G37" s="205"/>
      <c r="H37" s="205"/>
      <c r="I37" s="205"/>
      <c r="J37" s="205"/>
      <c r="K37" s="205"/>
      <c r="L37" s="205"/>
      <c r="M37" s="205"/>
      <c r="N37" s="211"/>
    </row>
    <row r="38" spans="2:16" ht="18" thickBot="1" x14ac:dyDescent="0.35">
      <c r="B38" s="205"/>
      <c r="C38" s="212" t="s">
        <v>224</v>
      </c>
      <c r="D38" s="212"/>
      <c r="E38" s="212"/>
      <c r="F38" s="212"/>
      <c r="G38" s="212"/>
      <c r="H38" s="212"/>
      <c r="I38" s="212"/>
      <c r="J38" s="212"/>
      <c r="K38" s="212"/>
      <c r="L38" s="212"/>
      <c r="M38" s="213">
        <f>SUM(M22:M36)</f>
        <v>0</v>
      </c>
      <c r="N38" s="213">
        <f>SUM(N22:N36)</f>
        <v>0</v>
      </c>
    </row>
    <row r="39" spans="2:16" ht="15" thickTop="1" x14ac:dyDescent="0.3">
      <c r="B39" s="205"/>
      <c r="C39" s="208"/>
      <c r="D39" s="208"/>
      <c r="E39" s="208"/>
      <c r="F39" s="208"/>
      <c r="G39" s="205"/>
      <c r="H39" s="205"/>
      <c r="I39" s="205"/>
      <c r="J39" s="205"/>
      <c r="K39" s="205"/>
      <c r="L39" s="205"/>
      <c r="M39" s="205"/>
      <c r="N39" s="211"/>
    </row>
    <row r="40" spans="2:16" ht="18" thickBot="1" x14ac:dyDescent="0.35">
      <c r="B40" s="205"/>
      <c r="C40" s="212" t="s">
        <v>225</v>
      </c>
      <c r="D40" s="212"/>
      <c r="E40" s="212"/>
      <c r="F40" s="212"/>
      <c r="G40" s="212"/>
      <c r="H40" s="212"/>
      <c r="I40" s="212"/>
      <c r="J40" s="212"/>
      <c r="K40" s="212"/>
      <c r="L40" s="212"/>
      <c r="M40" s="213">
        <f>+M38*12</f>
        <v>0</v>
      </c>
      <c r="N40" s="214">
        <f>+N38*12</f>
        <v>0</v>
      </c>
    </row>
    <row r="41" spans="2:16" ht="15" thickTop="1" x14ac:dyDescent="0.3">
      <c r="B41" s="205"/>
      <c r="C41" s="208"/>
      <c r="D41" s="208"/>
      <c r="E41" s="208"/>
      <c r="F41" s="208"/>
      <c r="G41" s="205"/>
      <c r="H41" s="205"/>
      <c r="I41" s="205"/>
      <c r="J41" s="205"/>
      <c r="K41" s="205"/>
      <c r="L41" s="205"/>
      <c r="M41" s="205"/>
      <c r="N41" s="211"/>
    </row>
    <row r="42" spans="2:16" ht="17.399999999999999" x14ac:dyDescent="0.3">
      <c r="B42" s="205"/>
      <c r="C42" s="212" t="s">
        <v>226</v>
      </c>
      <c r="D42" s="212"/>
      <c r="E42" s="212"/>
      <c r="F42" s="212"/>
      <c r="G42" s="212"/>
      <c r="H42" s="212"/>
      <c r="I42" s="212"/>
      <c r="J42" s="212"/>
      <c r="K42" s="212"/>
      <c r="L42" s="212"/>
      <c r="M42" s="212"/>
      <c r="N42" s="212"/>
    </row>
    <row r="43" spans="2:16" x14ac:dyDescent="0.3">
      <c r="B43" s="205"/>
      <c r="C43" s="208"/>
      <c r="D43" s="208"/>
      <c r="E43" s="208"/>
      <c r="F43" s="208"/>
      <c r="G43" s="205"/>
      <c r="H43" s="205"/>
      <c r="I43" s="205"/>
      <c r="J43" s="205"/>
      <c r="K43" s="162"/>
      <c r="L43" s="205"/>
      <c r="M43" s="205"/>
      <c r="N43" s="211"/>
    </row>
    <row r="44" spans="2:16" x14ac:dyDescent="0.3">
      <c r="B44" s="205"/>
      <c r="C44" s="215" t="s">
        <v>227</v>
      </c>
      <c r="D44" s="387" t="s">
        <v>217</v>
      </c>
      <c r="E44" s="387"/>
      <c r="F44" s="208"/>
      <c r="G44" s="205"/>
      <c r="H44" s="216"/>
      <c r="I44" s="217"/>
      <c r="J44" s="218"/>
      <c r="K44" s="217"/>
      <c r="L44" s="217"/>
      <c r="M44" s="217"/>
      <c r="N44" s="219"/>
      <c r="O44" s="205"/>
    </row>
    <row r="45" spans="2:16" x14ac:dyDescent="0.3">
      <c r="B45" s="205"/>
      <c r="C45" s="208"/>
      <c r="D45" s="208"/>
      <c r="E45" s="208"/>
      <c r="F45" s="205"/>
      <c r="G45" s="205"/>
      <c r="H45" s="220"/>
      <c r="I45" s="205"/>
      <c r="J45" s="162"/>
      <c r="K45" s="205"/>
      <c r="L45" s="205"/>
      <c r="M45" s="205"/>
      <c r="N45" s="221"/>
      <c r="O45" s="205"/>
    </row>
    <row r="46" spans="2:16" ht="26.4" x14ac:dyDescent="0.3">
      <c r="B46" s="205"/>
      <c r="C46" s="222" t="s">
        <v>228</v>
      </c>
      <c r="D46" s="222" t="s">
        <v>229</v>
      </c>
      <c r="E46" s="223" t="s">
        <v>134</v>
      </c>
      <c r="F46" s="223" t="s">
        <v>230</v>
      </c>
      <c r="G46" s="205"/>
      <c r="H46" s="224"/>
      <c r="I46" s="205"/>
      <c r="J46" s="205"/>
      <c r="K46" s="205"/>
      <c r="L46" s="205"/>
      <c r="M46" s="205"/>
      <c r="N46" s="221"/>
      <c r="O46" s="205"/>
    </row>
    <row r="47" spans="2:16" ht="15" x14ac:dyDescent="0.3">
      <c r="B47" s="205"/>
      <c r="C47" s="223" t="s">
        <v>231</v>
      </c>
      <c r="D47" s="223" t="s">
        <v>232</v>
      </c>
      <c r="E47" s="223" t="s">
        <v>210</v>
      </c>
      <c r="F47" s="223" t="s">
        <v>233</v>
      </c>
      <c r="G47" s="205"/>
      <c r="H47" s="220"/>
      <c r="I47" s="205"/>
      <c r="J47" s="205"/>
      <c r="K47" s="205"/>
      <c r="N47" s="221"/>
      <c r="O47" s="205"/>
    </row>
    <row r="48" spans="2:16" x14ac:dyDescent="0.3">
      <c r="B48" s="205"/>
      <c r="C48" s="225">
        <v>150</v>
      </c>
      <c r="D48" s="198">
        <f>VLOOKUP(D44,B22:E36,4,FALSE)</f>
        <v>0</v>
      </c>
      <c r="E48" s="226" t="e" cm="1">
        <f t="array" ref="E48">IF(D48&lt;D59,Restrictie,IF(D48&gt;D79,Restrictie,1+TAN((D48-$D$69)/$C$51)*$C$50))</f>
        <v>#NAME?</v>
      </c>
      <c r="F48" s="227">
        <f>IF(OR(D48&gt;D79,D48&lt;D59),IF(D48&lt;D59,F58,IF(D48&gt;D79,F80)),ROUND((E48-1),3))</f>
        <v>-0.1</v>
      </c>
      <c r="G48" s="228"/>
      <c r="H48" s="220"/>
      <c r="I48" s="205"/>
      <c r="J48" s="205"/>
      <c r="K48" s="205"/>
      <c r="L48" s="205"/>
      <c r="M48" s="205"/>
      <c r="N48" s="221"/>
      <c r="O48" s="229" t="s">
        <v>134</v>
      </c>
    </row>
    <row r="49" spans="2:15" x14ac:dyDescent="0.3">
      <c r="B49" s="205"/>
      <c r="C49" s="208"/>
      <c r="D49" s="208"/>
      <c r="E49" s="208"/>
      <c r="F49" s="205"/>
      <c r="G49" s="228" t="s">
        <v>134</v>
      </c>
      <c r="H49" s="224"/>
      <c r="I49" s="205"/>
      <c r="J49" s="162"/>
      <c r="K49" s="205"/>
      <c r="L49" s="205"/>
      <c r="M49" s="205"/>
      <c r="N49" s="221"/>
      <c r="O49" s="205"/>
    </row>
    <row r="50" spans="2:15" ht="15" x14ac:dyDescent="0.3">
      <c r="B50" s="205"/>
      <c r="C50" s="230">
        <v>0.03</v>
      </c>
      <c r="D50" s="231" t="s">
        <v>234</v>
      </c>
      <c r="E50" s="232"/>
      <c r="F50" s="232"/>
      <c r="G50" s="228"/>
      <c r="H50" s="233" t="s">
        <v>235</v>
      </c>
      <c r="I50" s="234"/>
      <c r="J50" s="235"/>
      <c r="K50" s="234"/>
      <c r="L50" s="234"/>
      <c r="M50" s="234"/>
      <c r="N50" s="236"/>
      <c r="O50" s="205"/>
    </row>
    <row r="51" spans="2:15" ht="15" x14ac:dyDescent="0.3">
      <c r="B51" s="205"/>
      <c r="C51" s="230">
        <v>39.1</v>
      </c>
      <c r="D51" s="231" t="s">
        <v>236</v>
      </c>
      <c r="E51" s="232"/>
      <c r="F51" s="232"/>
      <c r="G51" s="228"/>
      <c r="H51" s="237" t="s">
        <v>237</v>
      </c>
      <c r="I51" s="238"/>
      <c r="J51" s="239"/>
      <c r="K51" s="238"/>
      <c r="L51" s="238"/>
      <c r="M51" s="238"/>
      <c r="N51" s="240"/>
      <c r="O51" s="205"/>
    </row>
    <row r="52" spans="2:15" x14ac:dyDescent="0.3">
      <c r="B52" s="205"/>
      <c r="C52" s="241">
        <v>50</v>
      </c>
      <c r="D52" s="231" t="s">
        <v>238</v>
      </c>
      <c r="E52" s="232"/>
      <c r="F52" s="232"/>
      <c r="G52" s="228"/>
      <c r="H52" s="242"/>
      <c r="I52" s="234"/>
      <c r="J52" s="235"/>
      <c r="K52" s="234"/>
      <c r="L52" s="234"/>
      <c r="M52" s="243"/>
      <c r="O52" s="205"/>
    </row>
    <row r="53" spans="2:15" x14ac:dyDescent="0.3">
      <c r="B53" s="205"/>
      <c r="C53" s="208"/>
      <c r="D53" s="208"/>
      <c r="E53" s="208"/>
      <c r="F53" s="205"/>
      <c r="G53" s="228"/>
      <c r="H53" s="244"/>
      <c r="I53" s="205"/>
      <c r="J53" s="162"/>
      <c r="K53" s="205"/>
      <c r="L53" s="205"/>
      <c r="M53" s="205"/>
      <c r="N53" s="205"/>
      <c r="O53" s="205"/>
    </row>
    <row r="54" spans="2:15" x14ac:dyDescent="0.3">
      <c r="B54" s="205"/>
      <c r="C54" s="245"/>
      <c r="D54" s="246"/>
      <c r="E54" s="247" t="s">
        <v>134</v>
      </c>
      <c r="F54" s="248" t="s">
        <v>230</v>
      </c>
      <c r="G54" s="228"/>
      <c r="H54" s="249" t="str">
        <f>"Grafiek fictieve bonus/malus voor functie: " &amp;D45</f>
        <v xml:space="preserve">Grafiek fictieve bonus/malus voor functie: </v>
      </c>
      <c r="I54" s="250"/>
      <c r="J54" s="250"/>
      <c r="K54" s="250"/>
      <c r="L54" s="232"/>
      <c r="M54" s="232"/>
      <c r="N54" s="232"/>
      <c r="O54" s="205"/>
    </row>
    <row r="55" spans="2:15" x14ac:dyDescent="0.3">
      <c r="B55" s="205"/>
      <c r="C55" s="251"/>
      <c r="D55" s="252" t="s">
        <v>134</v>
      </c>
      <c r="E55" s="223" t="s">
        <v>134</v>
      </c>
      <c r="F55" s="253" t="s">
        <v>233</v>
      </c>
      <c r="G55" s="205"/>
      <c r="H55" s="254" t="str">
        <f>"Bij een referentietarief van € "&amp;C48&amp;",00"</f>
        <v>Bij een referentietarief van € 150,00</v>
      </c>
      <c r="I55" s="232"/>
      <c r="J55" s="232"/>
      <c r="K55" s="232"/>
      <c r="L55" s="232"/>
      <c r="M55" s="232"/>
      <c r="N55" s="232"/>
      <c r="O55" s="205"/>
    </row>
    <row r="56" spans="2:15" x14ac:dyDescent="0.3">
      <c r="B56" s="205"/>
      <c r="C56" s="251"/>
      <c r="D56" s="252"/>
      <c r="E56" s="223"/>
      <c r="F56" s="255" t="s">
        <v>239</v>
      </c>
      <c r="G56" s="205"/>
      <c r="H56" s="249" t="s">
        <v>134</v>
      </c>
      <c r="I56" s="232"/>
      <c r="J56" s="232"/>
      <c r="K56" s="232"/>
      <c r="L56" s="232"/>
      <c r="M56" s="232"/>
      <c r="N56" s="232"/>
      <c r="O56" s="205"/>
    </row>
    <row r="57" spans="2:15" x14ac:dyDescent="0.3">
      <c r="B57" s="205"/>
      <c r="C57" s="251"/>
      <c r="D57" s="252" t="s">
        <v>240</v>
      </c>
      <c r="E57" s="223" t="s">
        <v>210</v>
      </c>
      <c r="F57" s="255" t="s">
        <v>241</v>
      </c>
      <c r="G57" s="205"/>
      <c r="H57" s="256" t="str">
        <f>IF(ABS(C48-D48)&gt;Spreiding,"Uw tarief wordt niet weergegeven in grafiek!","")</f>
        <v>Uw tarief wordt niet weergegeven in grafiek!</v>
      </c>
      <c r="I57" s="232"/>
      <c r="J57" s="232"/>
      <c r="K57" s="232"/>
      <c r="L57" s="232"/>
      <c r="M57" s="232"/>
      <c r="N57" s="232"/>
      <c r="O57" s="205"/>
    </row>
    <row r="58" spans="2:15" x14ac:dyDescent="0.3">
      <c r="B58" s="205"/>
      <c r="C58" s="251"/>
      <c r="D58" s="257" t="str">
        <f xml:space="preserve"> "&lt;  € "&amp;D59 &amp; ",00"</f>
        <v>&lt;  € 100,00</v>
      </c>
      <c r="E58" s="258" t="s">
        <v>242</v>
      </c>
      <c r="F58" s="227">
        <f>+F59</f>
        <v>-0.1</v>
      </c>
      <c r="G58" s="205"/>
      <c r="H58" s="205"/>
      <c r="I58" s="205"/>
      <c r="J58" s="205"/>
      <c r="K58" s="205"/>
      <c r="L58" s="205"/>
      <c r="M58" s="205"/>
      <c r="N58" s="205"/>
      <c r="O58" s="205"/>
    </row>
    <row r="59" spans="2:15" x14ac:dyDescent="0.3">
      <c r="B59" s="205"/>
      <c r="C59" s="259" t="s">
        <v>243</v>
      </c>
      <c r="D59" s="260">
        <f>+D69-C52</f>
        <v>100</v>
      </c>
      <c r="E59" s="261">
        <f>1+TAN((D59-D69)/C51)*C50</f>
        <v>0.90020567706776478</v>
      </c>
      <c r="F59" s="227">
        <f t="shared" ref="F59:F79" si="0">ROUND((E59-1),3)</f>
        <v>-0.1</v>
      </c>
      <c r="G59" s="205"/>
      <c r="H59" s="205"/>
      <c r="I59" s="205"/>
      <c r="J59" s="205"/>
      <c r="K59" s="205"/>
      <c r="L59" s="205"/>
      <c r="M59" s="205"/>
      <c r="N59" s="205"/>
      <c r="O59" s="205"/>
    </row>
    <row r="60" spans="2:15" x14ac:dyDescent="0.3">
      <c r="B60" s="205"/>
      <c r="C60" s="251"/>
      <c r="D60" s="262">
        <f t="shared" ref="D60:D68" si="1">D59+($D$69-$D$59)/10</f>
        <v>105</v>
      </c>
      <c r="E60" s="261">
        <f>1+TAN((D60-D69)/C51)*C50</f>
        <v>0.93280383223302821</v>
      </c>
      <c r="F60" s="227">
        <f t="shared" si="0"/>
        <v>-6.7000000000000004E-2</v>
      </c>
      <c r="G60" s="205"/>
      <c r="H60" s="205"/>
      <c r="I60" s="205"/>
      <c r="J60" s="205"/>
      <c r="K60" s="205"/>
      <c r="L60" s="205"/>
      <c r="M60" s="205"/>
      <c r="N60" s="205"/>
      <c r="O60" s="205"/>
    </row>
    <row r="61" spans="2:15" x14ac:dyDescent="0.3">
      <c r="B61" s="205"/>
      <c r="C61" s="251"/>
      <c r="D61" s="262">
        <f t="shared" si="1"/>
        <v>110</v>
      </c>
      <c r="E61" s="261">
        <f>1+TAN((D61-D69)/C51)*C50</f>
        <v>0.95082392094119017</v>
      </c>
      <c r="F61" s="227">
        <f t="shared" si="0"/>
        <v>-4.9000000000000002E-2</v>
      </c>
      <c r="G61" s="205"/>
      <c r="H61" s="205"/>
      <c r="I61" s="205"/>
      <c r="J61" s="205"/>
      <c r="K61" s="205"/>
      <c r="L61" s="205"/>
      <c r="M61" s="205"/>
      <c r="N61" s="205"/>
      <c r="O61" s="205"/>
    </row>
    <row r="62" spans="2:15" x14ac:dyDescent="0.3">
      <c r="B62" s="205"/>
      <c r="C62" s="251"/>
      <c r="D62" s="262">
        <f t="shared" si="1"/>
        <v>115</v>
      </c>
      <c r="E62" s="261">
        <f>1+TAN((D62-D69)/C51)*C50</f>
        <v>0.96257023877860093</v>
      </c>
      <c r="F62" s="227">
        <f t="shared" si="0"/>
        <v>-3.6999999999999998E-2</v>
      </c>
      <c r="G62" s="205"/>
      <c r="H62" s="205"/>
      <c r="I62" s="205"/>
      <c r="J62" s="205"/>
      <c r="K62" s="205"/>
      <c r="L62" s="205"/>
      <c r="M62" s="205"/>
      <c r="N62" s="205"/>
      <c r="O62" s="205"/>
    </row>
    <row r="63" spans="2:15" x14ac:dyDescent="0.3">
      <c r="B63" s="205"/>
      <c r="C63" s="251"/>
      <c r="D63" s="262">
        <f t="shared" si="1"/>
        <v>120</v>
      </c>
      <c r="E63" s="261">
        <f>1+TAN((D63-D69)/C51)*C50</f>
        <v>0.97106881860328831</v>
      </c>
      <c r="F63" s="227">
        <f t="shared" si="0"/>
        <v>-2.9000000000000001E-2</v>
      </c>
      <c r="G63" s="205"/>
      <c r="H63" s="205"/>
      <c r="I63" s="205"/>
      <c r="J63" s="205"/>
      <c r="K63" s="205"/>
      <c r="L63" s="205"/>
      <c r="M63" s="205"/>
      <c r="N63" s="205"/>
      <c r="O63" s="205"/>
    </row>
    <row r="64" spans="2:15" x14ac:dyDescent="0.3">
      <c r="B64" s="205"/>
      <c r="C64" s="251"/>
      <c r="D64" s="262">
        <f t="shared" si="1"/>
        <v>125</v>
      </c>
      <c r="E64" s="261">
        <f>1+TAN((D64-D69)/C51)*C50</f>
        <v>0.97769229448131101</v>
      </c>
      <c r="F64" s="227">
        <f t="shared" si="0"/>
        <v>-2.1999999999999999E-2</v>
      </c>
      <c r="G64" s="205"/>
      <c r="H64" s="205"/>
      <c r="I64" s="205"/>
      <c r="J64" s="205"/>
      <c r="K64" s="205"/>
      <c r="L64" s="205"/>
      <c r="M64" s="205"/>
      <c r="N64" s="205"/>
      <c r="O64" s="205"/>
    </row>
    <row r="65" spans="2:15" x14ac:dyDescent="0.3">
      <c r="B65" s="205"/>
      <c r="C65" s="251"/>
      <c r="D65" s="262">
        <f t="shared" si="1"/>
        <v>130</v>
      </c>
      <c r="E65" s="261">
        <f>1+TAN((D65-D69)/C51)*C50</f>
        <v>0.9831597560175398</v>
      </c>
      <c r="F65" s="227">
        <f t="shared" si="0"/>
        <v>-1.7000000000000001E-2</v>
      </c>
      <c r="G65" s="205"/>
      <c r="H65" s="205"/>
      <c r="I65" s="205"/>
      <c r="J65" s="205"/>
      <c r="K65" s="205"/>
      <c r="L65" s="205"/>
      <c r="M65" s="205"/>
      <c r="N65" s="205"/>
      <c r="O65" s="205"/>
    </row>
    <row r="66" spans="2:15" x14ac:dyDescent="0.3">
      <c r="B66" s="205"/>
      <c r="C66" s="251"/>
      <c r="D66" s="262">
        <f t="shared" si="1"/>
        <v>135</v>
      </c>
      <c r="E66" s="261">
        <f>1+TAN((D66-D69)/C51)*C50</f>
        <v>0.98789110179982842</v>
      </c>
      <c r="F66" s="227">
        <f t="shared" si="0"/>
        <v>-1.2E-2</v>
      </c>
      <c r="G66" s="205"/>
      <c r="H66" s="205"/>
      <c r="I66" s="205"/>
      <c r="J66" s="205"/>
      <c r="K66" s="205"/>
      <c r="L66" s="205"/>
      <c r="M66" s="205"/>
      <c r="N66" s="205"/>
      <c r="O66" s="205"/>
    </row>
    <row r="67" spans="2:15" x14ac:dyDescent="0.3">
      <c r="B67" s="205"/>
      <c r="C67" s="251"/>
      <c r="D67" s="262">
        <f t="shared" si="1"/>
        <v>140</v>
      </c>
      <c r="E67" s="261">
        <f>1+TAN((D67-D69)/C51)*C50</f>
        <v>0.9921555797909728</v>
      </c>
      <c r="F67" s="227">
        <f t="shared" si="0"/>
        <v>-8.0000000000000002E-3</v>
      </c>
      <c r="G67" s="205"/>
      <c r="H67" s="205"/>
      <c r="I67" s="205"/>
      <c r="J67" s="205"/>
      <c r="K67" s="205"/>
      <c r="L67" s="205"/>
      <c r="M67" s="205"/>
      <c r="N67" s="205"/>
      <c r="O67" s="205"/>
    </row>
    <row r="68" spans="2:15" x14ac:dyDescent="0.3">
      <c r="B68" s="205"/>
      <c r="C68" s="251"/>
      <c r="D68" s="262">
        <f t="shared" si="1"/>
        <v>145</v>
      </c>
      <c r="E68" s="261">
        <f>1+TAN((D68-D69)/C51)*C50</f>
        <v>0.99614263393412605</v>
      </c>
      <c r="F68" s="227">
        <f t="shared" si="0"/>
        <v>-4.0000000000000001E-3</v>
      </c>
      <c r="G68" s="205"/>
      <c r="H68" s="205"/>
      <c r="I68" s="205"/>
      <c r="J68" s="205"/>
      <c r="K68" s="205"/>
      <c r="L68" s="205"/>
      <c r="M68" s="205"/>
      <c r="N68" s="205"/>
      <c r="O68" s="205"/>
    </row>
    <row r="69" spans="2:15" x14ac:dyDescent="0.3">
      <c r="B69" s="205"/>
      <c r="C69" s="259" t="s">
        <v>244</v>
      </c>
      <c r="D69" s="263">
        <v>150</v>
      </c>
      <c r="E69" s="261">
        <f>1+TAN((D69-D69)/C51)*C50</f>
        <v>1</v>
      </c>
      <c r="F69" s="227">
        <f t="shared" si="0"/>
        <v>0</v>
      </c>
      <c r="G69" s="205"/>
      <c r="H69" s="205"/>
      <c r="I69" s="205"/>
      <c r="J69" s="205"/>
      <c r="K69" s="205"/>
      <c r="L69" s="205"/>
      <c r="M69" s="205"/>
      <c r="N69" s="205"/>
      <c r="O69" s="205"/>
    </row>
    <row r="70" spans="2:15" x14ac:dyDescent="0.3">
      <c r="B70" s="205"/>
      <c r="C70" s="251"/>
      <c r="D70" s="262">
        <f t="shared" ref="D70:D78" si="2">D69+($D$79-$D$69)/10</f>
        <v>155</v>
      </c>
      <c r="E70" s="261">
        <f>1+TAN((D70-D69)/C51)*C50</f>
        <v>1.0038573660658741</v>
      </c>
      <c r="F70" s="227">
        <f t="shared" si="0"/>
        <v>4.0000000000000001E-3</v>
      </c>
      <c r="G70" s="205"/>
      <c r="H70" s="205"/>
      <c r="I70" s="205"/>
      <c r="J70" s="205"/>
      <c r="K70" s="205"/>
      <c r="L70" s="205"/>
      <c r="M70" s="205"/>
      <c r="N70" s="205"/>
      <c r="O70" s="205"/>
    </row>
    <row r="71" spans="2:15" x14ac:dyDescent="0.3">
      <c r="B71" s="205"/>
      <c r="C71" s="251"/>
      <c r="D71" s="262">
        <f t="shared" si="2"/>
        <v>160</v>
      </c>
      <c r="E71" s="261">
        <f>1+TAN((D71-D69)/C51)*C50</f>
        <v>1.0078444202090271</v>
      </c>
      <c r="F71" s="227">
        <f t="shared" si="0"/>
        <v>8.0000000000000002E-3</v>
      </c>
      <c r="G71" s="205"/>
      <c r="H71" s="205"/>
      <c r="I71" s="205"/>
      <c r="J71" s="205"/>
      <c r="K71" s="205"/>
      <c r="L71" s="205"/>
      <c r="M71" s="205"/>
      <c r="N71" s="205"/>
      <c r="O71" s="205"/>
    </row>
    <row r="72" spans="2:15" x14ac:dyDescent="0.3">
      <c r="B72" s="205"/>
      <c r="C72" s="251"/>
      <c r="D72" s="262">
        <f t="shared" si="2"/>
        <v>165</v>
      </c>
      <c r="E72" s="261">
        <f>1+TAN((D72-D69)/C51)*C50</f>
        <v>1.0121088982001716</v>
      </c>
      <c r="F72" s="227">
        <f t="shared" si="0"/>
        <v>1.2E-2</v>
      </c>
      <c r="G72" s="205"/>
      <c r="H72" s="205"/>
      <c r="I72" s="205"/>
      <c r="J72" s="205"/>
      <c r="K72" s="205"/>
      <c r="L72" s="205"/>
      <c r="M72" s="205"/>
      <c r="N72" s="205"/>
      <c r="O72" s="205"/>
    </row>
    <row r="73" spans="2:15" x14ac:dyDescent="0.3">
      <c r="B73" s="205"/>
      <c r="C73" s="251"/>
      <c r="D73" s="262">
        <f t="shared" si="2"/>
        <v>170</v>
      </c>
      <c r="E73" s="261">
        <f>1+TAN((D73-D69)/C51)*C50</f>
        <v>1.0168402439824602</v>
      </c>
      <c r="F73" s="227">
        <f t="shared" si="0"/>
        <v>1.7000000000000001E-2</v>
      </c>
      <c r="G73" s="205"/>
      <c r="H73" s="205"/>
      <c r="I73" s="205"/>
      <c r="J73" s="205"/>
      <c r="K73" s="205"/>
      <c r="L73" s="205"/>
      <c r="M73" s="205"/>
      <c r="N73" s="205"/>
      <c r="O73" s="205"/>
    </row>
    <row r="74" spans="2:15" x14ac:dyDescent="0.3">
      <c r="B74" s="205"/>
      <c r="C74" s="251"/>
      <c r="D74" s="262">
        <f t="shared" si="2"/>
        <v>175</v>
      </c>
      <c r="E74" s="261">
        <f>1+TAN((D74-D69)/C51)*C50</f>
        <v>1.0223077055186891</v>
      </c>
      <c r="F74" s="227">
        <f t="shared" si="0"/>
        <v>2.1999999999999999E-2</v>
      </c>
      <c r="G74" s="205"/>
      <c r="H74" s="205"/>
      <c r="I74" s="205"/>
      <c r="J74" s="205"/>
      <c r="K74" s="205"/>
      <c r="L74" s="205"/>
      <c r="M74" s="205"/>
      <c r="N74" s="205"/>
      <c r="O74" s="205"/>
    </row>
    <row r="75" spans="2:15" x14ac:dyDescent="0.3">
      <c r="B75" s="205"/>
      <c r="C75" s="251"/>
      <c r="D75" s="262">
        <f t="shared" si="2"/>
        <v>180</v>
      </c>
      <c r="E75" s="261">
        <f>1+TAN((D75-D69)/C51)*C50</f>
        <v>1.0289311813967117</v>
      </c>
      <c r="F75" s="227">
        <f t="shared" si="0"/>
        <v>2.9000000000000001E-2</v>
      </c>
      <c r="G75" s="205"/>
      <c r="H75" s="205"/>
      <c r="I75" s="205"/>
      <c r="J75" s="205"/>
      <c r="K75" s="205"/>
      <c r="L75" s="205"/>
      <c r="M75" s="205"/>
      <c r="N75" s="205"/>
      <c r="O75" s="205"/>
    </row>
    <row r="76" spans="2:15" x14ac:dyDescent="0.3">
      <c r="B76" s="205"/>
      <c r="C76" s="251"/>
      <c r="D76" s="262">
        <f t="shared" si="2"/>
        <v>185</v>
      </c>
      <c r="E76" s="261">
        <f>1+TAN((D76-D69)/C51)*C50</f>
        <v>1.037429761221399</v>
      </c>
      <c r="F76" s="227">
        <f t="shared" si="0"/>
        <v>3.6999999999999998E-2</v>
      </c>
      <c r="G76" s="205"/>
      <c r="H76" s="205"/>
      <c r="I76" s="205"/>
      <c r="J76" s="205"/>
      <c r="K76" s="205"/>
      <c r="L76" s="205"/>
      <c r="M76" s="205"/>
      <c r="N76" s="205"/>
      <c r="O76" s="205"/>
    </row>
    <row r="77" spans="2:15" x14ac:dyDescent="0.3">
      <c r="B77" s="205"/>
      <c r="C77" s="251"/>
      <c r="D77" s="262">
        <f t="shared" si="2"/>
        <v>190</v>
      </c>
      <c r="E77" s="261">
        <f>1+TAN((D77-D69)/C51)*C50</f>
        <v>1.0491760790588098</v>
      </c>
      <c r="F77" s="227">
        <f t="shared" si="0"/>
        <v>4.9000000000000002E-2</v>
      </c>
      <c r="G77" s="205"/>
      <c r="H77" s="205"/>
      <c r="I77" s="205"/>
      <c r="J77" s="205"/>
      <c r="K77" s="205"/>
      <c r="L77" s="205"/>
      <c r="M77" s="205"/>
      <c r="N77" s="205"/>
      <c r="O77" s="205"/>
    </row>
    <row r="78" spans="2:15" x14ac:dyDescent="0.3">
      <c r="B78" s="205"/>
      <c r="C78" s="251"/>
      <c r="D78" s="262">
        <f t="shared" si="2"/>
        <v>195</v>
      </c>
      <c r="E78" s="261">
        <f>1+TAN((D78-D69)/C51)*C50</f>
        <v>1.0671961677669717</v>
      </c>
      <c r="F78" s="227">
        <f t="shared" si="0"/>
        <v>6.7000000000000004E-2</v>
      </c>
      <c r="G78" s="205"/>
      <c r="H78" s="205"/>
      <c r="I78" s="205"/>
      <c r="J78" s="205"/>
      <c r="K78" s="205"/>
      <c r="L78" s="205"/>
      <c r="M78" s="205"/>
      <c r="N78" s="205"/>
      <c r="O78" s="205"/>
    </row>
    <row r="79" spans="2:15" x14ac:dyDescent="0.3">
      <c r="B79" s="205"/>
      <c r="C79" s="259" t="s">
        <v>245</v>
      </c>
      <c r="D79" s="260">
        <f>+D69+C52</f>
        <v>200</v>
      </c>
      <c r="E79" s="261">
        <f>1+TAN((D79-D69)/C51)*C50</f>
        <v>1.0997943229322351</v>
      </c>
      <c r="F79" s="227">
        <f t="shared" si="0"/>
        <v>0.1</v>
      </c>
      <c r="G79" s="205"/>
      <c r="H79" s="205"/>
      <c r="I79" s="205"/>
      <c r="J79" s="205"/>
      <c r="K79" s="205"/>
      <c r="L79" s="205"/>
      <c r="M79" s="205"/>
      <c r="N79" s="205"/>
      <c r="O79" s="205"/>
    </row>
    <row r="80" spans="2:15" x14ac:dyDescent="0.3">
      <c r="B80" s="205"/>
      <c r="C80" s="264"/>
      <c r="D80" s="257" t="str">
        <f xml:space="preserve"> "&gt;  € "&amp;D79 &amp; ",00"</f>
        <v>&gt;  € 200,00</v>
      </c>
      <c r="E80" s="258" t="s">
        <v>242</v>
      </c>
      <c r="F80" s="265">
        <f>+F79</f>
        <v>0.1</v>
      </c>
      <c r="G80" s="205"/>
      <c r="H80" s="205"/>
      <c r="I80" s="205"/>
      <c r="J80" s="205"/>
      <c r="K80" s="205"/>
      <c r="L80" s="205"/>
      <c r="M80" s="205"/>
      <c r="N80" s="205"/>
      <c r="O80" s="205"/>
    </row>
    <row r="81" spans="2:15" x14ac:dyDescent="0.3">
      <c r="B81" s="205"/>
      <c r="C81" s="205"/>
      <c r="D81" s="205"/>
      <c r="E81" s="205"/>
      <c r="F81" s="205"/>
      <c r="G81" s="205"/>
      <c r="H81" s="205"/>
      <c r="I81" s="205"/>
      <c r="J81" s="205"/>
      <c r="K81" s="205"/>
      <c r="L81" s="205"/>
      <c r="M81" s="205"/>
      <c r="N81" s="205"/>
      <c r="O81" s="205"/>
    </row>
    <row r="82" spans="2:15" x14ac:dyDescent="0.3"/>
    <row r="83" spans="2:15" x14ac:dyDescent="0.3"/>
    <row r="84" spans="2:15" x14ac:dyDescent="0.3"/>
    <row r="85" spans="2:15" x14ac:dyDescent="0.3"/>
  </sheetData>
  <sheetProtection algorithmName="SHA-512" hashValue="xw9I/qlxVymeK4iscHcITsCwdktGXoyeqG+XnpBEXjv3ksxpjbsmcsxUQ60PXxFofJ+ZvVopofGeEIfBH9mLbw==" saltValue="8OYQxXJBo1u6FqTsxdq3AA==" spinCount="100000" sheet="1" objects="1" scenarios="1"/>
  <mergeCells count="1">
    <mergeCell ref="D44:E44"/>
  </mergeCells>
  <conditionalFormatting sqref="D48">
    <cfRule type="expression" dxfId="10" priority="3">
      <formula>ISERROR($D$48)</formula>
    </cfRule>
  </conditionalFormatting>
  <conditionalFormatting sqref="E48">
    <cfRule type="expression" dxfId="9" priority="2">
      <formula>ISERROR($E$48)</formula>
    </cfRule>
  </conditionalFormatting>
  <conditionalFormatting sqref="F48">
    <cfRule type="expression" dxfId="8" priority="1">
      <formula>ISERROR($F$48)</formula>
    </cfRule>
  </conditionalFormatting>
  <dataValidations count="2">
    <dataValidation type="list" allowBlank="1" showInputMessage="1" showErrorMessage="1" sqref="D44:E44" xr:uid="{CE13B751-2815-4560-A9A0-E569FE4D790F}">
      <formula1>"Categorie Run the business,Categorie Change the business,Tactisch en strategisch,Projectleiding en Agile werken"</formula1>
    </dataValidation>
    <dataValidation type="decimal" operator="lessThanOrEqual" allowBlank="1" showInputMessage="1" showErrorMessage="1" errorTitle="Onjuiste invoer" error="Het uurtrafief is gemaximeed op € 200,-" sqref="E22 E26 E30 E34" xr:uid="{39AA0E01-E806-4EB7-8197-6DDAEF2D7046}">
      <formula1>200</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7A223-929E-4607-88B4-DA8F490CAB7B}">
  <dimension ref="A1:V48"/>
  <sheetViews>
    <sheetView showGridLines="0" topLeftCell="A5" workbookViewId="0">
      <selection activeCell="G18" sqref="G18"/>
    </sheetView>
  </sheetViews>
  <sheetFormatPr defaultColWidth="0" defaultRowHeight="14.4" x14ac:dyDescent="0.3"/>
  <cols>
    <col min="1" max="1" width="3.6640625" customWidth="1"/>
    <col min="2" max="2" width="42.6640625" bestFit="1" customWidth="1"/>
    <col min="3" max="5" width="9.33203125" customWidth="1"/>
    <col min="6" max="6" width="13.33203125" customWidth="1"/>
    <col min="7" max="7" width="12.44140625" bestFit="1" customWidth="1"/>
    <col min="8" max="8" width="15.5546875" customWidth="1"/>
    <col min="9" max="12" width="14.33203125" bestFit="1" customWidth="1"/>
    <col min="13" max="13" width="15.6640625" customWidth="1"/>
    <col min="14" max="14" width="1.6640625" customWidth="1"/>
    <col min="15" max="15" width="15.33203125" bestFit="1" customWidth="1"/>
    <col min="16" max="16" width="3.6640625" customWidth="1"/>
    <col min="17" max="19" width="9.33203125" hidden="1" customWidth="1"/>
    <col min="20" max="22" width="96.33203125" hidden="1" customWidth="1"/>
    <col min="23" max="16384" width="9.33203125" hidden="1"/>
  </cols>
  <sheetData>
    <row r="1" spans="1:20" ht="7.95" customHeight="1" x14ac:dyDescent="0.3">
      <c r="A1" s="137"/>
      <c r="B1" s="137"/>
      <c r="C1" s="137"/>
      <c r="D1" s="137"/>
      <c r="E1" s="137"/>
      <c r="F1" s="137"/>
      <c r="G1" s="137"/>
      <c r="H1" s="137"/>
      <c r="I1" s="137"/>
      <c r="J1" s="137"/>
      <c r="K1" s="137"/>
      <c r="L1" s="137"/>
      <c r="M1" s="137"/>
      <c r="N1" s="137"/>
      <c r="O1" s="137"/>
      <c r="P1" s="138"/>
      <c r="Q1" s="138"/>
      <c r="R1" s="138"/>
      <c r="S1" s="138"/>
      <c r="T1" s="138"/>
    </row>
    <row r="2" spans="1:20" ht="23.4" x14ac:dyDescent="0.3">
      <c r="A2" s="137"/>
      <c r="B2" s="6" t="s">
        <v>0</v>
      </c>
      <c r="C2" s="6"/>
      <c r="D2" s="6"/>
      <c r="E2" s="6"/>
      <c r="F2" s="6"/>
      <c r="G2" s="12"/>
      <c r="H2" s="12"/>
      <c r="I2" s="12"/>
      <c r="J2" s="7"/>
      <c r="K2" s="45"/>
      <c r="L2" s="7"/>
      <c r="M2" s="7"/>
      <c r="N2" s="7"/>
      <c r="O2" s="7"/>
      <c r="P2" s="138"/>
      <c r="Q2" s="138"/>
      <c r="R2" s="138"/>
      <c r="S2" s="138"/>
      <c r="T2" s="138"/>
    </row>
    <row r="3" spans="1:20" ht="23.4" x14ac:dyDescent="0.35">
      <c r="A3" s="139"/>
      <c r="B3" s="8" t="s">
        <v>1</v>
      </c>
      <c r="C3" s="8"/>
      <c r="D3" s="8"/>
      <c r="E3" s="8"/>
      <c r="F3" s="8"/>
      <c r="G3" s="12"/>
      <c r="H3" s="12"/>
      <c r="I3" s="12"/>
      <c r="J3" s="7"/>
      <c r="K3" s="45"/>
      <c r="L3" s="7"/>
      <c r="M3" s="7"/>
      <c r="N3" s="7"/>
      <c r="O3" s="7"/>
      <c r="P3" s="138"/>
      <c r="Q3" s="138"/>
      <c r="R3" s="138"/>
      <c r="S3" s="140"/>
      <c r="T3" s="140"/>
    </row>
    <row r="4" spans="1:20" ht="21" x14ac:dyDescent="0.3">
      <c r="A4" s="137"/>
      <c r="B4" s="9" t="s">
        <v>246</v>
      </c>
      <c r="C4" s="9"/>
      <c r="D4" s="9"/>
      <c r="E4" s="9"/>
      <c r="F4" s="9"/>
      <c r="G4" s="12"/>
      <c r="H4" s="12"/>
      <c r="I4" s="10"/>
      <c r="J4" s="10"/>
      <c r="K4" s="10"/>
      <c r="L4" s="10"/>
      <c r="M4" s="10"/>
      <c r="N4" s="10"/>
      <c r="O4" s="10"/>
      <c r="P4" s="138"/>
      <c r="Q4" s="138"/>
      <c r="R4" s="138"/>
      <c r="S4" s="138"/>
      <c r="T4" s="138"/>
    </row>
    <row r="5" spans="1:20" ht="21" x14ac:dyDescent="0.3">
      <c r="A5" s="137"/>
      <c r="B5" s="11" t="s">
        <v>3</v>
      </c>
      <c r="C5" s="9"/>
      <c r="D5" s="12"/>
      <c r="E5" s="12"/>
      <c r="F5" s="12"/>
      <c r="G5" s="99" t="s">
        <v>25</v>
      </c>
      <c r="H5" s="12"/>
      <c r="I5" s="12"/>
      <c r="J5" s="10"/>
      <c r="K5" s="10"/>
      <c r="L5" s="10"/>
      <c r="M5" s="10"/>
      <c r="N5" s="10"/>
      <c r="O5" s="10"/>
      <c r="P5" s="138"/>
      <c r="Q5" s="138"/>
      <c r="R5" s="138"/>
      <c r="S5" s="138"/>
      <c r="T5" s="138"/>
    </row>
    <row r="6" spans="1:20" x14ac:dyDescent="0.3">
      <c r="A6" s="137"/>
      <c r="B6" s="12" t="s">
        <v>4</v>
      </c>
      <c r="C6" s="12"/>
      <c r="D6" s="12"/>
      <c r="E6" s="12"/>
      <c r="F6" s="12"/>
      <c r="G6" s="10"/>
      <c r="H6" s="10"/>
      <c r="I6" s="10"/>
      <c r="J6" s="10"/>
      <c r="K6" s="10"/>
      <c r="L6" s="10"/>
      <c r="M6" s="10"/>
      <c r="N6" s="10"/>
      <c r="O6" s="10"/>
      <c r="P6" s="138"/>
      <c r="Q6" s="138"/>
      <c r="R6" s="138"/>
      <c r="S6" s="138"/>
      <c r="T6" s="138"/>
    </row>
    <row r="7" spans="1:20" ht="15" thickBot="1" x14ac:dyDescent="0.35">
      <c r="B7" s="141"/>
      <c r="C7" s="141"/>
      <c r="D7" s="141"/>
      <c r="E7" s="141"/>
      <c r="F7" s="141"/>
      <c r="G7" s="141"/>
      <c r="H7" s="141"/>
      <c r="I7" s="142"/>
      <c r="J7" s="142"/>
      <c r="K7" s="142"/>
      <c r="L7" s="143"/>
      <c r="M7" s="143"/>
      <c r="N7" s="144"/>
      <c r="O7" s="145"/>
    </row>
    <row r="8" spans="1:20" x14ac:dyDescent="0.3">
      <c r="B8" s="146"/>
      <c r="C8" s="146"/>
      <c r="D8" s="146"/>
      <c r="E8" s="146"/>
      <c r="F8" s="146"/>
      <c r="G8" s="146"/>
      <c r="H8" s="146"/>
      <c r="I8" s="147"/>
      <c r="J8" s="147"/>
      <c r="K8" s="147"/>
      <c r="L8" s="148"/>
      <c r="M8" s="148"/>
      <c r="N8" s="149"/>
      <c r="O8" s="150"/>
    </row>
    <row r="9" spans="1:20" x14ac:dyDescent="0.3">
      <c r="B9" s="146"/>
      <c r="C9" s="146"/>
      <c r="D9" s="146"/>
      <c r="E9" s="146"/>
      <c r="F9" s="146"/>
      <c r="G9" s="146"/>
      <c r="H9" s="146"/>
      <c r="I9" s="147"/>
      <c r="J9" s="147"/>
      <c r="K9" s="147"/>
      <c r="L9" s="148"/>
      <c r="M9" s="148"/>
      <c r="N9" s="149"/>
      <c r="O9" s="150"/>
    </row>
    <row r="10" spans="1:20" x14ac:dyDescent="0.3">
      <c r="B10" s="146"/>
      <c r="C10" s="146"/>
      <c r="D10" s="146"/>
      <c r="E10" s="146"/>
      <c r="F10" s="146"/>
      <c r="G10" s="146"/>
      <c r="H10" s="146"/>
      <c r="I10" s="147"/>
      <c r="J10" s="147"/>
      <c r="K10" s="147"/>
      <c r="L10" s="148"/>
      <c r="M10" s="148"/>
      <c r="N10" s="149"/>
      <c r="O10" s="150"/>
    </row>
    <row r="11" spans="1:20" x14ac:dyDescent="0.3">
      <c r="B11" s="146"/>
      <c r="C11" s="146"/>
      <c r="D11" s="146"/>
      <c r="E11" s="146"/>
      <c r="F11" s="146"/>
      <c r="G11" s="146"/>
      <c r="H11" s="146"/>
      <c r="I11" s="147"/>
      <c r="J11" s="147"/>
      <c r="K11" s="147"/>
      <c r="L11" s="148"/>
      <c r="M11" s="148"/>
      <c r="N11" s="149"/>
      <c r="O11" s="150"/>
    </row>
    <row r="12" spans="1:20" x14ac:dyDescent="0.3">
      <c r="B12" s="146"/>
      <c r="C12" s="146"/>
      <c r="D12" s="146"/>
      <c r="E12" s="146"/>
      <c r="F12" s="146"/>
      <c r="G12" s="146"/>
      <c r="H12" s="146"/>
      <c r="I12" s="147"/>
      <c r="J12" s="147"/>
      <c r="K12" s="147"/>
      <c r="L12" s="148"/>
      <c r="M12" s="148"/>
      <c r="N12" s="149"/>
      <c r="O12" s="150"/>
    </row>
    <row r="13" spans="1:20" x14ac:dyDescent="0.3">
      <c r="B13" s="146"/>
      <c r="C13" s="146"/>
      <c r="D13" s="151"/>
      <c r="E13" s="151"/>
      <c r="F13" s="151"/>
      <c r="G13" s="151"/>
      <c r="H13" s="151"/>
      <c r="I13" s="151"/>
      <c r="J13" s="151"/>
      <c r="K13" s="151"/>
      <c r="L13" s="151"/>
      <c r="M13" s="151"/>
      <c r="N13" s="151"/>
      <c r="O13" s="152"/>
    </row>
    <row r="14" spans="1:20" ht="17.399999999999999" x14ac:dyDescent="0.3">
      <c r="B14" s="153" t="s">
        <v>22</v>
      </c>
      <c r="C14" s="153"/>
      <c r="D14" s="154"/>
      <c r="E14" s="154"/>
      <c r="F14" s="154"/>
      <c r="G14" s="154"/>
      <c r="H14" s="154"/>
      <c r="I14" s="155"/>
      <c r="J14" s="155"/>
      <c r="K14" s="155"/>
      <c r="L14" s="155"/>
      <c r="M14" s="155"/>
      <c r="N14" s="154"/>
      <c r="O14" s="154" t="s">
        <v>134</v>
      </c>
    </row>
    <row r="15" spans="1:20" x14ac:dyDescent="0.3">
      <c r="B15" s="154"/>
      <c r="C15" s="154"/>
      <c r="D15" s="154"/>
      <c r="E15" s="154"/>
      <c r="F15" s="154"/>
      <c r="G15" s="154"/>
      <c r="H15" s="154"/>
      <c r="I15" s="390" t="s">
        <v>247</v>
      </c>
      <c r="J15" s="391"/>
      <c r="K15" s="391"/>
      <c r="L15" s="391"/>
      <c r="M15" s="391"/>
      <c r="N15" s="154"/>
      <c r="O15" s="154"/>
    </row>
    <row r="16" spans="1:20" ht="75.599999999999994" customHeight="1" x14ac:dyDescent="0.3">
      <c r="B16" s="156" t="s">
        <v>248</v>
      </c>
      <c r="C16" s="156"/>
      <c r="D16" s="157" t="s">
        <v>249</v>
      </c>
      <c r="E16" s="157" t="s">
        <v>250</v>
      </c>
      <c r="F16" s="157" t="s">
        <v>251</v>
      </c>
      <c r="G16" s="157" t="s">
        <v>252</v>
      </c>
      <c r="H16" s="157" t="s">
        <v>253</v>
      </c>
      <c r="I16" s="158" t="s">
        <v>74</v>
      </c>
      <c r="J16" s="158" t="s">
        <v>254</v>
      </c>
      <c r="K16" s="158" t="s">
        <v>255</v>
      </c>
      <c r="L16" s="158" t="s">
        <v>256</v>
      </c>
      <c r="M16" s="159" t="s">
        <v>257</v>
      </c>
      <c r="N16" s="160"/>
      <c r="O16" s="161" t="s">
        <v>258</v>
      </c>
    </row>
    <row r="17" spans="1:20" x14ac:dyDescent="0.3">
      <c r="I17" s="162"/>
      <c r="J17" s="162"/>
      <c r="K17" s="162"/>
      <c r="L17" s="162"/>
      <c r="M17" s="162"/>
      <c r="N17" s="162"/>
    </row>
    <row r="18" spans="1:20" x14ac:dyDescent="0.3">
      <c r="B18" s="188" t="s">
        <v>259</v>
      </c>
      <c r="C18" s="151"/>
      <c r="D18" s="163">
        <v>4</v>
      </c>
      <c r="E18" s="163">
        <v>20</v>
      </c>
      <c r="F18" s="383">
        <v>2</v>
      </c>
      <c r="G18" s="46"/>
      <c r="H18" s="382">
        <f>G18*D18</f>
        <v>0</v>
      </c>
      <c r="I18" s="384">
        <f>E18*4</f>
        <v>80</v>
      </c>
      <c r="J18" s="164">
        <f t="shared" ref="J18:L19" si="0">+I18</f>
        <v>80</v>
      </c>
      <c r="K18" s="164">
        <f t="shared" si="0"/>
        <v>80</v>
      </c>
      <c r="L18" s="164">
        <f t="shared" si="0"/>
        <v>80</v>
      </c>
      <c r="M18" s="384">
        <f>L18*8</f>
        <v>640</v>
      </c>
      <c r="N18" s="165"/>
      <c r="O18" s="166"/>
      <c r="T18" s="167"/>
    </row>
    <row r="19" spans="1:20" ht="15" thickBot="1" x14ac:dyDescent="0.35">
      <c r="B19" s="166"/>
      <c r="C19" s="151"/>
      <c r="D19" s="168"/>
      <c r="E19" s="168"/>
      <c r="F19" s="168"/>
      <c r="G19" s="166"/>
      <c r="H19" s="166"/>
      <c r="I19" s="169">
        <f>H18</f>
        <v>0</v>
      </c>
      <c r="J19" s="169">
        <f t="shared" si="0"/>
        <v>0</v>
      </c>
      <c r="K19" s="169">
        <f t="shared" si="0"/>
        <v>0</v>
      </c>
      <c r="L19" s="169">
        <f t="shared" si="0"/>
        <v>0</v>
      </c>
      <c r="M19" s="169">
        <f>L19*8</f>
        <v>0</v>
      </c>
      <c r="N19" s="166"/>
      <c r="O19" s="169">
        <f>SUM(I19:M19)</f>
        <v>0</v>
      </c>
    </row>
    <row r="20" spans="1:20" ht="15" thickTop="1" x14ac:dyDescent="0.3">
      <c r="B20" s="166"/>
      <c r="C20" s="151"/>
      <c r="D20" s="168"/>
      <c r="E20" s="168"/>
      <c r="F20" s="168"/>
      <c r="G20" s="166"/>
      <c r="H20" s="166"/>
      <c r="I20" s="170"/>
      <c r="J20" s="166"/>
      <c r="K20" s="166"/>
      <c r="L20" s="166"/>
      <c r="M20" s="166"/>
      <c r="N20" s="166"/>
      <c r="O20" s="166"/>
    </row>
    <row r="21" spans="1:20" x14ac:dyDescent="0.3">
      <c r="B21" s="188" t="s">
        <v>260</v>
      </c>
      <c r="C21" s="151"/>
      <c r="D21" s="163">
        <v>4</v>
      </c>
      <c r="E21" s="163">
        <v>10</v>
      </c>
      <c r="F21" s="383">
        <v>4</v>
      </c>
      <c r="G21" s="46"/>
      <c r="H21" s="382">
        <f>G21*D21</f>
        <v>0</v>
      </c>
      <c r="I21" s="384">
        <f>E21*4</f>
        <v>40</v>
      </c>
      <c r="J21" s="164">
        <f t="shared" ref="J21:L22" si="1">+I21</f>
        <v>40</v>
      </c>
      <c r="K21" s="164">
        <f t="shared" si="1"/>
        <v>40</v>
      </c>
      <c r="L21" s="164">
        <f t="shared" si="1"/>
        <v>40</v>
      </c>
      <c r="M21" s="384">
        <f>L21*8</f>
        <v>320</v>
      </c>
      <c r="N21" s="165"/>
      <c r="O21" s="166"/>
      <c r="T21" s="171"/>
    </row>
    <row r="22" spans="1:20" ht="15" thickBot="1" x14ac:dyDescent="0.35">
      <c r="C22" s="151"/>
      <c r="D22" s="168"/>
      <c r="E22" s="168"/>
      <c r="F22" s="168"/>
      <c r="G22" s="166"/>
      <c r="H22" s="166"/>
      <c r="I22" s="169">
        <f>H21</f>
        <v>0</v>
      </c>
      <c r="J22" s="169">
        <f t="shared" si="1"/>
        <v>0</v>
      </c>
      <c r="K22" s="169">
        <f t="shared" si="1"/>
        <v>0</v>
      </c>
      <c r="L22" s="169">
        <f t="shared" si="1"/>
        <v>0</v>
      </c>
      <c r="M22" s="169">
        <f>L22*8</f>
        <v>0</v>
      </c>
      <c r="N22" s="166"/>
      <c r="O22" s="169">
        <f>SUM(I22:M22)</f>
        <v>0</v>
      </c>
      <c r="T22" s="171"/>
    </row>
    <row r="23" spans="1:20" ht="15" thickTop="1" x14ac:dyDescent="0.3">
      <c r="C23" s="151"/>
      <c r="D23" s="168"/>
      <c r="E23" s="168"/>
      <c r="F23" s="168"/>
      <c r="G23" s="166"/>
      <c r="H23" s="166"/>
      <c r="I23" s="166"/>
      <c r="J23" s="166"/>
      <c r="K23" s="166"/>
      <c r="L23" s="166"/>
      <c r="M23" s="166"/>
      <c r="N23" s="166"/>
      <c r="O23" s="166"/>
      <c r="T23" s="171"/>
    </row>
    <row r="24" spans="1:20" x14ac:dyDescent="0.3">
      <c r="B24" s="188" t="s">
        <v>261</v>
      </c>
      <c r="C24" s="151"/>
      <c r="D24" s="163">
        <v>4</v>
      </c>
      <c r="E24" s="163">
        <v>15</v>
      </c>
      <c r="F24" s="383">
        <v>4</v>
      </c>
      <c r="G24" s="46"/>
      <c r="H24" s="382">
        <f>G24*D24</f>
        <v>0</v>
      </c>
      <c r="I24" s="384">
        <f>E24*4</f>
        <v>60</v>
      </c>
      <c r="J24" s="164">
        <f t="shared" ref="J24:L25" si="2">+I24</f>
        <v>60</v>
      </c>
      <c r="K24" s="164">
        <f t="shared" si="2"/>
        <v>60</v>
      </c>
      <c r="L24" s="164">
        <f t="shared" si="2"/>
        <v>60</v>
      </c>
      <c r="M24" s="384">
        <f>L24*8</f>
        <v>480</v>
      </c>
      <c r="N24" s="385"/>
      <c r="O24" s="166"/>
      <c r="T24" s="171"/>
    </row>
    <row r="25" spans="1:20" ht="15" thickBot="1" x14ac:dyDescent="0.35">
      <c r="C25" s="151"/>
      <c r="D25" s="168"/>
      <c r="E25" s="168"/>
      <c r="F25" s="168"/>
      <c r="G25" s="166"/>
      <c r="H25" s="166"/>
      <c r="I25" s="169">
        <f>H24</f>
        <v>0</v>
      </c>
      <c r="J25" s="169">
        <f t="shared" si="2"/>
        <v>0</v>
      </c>
      <c r="K25" s="169">
        <f t="shared" si="2"/>
        <v>0</v>
      </c>
      <c r="L25" s="169">
        <f t="shared" si="2"/>
        <v>0</v>
      </c>
      <c r="M25" s="169">
        <f>L25*8</f>
        <v>0</v>
      </c>
      <c r="N25" s="166"/>
      <c r="O25" s="169">
        <f>SUM(I25:M25)</f>
        <v>0</v>
      </c>
      <c r="T25" s="171"/>
    </row>
    <row r="26" spans="1:20" ht="15" thickTop="1" x14ac:dyDescent="0.3">
      <c r="A26" s="151"/>
      <c r="B26" s="151"/>
      <c r="C26" s="151"/>
      <c r="D26" s="172"/>
      <c r="E26" s="172"/>
      <c r="F26" s="172"/>
      <c r="G26" s="173"/>
      <c r="H26" s="173"/>
      <c r="I26" s="166"/>
      <c r="J26" s="166"/>
      <c r="K26" s="166"/>
      <c r="L26" s="166"/>
      <c r="M26" s="166"/>
      <c r="N26" s="165"/>
      <c r="O26" s="166"/>
    </row>
    <row r="27" spans="1:20" x14ac:dyDescent="0.3">
      <c r="A27" s="151"/>
      <c r="B27" s="174" t="s">
        <v>262</v>
      </c>
      <c r="C27" s="175"/>
      <c r="D27" s="175"/>
      <c r="E27" s="175"/>
      <c r="F27" s="175"/>
      <c r="G27" s="176"/>
      <c r="H27" s="176"/>
      <c r="I27" s="388" t="s">
        <v>263</v>
      </c>
      <c r="J27" s="389"/>
      <c r="K27" s="389"/>
      <c r="L27" s="389"/>
      <c r="M27" s="177" t="s">
        <v>264</v>
      </c>
      <c r="N27" s="385"/>
      <c r="O27" s="166"/>
      <c r="T27" s="171"/>
    </row>
    <row r="28" spans="1:20" x14ac:dyDescent="0.3">
      <c r="A28" s="151"/>
      <c r="B28" s="175"/>
      <c r="C28" s="175"/>
      <c r="D28" s="175"/>
      <c r="E28" s="175"/>
      <c r="F28" s="175"/>
      <c r="G28" s="176"/>
      <c r="H28" s="176"/>
      <c r="I28" s="178" t="s">
        <v>74</v>
      </c>
      <c r="J28" s="178" t="s">
        <v>254</v>
      </c>
      <c r="K28" s="178" t="s">
        <v>255</v>
      </c>
      <c r="L28" s="179" t="s">
        <v>256</v>
      </c>
      <c r="M28" s="178" t="s">
        <v>265</v>
      </c>
      <c r="N28" s="165"/>
      <c r="O28" s="166"/>
    </row>
    <row r="29" spans="1:20" ht="15" thickBot="1" x14ac:dyDescent="0.35">
      <c r="A29" s="151"/>
      <c r="B29" s="174" t="s">
        <v>266</v>
      </c>
      <c r="C29" s="175"/>
      <c r="D29" s="180"/>
      <c r="E29" s="180"/>
      <c r="F29" s="180"/>
      <c r="G29" s="181"/>
      <c r="H29" s="181"/>
      <c r="I29" s="182">
        <f>I25+I22+I19</f>
        <v>0</v>
      </c>
      <c r="J29" s="182">
        <f>J25+J22+J19</f>
        <v>0</v>
      </c>
      <c r="K29" s="182">
        <f>K25+K22+K19</f>
        <v>0</v>
      </c>
      <c r="L29" s="182">
        <f>L25+L22+L19</f>
        <v>0</v>
      </c>
      <c r="M29" s="182">
        <f>L29*8</f>
        <v>0</v>
      </c>
      <c r="N29" s="165"/>
      <c r="O29" s="183">
        <f>O25+O22+O19</f>
        <v>0</v>
      </c>
      <c r="T29" s="171"/>
    </row>
    <row r="30" spans="1:20" ht="15.6" thickTop="1" thickBot="1" x14ac:dyDescent="0.35">
      <c r="B30" s="141"/>
      <c r="C30" s="141"/>
      <c r="D30" s="141"/>
      <c r="E30" s="141"/>
      <c r="F30" s="141"/>
      <c r="G30" s="141"/>
      <c r="H30" s="141"/>
      <c r="I30" s="184"/>
      <c r="J30" s="184"/>
      <c r="K30" s="184"/>
      <c r="L30" s="185"/>
      <c r="M30" s="185"/>
      <c r="N30" s="144"/>
      <c r="O30" s="145"/>
    </row>
    <row r="31" spans="1:20" x14ac:dyDescent="0.3">
      <c r="B31" s="146"/>
      <c r="C31" s="146"/>
      <c r="D31" s="151"/>
      <c r="E31" s="151"/>
      <c r="F31" s="151"/>
      <c r="G31" s="151"/>
      <c r="H31" s="151"/>
      <c r="I31" s="151"/>
      <c r="J31" s="151"/>
      <c r="K31" s="151"/>
      <c r="L31" s="151"/>
      <c r="M31" s="151"/>
      <c r="N31" s="151"/>
      <c r="O31" s="152"/>
    </row>
    <row r="46" spans="9:17" x14ac:dyDescent="0.3">
      <c r="I46" s="186"/>
      <c r="J46" s="186"/>
    </row>
    <row r="48" spans="9:17" x14ac:dyDescent="0.3">
      <c r="I48" s="187"/>
      <c r="J48" s="187"/>
      <c r="O48" s="147"/>
      <c r="P48" s="147"/>
      <c r="Q48" s="147"/>
    </row>
  </sheetData>
  <sheetProtection algorithmName="SHA-512" hashValue="AVRgBexNFF3FbdZff8rJkG6M19CeF4CpW5B7Ea1DDihZk/uIFBQRpP1iWw0OOnDu3rSkN25kWS4WX76DQr3+Eg==" saltValue="VOEmg8zQ6jGqIK+iqSHcGw==" spinCount="100000" sheet="1" objects="1" scenarios="1"/>
  <mergeCells count="2">
    <mergeCell ref="I27:L27"/>
    <mergeCell ref="I15:M15"/>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94C3D-681D-4344-908C-9BCEE3231D70}">
  <dimension ref="A1:F36"/>
  <sheetViews>
    <sheetView showGridLines="0" workbookViewId="0">
      <selection activeCell="C19" sqref="C19"/>
    </sheetView>
  </sheetViews>
  <sheetFormatPr defaultColWidth="0" defaultRowHeight="14.4" zeroHeight="1" x14ac:dyDescent="0.3"/>
  <cols>
    <col min="1" max="1" width="3.6640625" customWidth="1"/>
    <col min="2" max="2" width="70.5546875" customWidth="1"/>
    <col min="3" max="3" width="14.6640625" bestFit="1" customWidth="1"/>
    <col min="4" max="4" width="3.6640625" customWidth="1"/>
    <col min="5" max="6" width="0" hidden="1" customWidth="1"/>
    <col min="7" max="16384" width="9.33203125" hidden="1"/>
  </cols>
  <sheetData>
    <row r="1" spans="2:3" ht="9.6" customHeight="1" x14ac:dyDescent="0.3"/>
    <row r="2" spans="2:3" ht="23.4" x14ac:dyDescent="0.3">
      <c r="B2" s="6" t="s">
        <v>0</v>
      </c>
      <c r="C2" s="6"/>
    </row>
    <row r="3" spans="2:3" ht="23.4" x14ac:dyDescent="0.3">
      <c r="B3" s="8" t="s">
        <v>1</v>
      </c>
      <c r="C3" s="6"/>
    </row>
    <row r="4" spans="2:3" ht="23.4" x14ac:dyDescent="0.3">
      <c r="B4" s="9" t="s">
        <v>267</v>
      </c>
      <c r="C4" s="6"/>
    </row>
    <row r="5" spans="2:3" x14ac:dyDescent="0.3">
      <c r="B5" s="11" t="s">
        <v>3</v>
      </c>
      <c r="C5" s="99" t="s">
        <v>25</v>
      </c>
    </row>
    <row r="6" spans="2:3" ht="23.4" x14ac:dyDescent="0.3">
      <c r="B6" s="12" t="s">
        <v>4</v>
      </c>
      <c r="C6" s="6"/>
    </row>
    <row r="7" spans="2:3" x14ac:dyDescent="0.3"/>
    <row r="8" spans="2:3" x14ac:dyDescent="0.3"/>
    <row r="9" spans="2:3" x14ac:dyDescent="0.3"/>
    <row r="10" spans="2:3" x14ac:dyDescent="0.3"/>
    <row r="11" spans="2:3" x14ac:dyDescent="0.3"/>
    <row r="12" spans="2:3" x14ac:dyDescent="0.3"/>
    <row r="13" spans="2:3" x14ac:dyDescent="0.3"/>
    <row r="14" spans="2:3" x14ac:dyDescent="0.3"/>
    <row r="15" spans="2:3" x14ac:dyDescent="0.3"/>
    <row r="16" spans="2:3" x14ac:dyDescent="0.3"/>
    <row r="17" spans="2:3" ht="15" thickBot="1" x14ac:dyDescent="0.35"/>
    <row r="18" spans="2:3" ht="15.6" x14ac:dyDescent="0.3">
      <c r="B18" s="131" t="s">
        <v>268</v>
      </c>
      <c r="C18" s="132" t="s">
        <v>189</v>
      </c>
    </row>
    <row r="19" spans="2:3" x14ac:dyDescent="0.3">
      <c r="B19" s="133" t="s">
        <v>269</v>
      </c>
      <c r="C19" s="5"/>
    </row>
    <row r="20" spans="2:3" x14ac:dyDescent="0.3">
      <c r="B20" s="133" t="s">
        <v>67</v>
      </c>
      <c r="C20" s="5"/>
    </row>
    <row r="21" spans="2:3" x14ac:dyDescent="0.3">
      <c r="B21" s="133" t="s">
        <v>41</v>
      </c>
      <c r="C21" s="5"/>
    </row>
    <row r="22" spans="2:3" x14ac:dyDescent="0.3">
      <c r="B22" s="133" t="s">
        <v>270</v>
      </c>
      <c r="C22" s="5"/>
    </row>
    <row r="23" spans="2:3" x14ac:dyDescent="0.3">
      <c r="B23" s="133" t="s">
        <v>271</v>
      </c>
      <c r="C23" s="5"/>
    </row>
    <row r="24" spans="2:3" x14ac:dyDescent="0.3">
      <c r="B24" s="133" t="s">
        <v>272</v>
      </c>
      <c r="C24" s="5"/>
    </row>
    <row r="25" spans="2:3" x14ac:dyDescent="0.3">
      <c r="B25" s="133" t="s">
        <v>273</v>
      </c>
      <c r="C25" s="5"/>
    </row>
    <row r="26" spans="2:3" x14ac:dyDescent="0.3">
      <c r="B26" s="133" t="s">
        <v>274</v>
      </c>
      <c r="C26" s="5"/>
    </row>
    <row r="27" spans="2:3" x14ac:dyDescent="0.3">
      <c r="B27" s="134" t="s">
        <v>275</v>
      </c>
      <c r="C27" s="5"/>
    </row>
    <row r="28" spans="2:3" x14ac:dyDescent="0.3">
      <c r="B28" s="133" t="s">
        <v>276</v>
      </c>
      <c r="C28" s="5"/>
    </row>
    <row r="29" spans="2:3" x14ac:dyDescent="0.3">
      <c r="B29" s="5"/>
      <c r="C29" s="5"/>
    </row>
    <row r="30" spans="2:3" x14ac:dyDescent="0.3">
      <c r="B30" s="5"/>
      <c r="C30" s="5"/>
    </row>
    <row r="31" spans="2:3" x14ac:dyDescent="0.3">
      <c r="B31" s="5"/>
      <c r="C31" s="5"/>
    </row>
    <row r="32" spans="2:3" x14ac:dyDescent="0.3">
      <c r="B32" s="5"/>
      <c r="C32" s="5"/>
    </row>
    <row r="33" spans="2:3" x14ac:dyDescent="0.3">
      <c r="B33" s="5"/>
      <c r="C33" s="5"/>
    </row>
    <row r="34" spans="2:3" x14ac:dyDescent="0.3"/>
    <row r="35" spans="2:3" ht="16.2" thickBot="1" x14ac:dyDescent="0.35">
      <c r="B35" s="135" t="s">
        <v>49</v>
      </c>
      <c r="C35" s="136">
        <f>SUM(C19:C33)</f>
        <v>0</v>
      </c>
    </row>
    <row r="36" spans="2:3" ht="15" thickTop="1" x14ac:dyDescent="0.3"/>
  </sheetData>
  <sheetProtection algorithmName="SHA-512" hashValue="bsXg3uE8kyXh1P3Nw3INNzx5J9z+M88EdxhyKcyu+AS1nrU8+S9Oick1HYZykcjoqvAIwjzlJQkLpTjQhB6G8A==" saltValue="Qb2tyOdpweXO8b6tatVXgg==" spinCount="100000" sheet="1" objects="1" scenarios="1"/>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3592-7D86-4E86-8082-ABC420C7D173}">
  <sheetPr>
    <tabColor theme="0" tint="-0.499984740745262"/>
    <pageSetUpPr fitToPage="1"/>
  </sheetPr>
  <dimension ref="A1:P94"/>
  <sheetViews>
    <sheetView showGridLines="0" topLeftCell="A7" zoomScaleNormal="100" workbookViewId="0">
      <selection activeCell="F14" sqref="F14"/>
    </sheetView>
  </sheetViews>
  <sheetFormatPr defaultColWidth="0" defaultRowHeight="0" customHeight="1" zeroHeight="1" x14ac:dyDescent="0.3"/>
  <cols>
    <col min="1" max="1" width="3.6640625" customWidth="1"/>
    <col min="2" max="2" width="93.44140625" customWidth="1"/>
    <col min="3" max="3" width="1.6640625" customWidth="1"/>
    <col min="4" max="4" width="4" customWidth="1"/>
    <col min="5" max="5" width="54.5546875" customWidth="1"/>
    <col min="6" max="6" width="20.6640625" customWidth="1"/>
    <col min="7" max="7" width="11.33203125" customWidth="1"/>
    <col min="8" max="8" width="4.33203125" customWidth="1"/>
    <col min="9" max="9" width="3.6640625" customWidth="1"/>
    <col min="10" max="16384" width="9.33203125" hidden="1"/>
  </cols>
  <sheetData>
    <row r="1" spans="1:10" s="92" customFormat="1" ht="21" customHeight="1" x14ac:dyDescent="0.25">
      <c r="A1" s="91"/>
      <c r="B1" s="91"/>
      <c r="C1" s="91"/>
      <c r="D1" s="91"/>
      <c r="E1" s="91"/>
      <c r="F1" s="91"/>
      <c r="G1" s="91"/>
      <c r="H1" s="91"/>
    </row>
    <row r="2" spans="1:10" s="92" customFormat="1" ht="21" customHeight="1" x14ac:dyDescent="0.35">
      <c r="A2" s="91"/>
      <c r="B2" s="93" t="s">
        <v>277</v>
      </c>
      <c r="C2" s="94"/>
      <c r="D2" s="94"/>
      <c r="E2" s="94"/>
      <c r="F2" s="94"/>
      <c r="G2" s="95"/>
      <c r="H2" s="95"/>
    </row>
    <row r="3" spans="1:10" s="92" customFormat="1" ht="21" customHeight="1" x14ac:dyDescent="0.3">
      <c r="A3" s="91"/>
      <c r="B3" s="96" t="s">
        <v>278</v>
      </c>
      <c r="C3" s="94"/>
      <c r="D3" s="94"/>
      <c r="E3" s="94"/>
      <c r="F3" s="94"/>
      <c r="G3" s="95"/>
      <c r="H3" s="95"/>
    </row>
    <row r="4" spans="1:10" s="92" customFormat="1" ht="24.6" x14ac:dyDescent="0.4">
      <c r="A4" s="91"/>
      <c r="B4" s="97" t="s">
        <v>279</v>
      </c>
      <c r="C4" s="94"/>
      <c r="D4" s="94"/>
      <c r="E4" s="94"/>
      <c r="F4" s="94"/>
      <c r="G4" s="95"/>
      <c r="H4" s="95"/>
    </row>
    <row r="5" spans="1:10" s="92" customFormat="1" ht="21" customHeight="1" x14ac:dyDescent="0.25">
      <c r="A5" s="91"/>
      <c r="B5" s="98" t="s">
        <v>280</v>
      </c>
      <c r="C5" s="94"/>
      <c r="D5" s="94"/>
      <c r="E5" s="94"/>
      <c r="F5" s="99" t="s">
        <v>25</v>
      </c>
      <c r="G5" s="95"/>
      <c r="H5" s="95"/>
    </row>
    <row r="6" spans="1:10" s="92" customFormat="1" ht="21" customHeight="1" x14ac:dyDescent="0.25">
      <c r="A6" s="91"/>
      <c r="B6" s="100" t="s">
        <v>281</v>
      </c>
      <c r="C6" s="94"/>
      <c r="D6" s="94"/>
      <c r="E6" s="94"/>
      <c r="F6" s="94"/>
      <c r="G6" s="95"/>
      <c r="H6" s="95"/>
    </row>
    <row r="7" spans="1:10" s="91" customFormat="1" ht="15" customHeight="1" thickBot="1" x14ac:dyDescent="0.3">
      <c r="B7" s="101"/>
      <c r="C7" s="102"/>
      <c r="D7" s="102"/>
      <c r="E7" s="102"/>
      <c r="F7" s="103"/>
      <c r="G7" s="104"/>
      <c r="H7" s="104"/>
      <c r="J7" s="105"/>
    </row>
    <row r="8" spans="1:10" s="92" customFormat="1" ht="15" customHeight="1" x14ac:dyDescent="0.25">
      <c r="A8" s="91"/>
    </row>
    <row r="9" spans="1:10" s="92" customFormat="1" ht="28.2" customHeight="1" x14ac:dyDescent="0.25">
      <c r="A9" s="106"/>
      <c r="B9" s="106"/>
      <c r="D9" s="392" t="s">
        <v>282</v>
      </c>
      <c r="E9" s="392"/>
      <c r="F9" s="107">
        <f>Samenvatting!F20</f>
        <v>0</v>
      </c>
    </row>
    <row r="10" spans="1:10" s="92" customFormat="1" ht="12.75" customHeight="1" x14ac:dyDescent="0.25">
      <c r="B10" s="106"/>
      <c r="C10" s="106"/>
    </row>
    <row r="11" spans="1:10" s="92" customFormat="1" ht="28.2" customHeight="1" x14ac:dyDescent="0.25">
      <c r="B11" s="106"/>
      <c r="C11" s="106"/>
      <c r="D11" s="394" t="s">
        <v>283</v>
      </c>
      <c r="E11" s="395"/>
      <c r="F11" s="108" t="s">
        <v>284</v>
      </c>
      <c r="G11" s="396" t="s">
        <v>285</v>
      </c>
      <c r="H11" s="397"/>
    </row>
    <row r="12" spans="1:10" s="92" customFormat="1" ht="28.2" customHeight="1" x14ac:dyDescent="0.25">
      <c r="B12" s="106"/>
      <c r="C12" s="106"/>
      <c r="D12" s="398" t="s">
        <v>286</v>
      </c>
      <c r="E12" s="399"/>
      <c r="F12" s="110">
        <f>+DATA!G41</f>
        <v>1500</v>
      </c>
      <c r="G12" s="111">
        <f>+F12/DATA!$G$40*100</f>
        <v>60</v>
      </c>
      <c r="H12" s="112" t="s">
        <v>287</v>
      </c>
    </row>
    <row r="13" spans="1:10" s="92" customFormat="1" ht="28.2" customHeight="1" x14ac:dyDescent="0.25">
      <c r="B13" s="106"/>
      <c r="C13" s="106"/>
      <c r="D13" s="398" t="s">
        <v>288</v>
      </c>
      <c r="E13" s="399"/>
      <c r="F13" s="52">
        <v>0</v>
      </c>
      <c r="G13" s="111">
        <f>+F13/DATA!$G$40*100</f>
        <v>0</v>
      </c>
      <c r="H13" s="112" t="s">
        <v>287</v>
      </c>
    </row>
    <row r="14" spans="1:10" s="92" customFormat="1" ht="28.2" customHeight="1" x14ac:dyDescent="0.25">
      <c r="C14" s="106"/>
      <c r="D14" s="113"/>
      <c r="E14" s="109" t="s">
        <v>289</v>
      </c>
      <c r="F14" s="114">
        <f>SUM(F12:F13)</f>
        <v>1500</v>
      </c>
      <c r="G14" s="111">
        <f>SUM(G12:G13)</f>
        <v>60</v>
      </c>
      <c r="H14" s="112" t="s">
        <v>287</v>
      </c>
    </row>
    <row r="15" spans="1:10" s="92" customFormat="1" ht="28.2" customHeight="1" x14ac:dyDescent="0.25">
      <c r="C15" s="106"/>
      <c r="D15" s="400" t="s">
        <v>290</v>
      </c>
      <c r="E15" s="401"/>
      <c r="F15" s="115">
        <f>+DATA!E7</f>
        <v>1.0118230899436653</v>
      </c>
    </row>
    <row r="16" spans="1:10" s="92" customFormat="1" ht="28.2" customHeight="1" x14ac:dyDescent="0.25">
      <c r="B16" s="106"/>
      <c r="C16" s="106"/>
      <c r="D16" s="116" t="s">
        <v>291</v>
      </c>
      <c r="E16" s="117" t="str">
        <f>"Eigen inschatting door Inschrijver. Waarde tussen 0 en "&amp;F20&amp;" punten."</f>
        <v>Eigen inschatting door Inschrijver. Waarde tussen 0 en 1000 punten.</v>
      </c>
      <c r="F16" s="118"/>
      <c r="G16" s="119"/>
      <c r="H16" s="120"/>
    </row>
    <row r="17" spans="1:12" s="92" customFormat="1" ht="28.2" customHeight="1" x14ac:dyDescent="0.25">
      <c r="C17" s="106"/>
      <c r="D17" s="121"/>
      <c r="E17" s="120"/>
      <c r="F17" s="120"/>
      <c r="G17" s="120"/>
    </row>
    <row r="18" spans="1:12" s="92" customFormat="1" ht="28.2" customHeight="1" x14ac:dyDescent="0.25">
      <c r="C18" s="106"/>
      <c r="D18" s="394" t="s">
        <v>292</v>
      </c>
      <c r="E18" s="395"/>
      <c r="F18" s="122" t="s">
        <v>293</v>
      </c>
      <c r="G18" s="396" t="s">
        <v>285</v>
      </c>
      <c r="H18" s="397"/>
    </row>
    <row r="19" spans="1:12" s="92" customFormat="1" ht="28.2" customHeight="1" x14ac:dyDescent="0.25">
      <c r="C19" s="106"/>
      <c r="D19" s="392" t="s">
        <v>294</v>
      </c>
      <c r="E19" s="392"/>
      <c r="F19" s="114">
        <f>DATA!G41</f>
        <v>1500</v>
      </c>
      <c r="G19" s="111">
        <f>+F19/DATA!$G$40*100</f>
        <v>60</v>
      </c>
      <c r="H19" s="112" t="s">
        <v>287</v>
      </c>
    </row>
    <row r="20" spans="1:12" s="92" customFormat="1" ht="28.2" customHeight="1" x14ac:dyDescent="0.25">
      <c r="C20" s="106"/>
      <c r="D20" s="392" t="s">
        <v>295</v>
      </c>
      <c r="E20" s="392"/>
      <c r="F20" s="114">
        <f>DATA!G42</f>
        <v>1000</v>
      </c>
      <c r="G20" s="111">
        <f>+F20/DATA!$G$40*100</f>
        <v>40</v>
      </c>
      <c r="H20" s="112" t="s">
        <v>287</v>
      </c>
      <c r="J20" s="123"/>
      <c r="K20" s="123"/>
      <c r="L20" s="123"/>
    </row>
    <row r="21" spans="1:12" s="92" customFormat="1" ht="28.2" customHeight="1" x14ac:dyDescent="0.25">
      <c r="B21" s="106"/>
      <c r="C21" s="106"/>
      <c r="D21" s="392" t="s">
        <v>296</v>
      </c>
      <c r="E21" s="392"/>
      <c r="F21" s="114">
        <f>SUM(F19:F20)</f>
        <v>2500</v>
      </c>
      <c r="G21" s="111">
        <f>+F21/DATA!$G$40*100</f>
        <v>100</v>
      </c>
      <c r="H21" s="112" t="s">
        <v>287</v>
      </c>
    </row>
    <row r="22" spans="1:12" s="92" customFormat="1" ht="28.2" customHeight="1" x14ac:dyDescent="0.25">
      <c r="B22" s="106"/>
      <c r="C22" s="106"/>
      <c r="D22" s="393"/>
      <c r="E22" s="393"/>
      <c r="F22" s="124"/>
      <c r="G22" s="125"/>
      <c r="H22" s="126"/>
    </row>
    <row r="23" spans="1:12" s="92" customFormat="1" ht="28.2" customHeight="1" x14ac:dyDescent="0.25">
      <c r="B23" s="106"/>
      <c r="C23" s="106"/>
      <c r="D23" s="106"/>
      <c r="E23" s="106"/>
      <c r="F23" s="106"/>
      <c r="G23" s="106"/>
      <c r="H23" s="106"/>
    </row>
    <row r="24" spans="1:12" s="92" customFormat="1" ht="28.2" customHeight="1" x14ac:dyDescent="0.25">
      <c r="B24" s="106"/>
      <c r="C24" s="106"/>
      <c r="D24" s="106"/>
      <c r="E24" s="106"/>
      <c r="F24" s="106"/>
      <c r="G24" s="106"/>
      <c r="H24" s="106"/>
    </row>
    <row r="25" spans="1:12" s="92" customFormat="1" ht="28.2" customHeight="1" x14ac:dyDescent="0.25">
      <c r="B25" s="106"/>
      <c r="C25" s="106"/>
      <c r="D25" s="106"/>
      <c r="E25" s="106"/>
      <c r="F25" s="106"/>
      <c r="G25" s="106"/>
      <c r="H25" s="106"/>
    </row>
    <row r="26" spans="1:12" s="92" customFormat="1" ht="28.2" customHeight="1" x14ac:dyDescent="0.25">
      <c r="B26" s="106"/>
      <c r="C26" s="106"/>
      <c r="D26" s="106"/>
      <c r="E26" s="106"/>
      <c r="F26" s="106"/>
      <c r="G26" s="106"/>
      <c r="H26" s="106"/>
    </row>
    <row r="27" spans="1:12" s="92" customFormat="1" ht="15" customHeight="1" thickBot="1" x14ac:dyDescent="0.3">
      <c r="A27" s="91"/>
      <c r="B27" s="101"/>
      <c r="C27" s="102"/>
      <c r="D27" s="102"/>
      <c r="E27" s="102"/>
      <c r="F27" s="103"/>
      <c r="G27" s="104"/>
      <c r="H27" s="104"/>
    </row>
    <row r="28" spans="1:12" s="92" customFormat="1" ht="15" customHeight="1" x14ac:dyDescent="0.25"/>
    <row r="29" spans="1:12" s="92" customFormat="1" ht="28.2" hidden="1" customHeight="1" x14ac:dyDescent="0.25">
      <c r="B29" s="106"/>
    </row>
    <row r="30" spans="1:12" s="92" customFormat="1" ht="28.2" hidden="1" customHeight="1" x14ac:dyDescent="0.25">
      <c r="B30" s="106"/>
    </row>
    <row r="31" spans="1:12" s="92" customFormat="1" ht="28.2" hidden="1" customHeight="1" x14ac:dyDescent="0.25">
      <c r="B31" s="106"/>
    </row>
    <row r="32" spans="1:12" s="92" customFormat="1" ht="28.2" hidden="1" customHeight="1" x14ac:dyDescent="0.25">
      <c r="B32" s="106"/>
    </row>
    <row r="33" spans="2:16" s="92" customFormat="1" ht="28.2" hidden="1" customHeight="1" x14ac:dyDescent="0.25">
      <c r="B33" s="106"/>
    </row>
    <row r="34" spans="2:16" s="92" customFormat="1" ht="28.2" hidden="1" customHeight="1" x14ac:dyDescent="0.25">
      <c r="B34" s="106"/>
      <c r="P34" s="92" t="s">
        <v>134</v>
      </c>
    </row>
    <row r="35" spans="2:16" s="92" customFormat="1" ht="28.2" hidden="1" customHeight="1" x14ac:dyDescent="0.25">
      <c r="B35" s="106"/>
    </row>
    <row r="36" spans="2:16" s="92" customFormat="1" ht="28.2" hidden="1" customHeight="1" x14ac:dyDescent="0.3">
      <c r="B36" s="106"/>
      <c r="G36"/>
    </row>
    <row r="37" spans="2:16" s="92" customFormat="1" ht="28.2" hidden="1" customHeight="1" x14ac:dyDescent="0.3">
      <c r="B37" s="106"/>
      <c r="G37"/>
    </row>
    <row r="38" spans="2:16" s="92" customFormat="1" ht="28.2" hidden="1" customHeight="1" x14ac:dyDescent="0.3">
      <c r="D38"/>
      <c r="E38"/>
      <c r="F38"/>
      <c r="G38"/>
    </row>
    <row r="39" spans="2:16" ht="15" hidden="1" customHeight="1" x14ac:dyDescent="0.3"/>
    <row r="40" spans="2:16" ht="15" hidden="1" customHeight="1" x14ac:dyDescent="0.3"/>
    <row r="41" spans="2:16" ht="15" hidden="1" customHeight="1" x14ac:dyDescent="0.3"/>
    <row r="42" spans="2:16" ht="15" hidden="1" customHeight="1" x14ac:dyDescent="0.3"/>
    <row r="43" spans="2:16" ht="15" hidden="1" customHeight="1" x14ac:dyDescent="0.3"/>
    <row r="44" spans="2:16" ht="15" hidden="1" customHeight="1" x14ac:dyDescent="0.3"/>
    <row r="45" spans="2:16" ht="15" hidden="1" customHeight="1" x14ac:dyDescent="0.3"/>
    <row r="46" spans="2:16" ht="15" hidden="1" customHeight="1" x14ac:dyDescent="0.3"/>
    <row r="47" spans="2:16" ht="15" hidden="1" customHeight="1" x14ac:dyDescent="0.3"/>
    <row r="48" spans="2:16" ht="15" hidden="1"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row r="81" spans="3:7" ht="15" hidden="1" customHeight="1" x14ac:dyDescent="0.3"/>
    <row r="82" spans="3:7" ht="15" hidden="1" customHeight="1" x14ac:dyDescent="0.3">
      <c r="C82" s="127" t="s">
        <v>289</v>
      </c>
      <c r="D82" s="128"/>
      <c r="E82" s="129">
        <v>1650</v>
      </c>
      <c r="F82" s="130" t="e">
        <f>+E82/Qmax*100</f>
        <v>#NAME?</v>
      </c>
      <c r="G82" s="112" t="s">
        <v>287</v>
      </c>
    </row>
    <row r="83" spans="3:7" ht="15" hidden="1" customHeight="1" x14ac:dyDescent="0.3"/>
    <row r="84" spans="3:7" ht="15" hidden="1" customHeight="1" x14ac:dyDescent="0.3"/>
    <row r="85" spans="3:7" ht="15" hidden="1" customHeight="1" x14ac:dyDescent="0.3"/>
    <row r="86" spans="3:7" ht="15" hidden="1" customHeight="1" x14ac:dyDescent="0.3"/>
    <row r="87" spans="3:7" ht="15" hidden="1" customHeight="1" x14ac:dyDescent="0.3"/>
    <row r="88" spans="3:7" ht="15" hidden="1" customHeight="1" x14ac:dyDescent="0.3"/>
    <row r="89" spans="3:7" ht="15" hidden="1" customHeight="1" x14ac:dyDescent="0.3"/>
    <row r="90" spans="3:7" ht="15" hidden="1" customHeight="1" x14ac:dyDescent="0.3"/>
    <row r="91" spans="3:7" ht="15" hidden="1" customHeight="1" x14ac:dyDescent="0.3"/>
    <row r="92" spans="3:7" ht="15" hidden="1" customHeight="1" x14ac:dyDescent="0.3"/>
    <row r="93" spans="3:7" ht="15" hidden="1" customHeight="1" x14ac:dyDescent="0.3"/>
    <row r="94" spans="3:7" ht="15" hidden="1" customHeight="1" x14ac:dyDescent="0.3"/>
  </sheetData>
  <sheetProtection algorithmName="SHA-512" hashValue="gLC9y+96ZSujuJUyCPF4/kR5TVY0bySEr502UYriRtNe+XU0i2frIDjRfyz8bmItxzAQIq71Tj6b5PKqg17otQ==" saltValue="5x6wthqS89KBNXF7CszqlQ==" spinCount="100000" sheet="1" objects="1" scenarios="1"/>
  <mergeCells count="12">
    <mergeCell ref="G11:H11"/>
    <mergeCell ref="D12:E12"/>
    <mergeCell ref="D13:E13"/>
    <mergeCell ref="D15:E15"/>
    <mergeCell ref="D18:E18"/>
    <mergeCell ref="G18:H18"/>
    <mergeCell ref="D20:E20"/>
    <mergeCell ref="D21:E21"/>
    <mergeCell ref="D22:E22"/>
    <mergeCell ref="D9:E9"/>
    <mergeCell ref="D11:E11"/>
    <mergeCell ref="D19:E19"/>
  </mergeCells>
  <pageMargins left="0.7" right="0.7" top="0.75" bottom="0.75" header="0.3" footer="0.3"/>
  <pageSetup paperSize="9" scale="6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958FC-852B-4EBA-AF3C-A3CCE61B25C9}">
  <dimension ref="A1:AE80"/>
  <sheetViews>
    <sheetView showGridLines="0" zoomScaleNormal="100" workbookViewId="0">
      <selection activeCell="F13" sqref="F13"/>
    </sheetView>
  </sheetViews>
  <sheetFormatPr defaultColWidth="0" defaultRowHeight="14.4" zeroHeight="1" x14ac:dyDescent="0.3"/>
  <cols>
    <col min="1" max="1" width="3.6640625" style="53" customWidth="1"/>
    <col min="2" max="27" width="21.6640625" style="53" customWidth="1"/>
    <col min="28" max="28" width="3.6640625" style="53" customWidth="1"/>
    <col min="29" max="31" width="21.6640625" style="53" hidden="1" customWidth="1"/>
    <col min="32" max="16384" width="9.33203125" style="53" hidden="1"/>
  </cols>
  <sheetData>
    <row r="1" spans="2:28" ht="21" customHeight="1" x14ac:dyDescent="0.3">
      <c r="AB1" s="68"/>
    </row>
    <row r="2" spans="2:28" s="68" customFormat="1" ht="21" customHeight="1" x14ac:dyDescent="0.25">
      <c r="B2" s="402" t="s">
        <v>297</v>
      </c>
      <c r="C2" s="402"/>
      <c r="D2" s="402"/>
      <c r="E2" s="402"/>
    </row>
    <row r="3" spans="2:28" s="68" customFormat="1" ht="21" customHeight="1" x14ac:dyDescent="0.25">
      <c r="B3" s="402"/>
      <c r="C3" s="402"/>
      <c r="D3" s="402"/>
      <c r="E3" s="402"/>
    </row>
    <row r="4" spans="2:28" s="68" customFormat="1" ht="21" customHeight="1" x14ac:dyDescent="0.25">
      <c r="B4" s="402"/>
      <c r="C4" s="402"/>
      <c r="D4" s="402"/>
      <c r="E4" s="402"/>
    </row>
    <row r="5" spans="2:28" s="68" customFormat="1" ht="21" customHeight="1" x14ac:dyDescent="0.25">
      <c r="B5" s="90"/>
    </row>
    <row r="6" spans="2:28" s="68" customFormat="1" ht="28.2" customHeight="1" x14ac:dyDescent="0.25">
      <c r="B6" s="89" t="s">
        <v>298</v>
      </c>
    </row>
    <row r="7" spans="2:28" s="68" customFormat="1" ht="28.2" customHeight="1" x14ac:dyDescent="0.25">
      <c r="B7" s="88" t="s">
        <v>299</v>
      </c>
      <c r="C7" s="87">
        <f>+'BPK-Grafiek'!$F$9</f>
        <v>0</v>
      </c>
      <c r="D7" s="86">
        <f>+'BPK-Grafiek'!$F$14</f>
        <v>1500</v>
      </c>
      <c r="E7" s="85">
        <f>IFERROR((0.5*($C$7/$G$38)^$F$38+0.5*(2-$D$7/$H$38)^$F$38)^(1/$F$38),0)</f>
        <v>1.0118230899436653</v>
      </c>
      <c r="F7" s="84">
        <f>+D7/G40*100</f>
        <v>60</v>
      </c>
    </row>
    <row r="8" spans="2:28" s="68" customFormat="1" ht="28.2" customHeight="1" x14ac:dyDescent="0.25"/>
    <row r="9" spans="2:28" s="81" customFormat="1" ht="28.2" customHeight="1" x14ac:dyDescent="0.3">
      <c r="B9" s="83" t="s">
        <v>300</v>
      </c>
      <c r="C9" s="403" t="s">
        <v>301</v>
      </c>
      <c r="D9" s="403"/>
      <c r="E9" s="403"/>
      <c r="F9" s="403"/>
      <c r="G9" s="403"/>
      <c r="H9" s="403"/>
      <c r="I9" s="403"/>
      <c r="J9" s="403"/>
      <c r="K9" s="82"/>
      <c r="L9" s="82"/>
    </row>
    <row r="10" spans="2:28" s="81" customFormat="1" ht="28.2" customHeight="1" x14ac:dyDescent="0.3">
      <c r="C10" s="403"/>
      <c r="D10" s="403"/>
      <c r="E10" s="403"/>
      <c r="F10" s="403"/>
      <c r="G10" s="403"/>
      <c r="H10" s="403"/>
      <c r="I10" s="403"/>
      <c r="J10" s="403"/>
    </row>
    <row r="11" spans="2:28" s="68" customFormat="1" ht="28.2" customHeight="1" x14ac:dyDescent="0.25">
      <c r="B11" s="66" t="s">
        <v>302</v>
      </c>
      <c r="C11" s="75" t="s">
        <v>303</v>
      </c>
      <c r="D11" s="75" t="s">
        <v>304</v>
      </c>
      <c r="E11" s="75" t="s">
        <v>305</v>
      </c>
      <c r="F11" s="67"/>
      <c r="G11" s="67"/>
      <c r="H11" s="67"/>
      <c r="I11" s="67"/>
      <c r="J11" s="67"/>
      <c r="K11" s="67"/>
      <c r="L11" s="67"/>
      <c r="M11" s="67"/>
      <c r="N11" s="67"/>
      <c r="O11" s="67"/>
      <c r="P11" s="67"/>
      <c r="Q11" s="67"/>
      <c r="R11" s="67"/>
      <c r="S11" s="67"/>
      <c r="T11" s="67"/>
      <c r="U11" s="67"/>
      <c r="V11" s="67"/>
      <c r="W11" s="67"/>
      <c r="X11" s="67"/>
      <c r="Y11" s="67"/>
      <c r="Z11" s="67"/>
      <c r="AA11" s="67"/>
    </row>
    <row r="12" spans="2:28" s="68" customFormat="1" ht="28.2" customHeight="1" x14ac:dyDescent="0.25">
      <c r="B12" s="80" t="s">
        <v>306</v>
      </c>
      <c r="C12" s="79">
        <v>57375000</v>
      </c>
      <c r="D12" s="78">
        <v>2000</v>
      </c>
      <c r="E12" s="77">
        <v>1</v>
      </c>
      <c r="F12" s="67"/>
      <c r="G12" s="67"/>
      <c r="H12" s="67"/>
      <c r="I12" s="67"/>
      <c r="J12" s="67"/>
      <c r="K12" s="67"/>
      <c r="L12" s="67"/>
      <c r="M12" s="67"/>
      <c r="N12" s="67"/>
      <c r="O12" s="67"/>
      <c r="P12" s="67"/>
      <c r="Q12" s="67"/>
      <c r="R12" s="67"/>
      <c r="S12" s="67"/>
      <c r="T12" s="67"/>
      <c r="U12" s="67"/>
      <c r="V12" s="67"/>
      <c r="W12" s="67"/>
      <c r="X12" s="67"/>
      <c r="Y12" s="67"/>
      <c r="Z12" s="67"/>
      <c r="AA12" s="67"/>
    </row>
    <row r="13" spans="2:28" s="68" customFormat="1" ht="28.2" customHeight="1" x14ac:dyDescent="0.25">
      <c r="B13" s="80" t="s">
        <v>307</v>
      </c>
      <c r="C13" s="79">
        <v>66352500</v>
      </c>
      <c r="D13" s="78">
        <v>2500</v>
      </c>
      <c r="E13" s="77">
        <v>1.0000077447352629</v>
      </c>
      <c r="F13" s="67"/>
      <c r="G13" s="67"/>
      <c r="H13" s="67"/>
      <c r="I13" s="67"/>
      <c r="J13" s="67"/>
      <c r="K13" s="67"/>
      <c r="L13" s="67"/>
      <c r="M13" s="67"/>
      <c r="N13" s="67"/>
      <c r="O13" s="67"/>
      <c r="P13" s="67"/>
      <c r="Q13" s="67"/>
      <c r="R13" s="67"/>
      <c r="S13" s="67"/>
      <c r="T13" s="67"/>
      <c r="U13" s="67"/>
      <c r="V13" s="67"/>
      <c r="W13" s="67"/>
      <c r="X13" s="67"/>
      <c r="Y13" s="67"/>
      <c r="Z13" s="67"/>
      <c r="AA13" s="67"/>
    </row>
    <row r="14" spans="2:28" s="68" customFormat="1" ht="28.2" customHeight="1" x14ac:dyDescent="0.25">
      <c r="B14" s="80" t="s">
        <v>308</v>
      </c>
      <c r="C14" s="79">
        <v>0</v>
      </c>
      <c r="D14" s="78">
        <v>1529.2123446805399</v>
      </c>
      <c r="E14" s="77">
        <v>1</v>
      </c>
      <c r="F14" s="67"/>
      <c r="G14" s="67"/>
      <c r="H14" s="67"/>
      <c r="I14" s="67"/>
      <c r="J14" s="67"/>
      <c r="K14" s="67"/>
      <c r="L14" s="67"/>
      <c r="M14" s="67"/>
      <c r="N14" s="67"/>
      <c r="O14" s="67"/>
      <c r="P14" s="67"/>
      <c r="Q14" s="67"/>
      <c r="R14" s="67"/>
      <c r="S14" s="67"/>
      <c r="T14" s="67"/>
      <c r="U14" s="67"/>
      <c r="V14" s="67"/>
      <c r="W14" s="67"/>
      <c r="X14" s="67"/>
      <c r="Y14" s="67"/>
      <c r="Z14" s="67"/>
      <c r="AA14" s="67"/>
    </row>
    <row r="15" spans="2:28" s="68" customFormat="1" ht="28.2" customHeight="1" x14ac:dyDescent="0.25">
      <c r="B15" s="67"/>
      <c r="C15" s="67"/>
      <c r="D15" s="67"/>
      <c r="E15" s="67"/>
      <c r="F15" s="67"/>
      <c r="G15" s="67"/>
      <c r="H15" s="67"/>
      <c r="I15" s="67"/>
      <c r="J15" s="67"/>
      <c r="K15" s="67"/>
      <c r="L15" s="67"/>
      <c r="M15" s="67"/>
      <c r="N15" s="67"/>
      <c r="O15" s="67"/>
      <c r="P15" s="67"/>
      <c r="Q15" s="67"/>
      <c r="R15" s="67"/>
      <c r="S15" s="67"/>
      <c r="T15" s="67"/>
      <c r="U15" s="67"/>
      <c r="V15" s="67"/>
      <c r="W15" s="67"/>
      <c r="X15" s="67"/>
      <c r="Y15" s="67"/>
      <c r="Z15" s="67"/>
      <c r="AA15" s="67"/>
    </row>
    <row r="16" spans="2:28" s="68" customFormat="1" ht="28.2" customHeight="1" x14ac:dyDescent="0.25">
      <c r="B16" s="76" t="s">
        <v>309</v>
      </c>
      <c r="C16" s="67"/>
      <c r="D16" s="67"/>
      <c r="E16" s="67"/>
      <c r="F16" s="67"/>
      <c r="G16" s="67"/>
      <c r="H16" s="67"/>
      <c r="I16" s="67"/>
      <c r="J16" s="67"/>
      <c r="K16" s="67"/>
      <c r="L16" s="67"/>
      <c r="M16" s="67"/>
      <c r="N16" s="67"/>
      <c r="O16" s="67"/>
      <c r="P16" s="67"/>
      <c r="Q16" s="67"/>
      <c r="R16" s="67"/>
      <c r="S16" s="67"/>
      <c r="T16" s="67"/>
      <c r="U16" s="67"/>
      <c r="V16" s="67"/>
      <c r="W16" s="67"/>
      <c r="X16" s="67"/>
      <c r="Y16" s="67"/>
      <c r="Z16" s="67"/>
      <c r="AA16" s="67"/>
    </row>
    <row r="17" spans="2:27" s="68" customFormat="1" ht="28.2" customHeight="1" x14ac:dyDescent="0.25">
      <c r="B17" s="67"/>
      <c r="C17" s="75" t="s">
        <v>310</v>
      </c>
      <c r="D17" s="72">
        <v>0</v>
      </c>
      <c r="E17" s="72">
        <v>1.2500000000000001E-2</v>
      </c>
      <c r="F17" s="72">
        <v>2.5000000000000001E-2</v>
      </c>
      <c r="G17" s="72">
        <v>0.05</v>
      </c>
      <c r="H17" s="72">
        <v>0.1</v>
      </c>
      <c r="I17" s="72">
        <v>0.15</v>
      </c>
      <c r="J17" s="72">
        <v>0.2</v>
      </c>
      <c r="K17" s="72">
        <v>0.25</v>
      </c>
      <c r="L17" s="72">
        <v>0.3</v>
      </c>
      <c r="M17" s="72">
        <v>0.35</v>
      </c>
      <c r="N17" s="72">
        <v>0.4</v>
      </c>
      <c r="O17" s="72">
        <v>0.45</v>
      </c>
      <c r="P17" s="72">
        <v>0.5</v>
      </c>
      <c r="Q17" s="72">
        <v>0.55000000000000004</v>
      </c>
      <c r="R17" s="72">
        <v>0.6</v>
      </c>
      <c r="S17" s="72">
        <v>0.65</v>
      </c>
      <c r="T17" s="72">
        <v>0.7</v>
      </c>
      <c r="U17" s="72">
        <v>0.75</v>
      </c>
      <c r="V17" s="72">
        <v>0.8</v>
      </c>
      <c r="W17" s="72">
        <v>0.85</v>
      </c>
      <c r="X17" s="72">
        <v>0.9</v>
      </c>
      <c r="Y17" s="72">
        <v>0.95</v>
      </c>
      <c r="Z17" s="72">
        <v>1</v>
      </c>
      <c r="AA17" s="74">
        <v>0</v>
      </c>
    </row>
    <row r="18" spans="2:27" s="68" customFormat="1" ht="28.2" customHeight="1" x14ac:dyDescent="0.25">
      <c r="B18" s="73" t="s">
        <v>311</v>
      </c>
      <c r="C18" s="72">
        <v>1529.2123446805399</v>
      </c>
      <c r="D18" s="72">
        <v>1529.2123446805399</v>
      </c>
      <c r="E18" s="72">
        <v>1541.3471903720331</v>
      </c>
      <c r="F18" s="72">
        <v>1553.4820360635265</v>
      </c>
      <c r="G18" s="72">
        <v>1577.7517274465129</v>
      </c>
      <c r="H18" s="72">
        <v>1626.2911102124858</v>
      </c>
      <c r="I18" s="72">
        <v>1674.830492978459</v>
      </c>
      <c r="J18" s="72">
        <v>1723.369875744432</v>
      </c>
      <c r="K18" s="72">
        <v>1771.9092585104049</v>
      </c>
      <c r="L18" s="72">
        <v>1820.4486412763779</v>
      </c>
      <c r="M18" s="72">
        <v>1868.9880240423508</v>
      </c>
      <c r="N18" s="72">
        <v>1917.527406808324</v>
      </c>
      <c r="O18" s="72">
        <v>1966.066789574297</v>
      </c>
      <c r="P18" s="72">
        <v>2014.6061723402699</v>
      </c>
      <c r="Q18" s="72">
        <v>2063.1455551062431</v>
      </c>
      <c r="R18" s="72">
        <v>2111.6849378722159</v>
      </c>
      <c r="S18" s="72">
        <v>2160.2243206381891</v>
      </c>
      <c r="T18" s="72">
        <v>2208.7637034041618</v>
      </c>
      <c r="U18" s="72">
        <v>2257.303086170135</v>
      </c>
      <c r="V18" s="72">
        <v>2305.8424689361082</v>
      </c>
      <c r="W18" s="72">
        <v>2354.3818517020809</v>
      </c>
      <c r="X18" s="72">
        <v>2402.9212344680541</v>
      </c>
      <c r="Y18" s="72">
        <v>2451.4606172340268</v>
      </c>
      <c r="Z18" s="72">
        <v>2500</v>
      </c>
      <c r="AA18" s="72" t="s">
        <v>305</v>
      </c>
    </row>
    <row r="19" spans="2:27" s="68" customFormat="1" ht="28.2" customHeight="1" x14ac:dyDescent="0.25">
      <c r="B19" s="73" t="s">
        <v>312</v>
      </c>
      <c r="C19" s="72"/>
      <c r="D19" s="72">
        <v>0</v>
      </c>
      <c r="E19" s="72">
        <v>20088850.862154301</v>
      </c>
      <c r="F19" s="72">
        <v>24775231.612246294</v>
      </c>
      <c r="G19" s="72">
        <v>30502429.979051784</v>
      </c>
      <c r="H19" s="72">
        <v>37423987.97699824</v>
      </c>
      <c r="I19" s="72">
        <v>42057810.274144381</v>
      </c>
      <c r="J19" s="72">
        <v>45596036.782353453</v>
      </c>
      <c r="K19" s="72">
        <v>48466729.57094764</v>
      </c>
      <c r="L19" s="72">
        <v>50878931.690153912</v>
      </c>
      <c r="M19" s="72">
        <v>52952420.179987848</v>
      </c>
      <c r="N19" s="72">
        <v>54763063.499134414</v>
      </c>
      <c r="O19" s="72">
        <v>56362372.135430716</v>
      </c>
      <c r="P19" s="72">
        <v>57787154.360893898</v>
      </c>
      <c r="Q19" s="72">
        <v>59064769.413902074</v>
      </c>
      <c r="R19" s="72">
        <v>60216201.064494066</v>
      </c>
      <c r="S19" s="72">
        <v>61257961.136640325</v>
      </c>
      <c r="T19" s="72">
        <v>62203323.622573897</v>
      </c>
      <c r="U19" s="72">
        <v>63063155.541558221</v>
      </c>
      <c r="V19" s="72">
        <v>63846494.281666718</v>
      </c>
      <c r="W19" s="72">
        <v>64560959.727929614</v>
      </c>
      <c r="X19" s="72">
        <v>65213055.36430081</v>
      </c>
      <c r="Y19" s="72">
        <v>65808392.755080439</v>
      </c>
      <c r="Z19" s="72">
        <v>66351861.906783789</v>
      </c>
      <c r="AA19" s="72">
        <v>1</v>
      </c>
    </row>
    <row r="20" spans="2:27" s="68" customFormat="1" ht="28.2" customHeight="1" x14ac:dyDescent="0.25">
      <c r="B20" s="59"/>
      <c r="C20" s="72"/>
      <c r="D20" s="72">
        <v>61.1684937872216</v>
      </c>
      <c r="E20" s="72">
        <v>61.65388761488132</v>
      </c>
      <c r="F20" s="72">
        <v>62.139281442541062</v>
      </c>
      <c r="G20" s="72">
        <v>63.11006909786051</v>
      </c>
      <c r="H20" s="72">
        <v>65.051644408499428</v>
      </c>
      <c r="I20" s="72">
        <v>66.993219719138366</v>
      </c>
      <c r="J20" s="72">
        <v>68.934795029777277</v>
      </c>
      <c r="K20" s="72">
        <v>70.876370340416202</v>
      </c>
      <c r="L20" s="72">
        <v>72.817945651055112</v>
      </c>
      <c r="M20" s="72">
        <v>74.759520961694037</v>
      </c>
      <c r="N20" s="72">
        <v>76.701096272332961</v>
      </c>
      <c r="O20" s="72">
        <v>78.642671582971886</v>
      </c>
      <c r="P20" s="72">
        <v>80.584246893610796</v>
      </c>
      <c r="Q20" s="72">
        <v>82.525822204249721</v>
      </c>
      <c r="R20" s="72">
        <v>84.467397514888631</v>
      </c>
      <c r="S20" s="72">
        <v>86.40897282552757</v>
      </c>
      <c r="T20" s="72">
        <v>88.350548136166481</v>
      </c>
      <c r="U20" s="72">
        <v>90.292123446805391</v>
      </c>
      <c r="V20" s="72">
        <v>92.23369875744433</v>
      </c>
      <c r="W20" s="72">
        <v>94.17527406808324</v>
      </c>
      <c r="X20" s="72">
        <v>96.116849378722151</v>
      </c>
      <c r="Y20" s="72">
        <v>98.058424689361061</v>
      </c>
      <c r="Z20" s="72">
        <v>100</v>
      </c>
      <c r="AA20" s="72">
        <v>0</v>
      </c>
    </row>
    <row r="21" spans="2:27" s="68" customFormat="1" ht="28.2" customHeight="1" x14ac:dyDescent="0.25">
      <c r="B21" s="73" t="s">
        <v>313</v>
      </c>
      <c r="C21" s="72">
        <v>1776.2911102124858</v>
      </c>
      <c r="D21" s="72">
        <v>1776.2911102124858</v>
      </c>
      <c r="E21" s="72">
        <v>1785.3374713348298</v>
      </c>
      <c r="F21" s="72">
        <v>1794.3838324571736</v>
      </c>
      <c r="G21" s="72">
        <v>1812.4765547018615</v>
      </c>
      <c r="H21" s="72">
        <v>1848.6619991912373</v>
      </c>
      <c r="I21" s="72">
        <v>1884.847443680613</v>
      </c>
      <c r="J21" s="72">
        <v>1921.0328881699886</v>
      </c>
      <c r="K21" s="72">
        <v>1957.2183326593645</v>
      </c>
      <c r="L21" s="72">
        <v>1993.4037771487401</v>
      </c>
      <c r="M21" s="72">
        <v>2029.5892216381158</v>
      </c>
      <c r="N21" s="72">
        <v>2065.7746661274914</v>
      </c>
      <c r="O21" s="72">
        <v>2101.960110616867</v>
      </c>
      <c r="P21" s="72">
        <v>2138.1455551062427</v>
      </c>
      <c r="Q21" s="72">
        <v>2174.3309995956188</v>
      </c>
      <c r="R21" s="72">
        <v>2210.5164440849944</v>
      </c>
      <c r="S21" s="72">
        <v>2246.7018885743701</v>
      </c>
      <c r="T21" s="72">
        <v>2282.8873330637457</v>
      </c>
      <c r="U21" s="72">
        <v>2319.0727775531213</v>
      </c>
      <c r="V21" s="72">
        <v>2355.2582220424974</v>
      </c>
      <c r="W21" s="72">
        <v>2391.4436665318726</v>
      </c>
      <c r="X21" s="72">
        <v>2427.6291110212487</v>
      </c>
      <c r="Y21" s="72">
        <v>2463.8145555106244</v>
      </c>
      <c r="Z21" s="72">
        <v>2500</v>
      </c>
      <c r="AA21" s="72" t="s">
        <v>305</v>
      </c>
    </row>
    <row r="22" spans="2:27" s="68" customFormat="1" ht="28.2" customHeight="1" x14ac:dyDescent="0.25">
      <c r="B22" s="73" t="s">
        <v>314</v>
      </c>
      <c r="C22" s="72"/>
      <c r="D22" s="72">
        <v>0</v>
      </c>
      <c r="E22" s="72">
        <v>17075661.070526212</v>
      </c>
      <c r="F22" s="72">
        <v>21065312.280193795</v>
      </c>
      <c r="G22" s="72">
        <v>25950222.548611883</v>
      </c>
      <c r="H22" s="72">
        <v>31876711.928501058</v>
      </c>
      <c r="I22" s="72">
        <v>35866747.492956109</v>
      </c>
      <c r="J22" s="72">
        <v>38931334.987747982</v>
      </c>
      <c r="K22" s="72">
        <v>41433120.314325169</v>
      </c>
      <c r="L22" s="72">
        <v>43549017.649655975</v>
      </c>
      <c r="M22" s="72">
        <v>45380285.71755109</v>
      </c>
      <c r="N22" s="72">
        <v>46990989.520153292</v>
      </c>
      <c r="O22" s="72">
        <v>48424571.43123164</v>
      </c>
      <c r="P22" s="72">
        <v>49712031.888009682</v>
      </c>
      <c r="Q22" s="72">
        <v>50876378.156350628</v>
      </c>
      <c r="R22" s="72">
        <v>51935226.114287011</v>
      </c>
      <c r="S22" s="72">
        <v>52902410.879593246</v>
      </c>
      <c r="T22" s="72">
        <v>53789030.558731377</v>
      </c>
      <c r="U22" s="72">
        <v>54604148.614771783</v>
      </c>
      <c r="V22" s="72">
        <v>55355281.686675735</v>
      </c>
      <c r="W22" s="72">
        <v>56048747.635714084</v>
      </c>
      <c r="X22" s="72">
        <v>56689919.693694994</v>
      </c>
      <c r="Y22" s="72">
        <v>57283415.833530024</v>
      </c>
      <c r="Z22" s="72">
        <v>57833242.402455509</v>
      </c>
      <c r="AA22" s="72">
        <v>0.9</v>
      </c>
    </row>
    <row r="23" spans="2:27" s="68" customFormat="1" ht="28.2" customHeight="1" x14ac:dyDescent="0.25">
      <c r="B23" s="59"/>
      <c r="C23" s="72"/>
      <c r="D23" s="72">
        <v>71.051644408499442</v>
      </c>
      <c r="E23" s="72">
        <v>71.413498853393193</v>
      </c>
      <c r="F23" s="72">
        <v>71.775353298286944</v>
      </c>
      <c r="G23" s="72">
        <v>72.499062188074461</v>
      </c>
      <c r="H23" s="72">
        <v>73.946479967649495</v>
      </c>
      <c r="I23" s="72">
        <v>75.393897747224514</v>
      </c>
      <c r="J23" s="72">
        <v>76.841315526799548</v>
      </c>
      <c r="K23" s="72">
        <v>78.288733306374581</v>
      </c>
      <c r="L23" s="72">
        <v>79.736151085949601</v>
      </c>
      <c r="M23" s="72">
        <v>81.183568865524634</v>
      </c>
      <c r="N23" s="72">
        <v>82.630986645099654</v>
      </c>
      <c r="O23" s="72">
        <v>84.078404424674673</v>
      </c>
      <c r="P23" s="72">
        <v>85.525822204249707</v>
      </c>
      <c r="Q23" s="72">
        <v>86.97323998382474</v>
      </c>
      <c r="R23" s="72">
        <v>88.420657763399774</v>
      </c>
      <c r="S23" s="72">
        <v>89.868075542974807</v>
      </c>
      <c r="T23" s="72">
        <v>91.315493322549827</v>
      </c>
      <c r="U23" s="72">
        <v>92.76291110212486</v>
      </c>
      <c r="V23" s="72">
        <v>94.210328881699894</v>
      </c>
      <c r="W23" s="72">
        <v>95.657746661274899</v>
      </c>
      <c r="X23" s="72">
        <v>97.105164440849947</v>
      </c>
      <c r="Y23" s="72">
        <v>98.552582220424981</v>
      </c>
      <c r="Z23" s="72">
        <v>100</v>
      </c>
      <c r="AA23" s="72">
        <v>0</v>
      </c>
    </row>
    <row r="24" spans="2:27" s="68" customFormat="1" ht="28.2" customHeight="1" x14ac:dyDescent="0.25">
      <c r="B24" s="73" t="s">
        <v>315</v>
      </c>
      <c r="C24" s="72">
        <v>2023.3698757444317</v>
      </c>
      <c r="D24" s="72">
        <v>2023.3698757444317</v>
      </c>
      <c r="E24" s="72">
        <v>2029.3277522976264</v>
      </c>
      <c r="F24" s="72">
        <v>2035.285628850821</v>
      </c>
      <c r="G24" s="72">
        <v>2047.2013819572101</v>
      </c>
      <c r="H24" s="72">
        <v>2071.0328881699884</v>
      </c>
      <c r="I24" s="72">
        <v>2094.8643943827669</v>
      </c>
      <c r="J24" s="72">
        <v>2118.6959005955455</v>
      </c>
      <c r="K24" s="72">
        <v>2142.5274068083236</v>
      </c>
      <c r="L24" s="72">
        <v>2166.3589130211021</v>
      </c>
      <c r="M24" s="72">
        <v>2190.1904192338807</v>
      </c>
      <c r="N24" s="72">
        <v>2214.0219254466592</v>
      </c>
      <c r="O24" s="72">
        <v>2237.8534316594373</v>
      </c>
      <c r="P24" s="72">
        <v>2261.6849378722159</v>
      </c>
      <c r="Q24" s="72">
        <v>2285.5164440849944</v>
      </c>
      <c r="R24" s="72">
        <v>2309.3479502977725</v>
      </c>
      <c r="S24" s="72">
        <v>2333.1794565105511</v>
      </c>
      <c r="T24" s="72">
        <v>2357.0109627233296</v>
      </c>
      <c r="U24" s="72">
        <v>2380.8424689361082</v>
      </c>
      <c r="V24" s="72">
        <v>2404.6739751488863</v>
      </c>
      <c r="W24" s="72">
        <v>2428.5054813616648</v>
      </c>
      <c r="X24" s="72">
        <v>2452.3369875744434</v>
      </c>
      <c r="Y24" s="72">
        <v>2476.1684937872215</v>
      </c>
      <c r="Z24" s="72">
        <v>2500</v>
      </c>
      <c r="AA24" s="72" t="s">
        <v>305</v>
      </c>
    </row>
    <row r="25" spans="2:27" s="68" customFormat="1" ht="28.2" customHeight="1" x14ac:dyDescent="0.25">
      <c r="B25" s="73" t="s">
        <v>316</v>
      </c>
      <c r="C25" s="72"/>
      <c r="D25" s="72">
        <v>0</v>
      </c>
      <c r="E25" s="72">
        <v>13856957.666206079</v>
      </c>
      <c r="F25" s="72">
        <v>17100854.833500877</v>
      </c>
      <c r="G25" s="72">
        <v>21081964.504783742</v>
      </c>
      <c r="H25" s="72">
        <v>25935073.315333188</v>
      </c>
      <c r="I25" s="72">
        <v>29225030.650664899</v>
      </c>
      <c r="J25" s="72">
        <v>31769930.630707417</v>
      </c>
      <c r="K25" s="72">
        <v>33862848.794848196</v>
      </c>
      <c r="L25" s="72">
        <v>35646581.785134666</v>
      </c>
      <c r="M25" s="72">
        <v>37202757.145390704</v>
      </c>
      <c r="N25" s="72">
        <v>38582951.597497068</v>
      </c>
      <c r="O25" s="72">
        <v>39822090.931507774</v>
      </c>
      <c r="P25" s="72">
        <v>40945061.622214623</v>
      </c>
      <c r="Q25" s="72">
        <v>41970304.403777704</v>
      </c>
      <c r="R25" s="72">
        <v>42911914.797576442</v>
      </c>
      <c r="S25" s="72">
        <v>43780942.748500392</v>
      </c>
      <c r="T25" s="72">
        <v>44586234.388893455</v>
      </c>
      <c r="U25" s="72">
        <v>45334998.178077988</v>
      </c>
      <c r="V25" s="72">
        <v>46033197.889231943</v>
      </c>
      <c r="W25" s="72">
        <v>46685832.837051719</v>
      </c>
      <c r="X25" s="72">
        <v>47297142.385082997</v>
      </c>
      <c r="Y25" s="72">
        <v>47870758.236724064</v>
      </c>
      <c r="Z25" s="72">
        <v>48409819.872920372</v>
      </c>
      <c r="AA25" s="72">
        <v>0.8</v>
      </c>
    </row>
    <row r="26" spans="2:27" s="68" customFormat="1" ht="28.2" customHeight="1" x14ac:dyDescent="0.25">
      <c r="B26" s="59"/>
      <c r="C26" s="72"/>
      <c r="D26" s="72">
        <v>80.934795029777277</v>
      </c>
      <c r="E26" s="72">
        <v>81.173110091905059</v>
      </c>
      <c r="F26" s="72">
        <v>81.411425154032841</v>
      </c>
      <c r="G26" s="72">
        <v>81.888055278288405</v>
      </c>
      <c r="H26" s="72">
        <v>82.841315526799534</v>
      </c>
      <c r="I26" s="72">
        <v>83.794575775310676</v>
      </c>
      <c r="J26" s="72">
        <v>84.747836023821819</v>
      </c>
      <c r="K26" s="72">
        <v>85.701096272332947</v>
      </c>
      <c r="L26" s="72">
        <v>86.65435652084409</v>
      </c>
      <c r="M26" s="72">
        <v>87.607616769355218</v>
      </c>
      <c r="N26" s="72">
        <v>88.560877017866375</v>
      </c>
      <c r="O26" s="72">
        <v>89.514137266377489</v>
      </c>
      <c r="P26" s="72">
        <v>90.467397514888631</v>
      </c>
      <c r="Q26" s="72">
        <v>91.420657763399788</v>
      </c>
      <c r="R26" s="72">
        <v>92.373918011910902</v>
      </c>
      <c r="S26" s="72">
        <v>93.327178260422045</v>
      </c>
      <c r="T26" s="72">
        <v>94.280438508933187</v>
      </c>
      <c r="U26" s="72">
        <v>95.23369875744433</v>
      </c>
      <c r="V26" s="72">
        <v>96.186959005955458</v>
      </c>
      <c r="W26" s="72">
        <v>97.140219254466601</v>
      </c>
      <c r="X26" s="72">
        <v>98.093479502977729</v>
      </c>
      <c r="Y26" s="72">
        <v>99.046739751488857</v>
      </c>
      <c r="Z26" s="72">
        <v>100</v>
      </c>
      <c r="AA26" s="72" t="s">
        <v>134</v>
      </c>
    </row>
    <row r="27" spans="2:27" s="68" customFormat="1" ht="28.2" customHeight="1" x14ac:dyDescent="0.25">
      <c r="B27" s="73" t="s">
        <v>317</v>
      </c>
      <c r="C27" s="72">
        <v>2270.4486412763777</v>
      </c>
      <c r="D27" s="72">
        <v>2270.4486412763777</v>
      </c>
      <c r="E27" s="72">
        <v>2273.3180332604229</v>
      </c>
      <c r="F27" s="72">
        <v>2276.1874252444682</v>
      </c>
      <c r="G27" s="72">
        <v>2281.9262092125587</v>
      </c>
      <c r="H27" s="72">
        <v>2293.4037771487401</v>
      </c>
      <c r="I27" s="72">
        <v>2304.8813450849211</v>
      </c>
      <c r="J27" s="72">
        <v>2316.3589130211021</v>
      </c>
      <c r="K27" s="72">
        <v>2327.8364809572831</v>
      </c>
      <c r="L27" s="72">
        <v>2339.3140488934641</v>
      </c>
      <c r="M27" s="72">
        <v>2350.7916168296456</v>
      </c>
      <c r="N27" s="72">
        <v>2362.2691847658266</v>
      </c>
      <c r="O27" s="72">
        <v>2373.7467527020076</v>
      </c>
      <c r="P27" s="72">
        <v>2385.2243206381891</v>
      </c>
      <c r="Q27" s="72">
        <v>2396.7018885743701</v>
      </c>
      <c r="R27" s="72">
        <v>2408.1794565105511</v>
      </c>
      <c r="S27" s="72">
        <v>2419.6570244467321</v>
      </c>
      <c r="T27" s="72">
        <v>2431.1345923829131</v>
      </c>
      <c r="U27" s="72">
        <v>2442.6121603190945</v>
      </c>
      <c r="V27" s="72">
        <v>2454.0897282552755</v>
      </c>
      <c r="W27" s="72">
        <v>2465.5672961914565</v>
      </c>
      <c r="X27" s="72">
        <v>2477.044864127638</v>
      </c>
      <c r="Y27" s="72">
        <v>2488.522432063819</v>
      </c>
      <c r="Z27" s="72">
        <v>2500</v>
      </c>
      <c r="AA27" s="72" t="s">
        <v>305</v>
      </c>
    </row>
    <row r="28" spans="2:27" s="68" customFormat="1" ht="28.2" customHeight="1" x14ac:dyDescent="0.25">
      <c r="B28" s="73" t="s">
        <v>318</v>
      </c>
      <c r="C28" s="72"/>
      <c r="D28" s="72">
        <v>0</v>
      </c>
      <c r="E28" s="72">
        <v>10111105.978979897</v>
      </c>
      <c r="F28" s="72">
        <v>12483993.185144983</v>
      </c>
      <c r="G28" s="72">
        <v>15404849.505670803</v>
      </c>
      <c r="H28" s="72">
        <v>18987093.214829642</v>
      </c>
      <c r="I28" s="72">
        <v>21436551.255732544</v>
      </c>
      <c r="J28" s="72">
        <v>23347986.14664413</v>
      </c>
      <c r="K28" s="72">
        <v>24934123.670799948</v>
      </c>
      <c r="L28" s="72">
        <v>26298450.419562049</v>
      </c>
      <c r="M28" s="72">
        <v>27500031.47068892</v>
      </c>
      <c r="N28" s="72">
        <v>28576129.083747063</v>
      </c>
      <c r="O28" s="72">
        <v>29551935.735297877</v>
      </c>
      <c r="P28" s="72">
        <v>30445373.172882214</v>
      </c>
      <c r="Q28" s="72">
        <v>31269699.04329345</v>
      </c>
      <c r="R28" s="72">
        <v>32035029.498646289</v>
      </c>
      <c r="S28" s="72">
        <v>32749280.628422242</v>
      </c>
      <c r="T28" s="72">
        <v>33418777.808603518</v>
      </c>
      <c r="U28" s="72">
        <v>34048665.252886176</v>
      </c>
      <c r="V28" s="72">
        <v>34643190.112691306</v>
      </c>
      <c r="W28" s="72">
        <v>35205904.924348459</v>
      </c>
      <c r="X28" s="72">
        <v>35739815.253049709</v>
      </c>
      <c r="Y28" s="72">
        <v>36247489.564345673</v>
      </c>
      <c r="Z28" s="72">
        <v>36731142.450291805</v>
      </c>
      <c r="AA28" s="72">
        <v>0.7</v>
      </c>
    </row>
    <row r="29" spans="2:27" s="68" customFormat="1" ht="28.2" customHeight="1" x14ac:dyDescent="0.25">
      <c r="B29" s="71"/>
      <c r="C29" s="67"/>
      <c r="D29" s="72">
        <v>90.817945651055112</v>
      </c>
      <c r="E29" s="72">
        <v>90.932721330416925</v>
      </c>
      <c r="F29" s="72">
        <v>91.047497009778724</v>
      </c>
      <c r="G29" s="72">
        <v>91.277048368502349</v>
      </c>
      <c r="H29" s="72">
        <v>91.736151085949601</v>
      </c>
      <c r="I29" s="72">
        <v>92.195253803396852</v>
      </c>
      <c r="J29" s="72">
        <v>92.65435652084409</v>
      </c>
      <c r="K29" s="72">
        <v>93.113459238291327</v>
      </c>
      <c r="L29" s="72">
        <v>93.572561955738564</v>
      </c>
      <c r="M29" s="72">
        <v>94.031664673185816</v>
      </c>
      <c r="N29" s="72">
        <v>94.490767390633067</v>
      </c>
      <c r="O29" s="72">
        <v>94.949870108080304</v>
      </c>
      <c r="P29" s="72">
        <v>95.408972825527556</v>
      </c>
      <c r="Q29" s="72">
        <v>95.868075542974807</v>
      </c>
      <c r="R29" s="72">
        <v>96.327178260422045</v>
      </c>
      <c r="S29" s="72">
        <v>96.786280977869282</v>
      </c>
      <c r="T29" s="72">
        <v>97.245383695316519</v>
      </c>
      <c r="U29" s="72">
        <v>97.704486412763785</v>
      </c>
      <c r="V29" s="72">
        <v>98.163589130211022</v>
      </c>
      <c r="W29" s="72">
        <v>98.62269184765826</v>
      </c>
      <c r="X29" s="72">
        <v>99.081794565105525</v>
      </c>
      <c r="Y29" s="72">
        <v>99.540897282552763</v>
      </c>
      <c r="Z29" s="72">
        <v>100</v>
      </c>
      <c r="AA29" s="72">
        <v>0</v>
      </c>
    </row>
    <row r="30" spans="2:27" s="68" customFormat="1" ht="28.2" customHeight="1" x14ac:dyDescent="0.25">
      <c r="B30" s="73" t="s">
        <v>319</v>
      </c>
      <c r="C30" s="72">
        <v>2517.527406808324</v>
      </c>
      <c r="D30" s="72">
        <v>2517.527406808324</v>
      </c>
      <c r="E30" s="72">
        <v>2517.3083142232199</v>
      </c>
      <c r="F30" s="72">
        <v>2517.0892216381158</v>
      </c>
      <c r="G30" s="72">
        <v>2516.6510364679079</v>
      </c>
      <c r="H30" s="72">
        <v>2515.7746661274914</v>
      </c>
      <c r="I30" s="72">
        <v>2514.8982957870753</v>
      </c>
      <c r="J30" s="72">
        <v>2514.0219254466592</v>
      </c>
      <c r="K30" s="72">
        <v>2513.1455551062431</v>
      </c>
      <c r="L30" s="72">
        <v>2512.269184765827</v>
      </c>
      <c r="M30" s="72">
        <v>2511.3928144254105</v>
      </c>
      <c r="N30" s="72">
        <v>2510.5164440849944</v>
      </c>
      <c r="O30" s="72">
        <v>2509.6400737445783</v>
      </c>
      <c r="P30" s="72">
        <v>2508.7637034041618</v>
      </c>
      <c r="Q30" s="72">
        <v>2507.8873330637457</v>
      </c>
      <c r="R30" s="72">
        <v>2507.0109627233296</v>
      </c>
      <c r="S30" s="72">
        <v>2506.1345923829135</v>
      </c>
      <c r="T30" s="72">
        <v>2505.2582220424974</v>
      </c>
      <c r="U30" s="72">
        <v>2504.3818517020809</v>
      </c>
      <c r="V30" s="72">
        <v>2503.5054813616648</v>
      </c>
      <c r="W30" s="72">
        <v>2502.6291110212487</v>
      </c>
      <c r="X30" s="72">
        <v>2501.7527406808322</v>
      </c>
      <c r="Y30" s="72">
        <v>2500.8763703404161</v>
      </c>
      <c r="Z30" s="72">
        <v>2500</v>
      </c>
      <c r="AA30" s="72" t="s">
        <v>305</v>
      </c>
    </row>
    <row r="31" spans="2:27" s="68" customFormat="1" ht="27.75" customHeight="1" x14ac:dyDescent="0.25">
      <c r="B31" s="73" t="s">
        <v>320</v>
      </c>
      <c r="C31" s="72"/>
      <c r="D31" s="72">
        <v>0</v>
      </c>
      <c r="E31" s="72">
        <v>0</v>
      </c>
      <c r="F31" s="72">
        <v>0</v>
      </c>
      <c r="G31" s="72">
        <v>0</v>
      </c>
      <c r="H31" s="72">
        <v>0</v>
      </c>
      <c r="I31" s="72">
        <v>0</v>
      </c>
      <c r="J31" s="72">
        <v>0</v>
      </c>
      <c r="K31" s="72">
        <v>0</v>
      </c>
      <c r="L31" s="72">
        <v>0</v>
      </c>
      <c r="M31" s="72">
        <v>0</v>
      </c>
      <c r="N31" s="72">
        <v>0</v>
      </c>
      <c r="O31" s="72">
        <v>0</v>
      </c>
      <c r="P31" s="72">
        <v>0</v>
      </c>
      <c r="Q31" s="72">
        <v>0</v>
      </c>
      <c r="R31" s="72">
        <v>0</v>
      </c>
      <c r="S31" s="72">
        <v>0</v>
      </c>
      <c r="T31" s="72">
        <v>0</v>
      </c>
      <c r="U31" s="72">
        <v>0</v>
      </c>
      <c r="V31" s="72">
        <v>0</v>
      </c>
      <c r="W31" s="72">
        <v>0</v>
      </c>
      <c r="X31" s="72">
        <v>0</v>
      </c>
      <c r="Y31" s="72">
        <v>0</v>
      </c>
      <c r="Z31" s="72">
        <v>0</v>
      </c>
      <c r="AA31" s="72">
        <v>0.6</v>
      </c>
    </row>
    <row r="32" spans="2:27" s="68" customFormat="1" ht="28.2" customHeight="1" x14ac:dyDescent="0.25">
      <c r="B32" s="59"/>
      <c r="C32" s="72"/>
      <c r="D32" s="72">
        <v>100.70109627233296</v>
      </c>
      <c r="E32" s="72">
        <v>100.6923325689288</v>
      </c>
      <c r="F32" s="72">
        <v>100.68356886552463</v>
      </c>
      <c r="G32" s="72">
        <v>100.66604145871632</v>
      </c>
      <c r="H32" s="72">
        <v>100.63098664509967</v>
      </c>
      <c r="I32" s="72">
        <v>100.59593183148301</v>
      </c>
      <c r="J32" s="72">
        <v>100.56087701786637</v>
      </c>
      <c r="K32" s="72">
        <v>100.52582220424972</v>
      </c>
      <c r="L32" s="72">
        <v>100.49076739063307</v>
      </c>
      <c r="M32" s="72">
        <v>100.45571257701641</v>
      </c>
      <c r="N32" s="72">
        <v>100.42065776339977</v>
      </c>
      <c r="O32" s="72">
        <v>100.38560294978313</v>
      </c>
      <c r="P32" s="72">
        <v>100.35054813616647</v>
      </c>
      <c r="Q32" s="72">
        <v>100.31549332254983</v>
      </c>
      <c r="R32" s="72">
        <v>100.28043850893317</v>
      </c>
      <c r="S32" s="72">
        <v>100.24538369531655</v>
      </c>
      <c r="T32" s="72">
        <v>100.21032888169989</v>
      </c>
      <c r="U32" s="72">
        <v>100.17527406808324</v>
      </c>
      <c r="V32" s="72">
        <v>100.14021925446659</v>
      </c>
      <c r="W32" s="72">
        <v>100.10516444084996</v>
      </c>
      <c r="X32" s="72">
        <v>100.07010962723328</v>
      </c>
      <c r="Y32" s="72">
        <v>100.03505481361665</v>
      </c>
      <c r="Z32" s="72">
        <v>100</v>
      </c>
      <c r="AA32" s="72" t="s">
        <v>134</v>
      </c>
    </row>
    <row r="33" spans="2:27" s="68" customFormat="1" ht="28.2" customHeight="1" x14ac:dyDescent="0.25">
      <c r="B33" s="73" t="s">
        <v>321</v>
      </c>
      <c r="C33" s="72">
        <v>1282.1335791485935</v>
      </c>
      <c r="D33" s="72">
        <v>1282.1335791485935</v>
      </c>
      <c r="E33" s="72">
        <v>1297.3569094092361</v>
      </c>
      <c r="F33" s="72">
        <v>1312.5802396698787</v>
      </c>
      <c r="G33" s="72">
        <v>1343.0269001911638</v>
      </c>
      <c r="H33" s="72">
        <v>1403.9202212337341</v>
      </c>
      <c r="I33" s="72">
        <v>1464.8135422763046</v>
      </c>
      <c r="J33" s="72">
        <v>1525.7068633188749</v>
      </c>
      <c r="K33" s="72">
        <v>1586.6001843614451</v>
      </c>
      <c r="L33" s="72">
        <v>1647.4935054040154</v>
      </c>
      <c r="M33" s="72">
        <v>1708.3868264465857</v>
      </c>
      <c r="N33" s="72">
        <v>1769.2801474891562</v>
      </c>
      <c r="O33" s="72">
        <v>1830.1734685317265</v>
      </c>
      <c r="P33" s="72">
        <v>1891.0667895742968</v>
      </c>
      <c r="Q33" s="72">
        <v>1951.960110616867</v>
      </c>
      <c r="R33" s="72">
        <v>2012.8534316594373</v>
      </c>
      <c r="S33" s="72">
        <v>2073.7467527020076</v>
      </c>
      <c r="T33" s="72">
        <v>2134.6400737445779</v>
      </c>
      <c r="U33" s="72">
        <v>2195.5333947871486</v>
      </c>
      <c r="V33" s="72">
        <v>2256.4267158297189</v>
      </c>
      <c r="W33" s="72">
        <v>2317.3200368722892</v>
      </c>
      <c r="X33" s="72">
        <v>2378.2133579148594</v>
      </c>
      <c r="Y33" s="72">
        <v>2439.1066789574297</v>
      </c>
      <c r="Z33" s="72">
        <v>2500</v>
      </c>
      <c r="AA33" s="72" t="s">
        <v>305</v>
      </c>
    </row>
    <row r="34" spans="2:27" s="68" customFormat="1" ht="28.2" customHeight="1" x14ac:dyDescent="0.25">
      <c r="B34" s="73" t="s">
        <v>322</v>
      </c>
      <c r="C34" s="72"/>
      <c r="D34" s="72">
        <v>0</v>
      </c>
      <c r="E34" s="72">
        <v>22995988.431346659</v>
      </c>
      <c r="F34" s="72">
        <v>28353724.910369352</v>
      </c>
      <c r="G34" s="72">
        <v>34891265.947408445</v>
      </c>
      <c r="H34" s="72">
        <v>42766966.066761181</v>
      </c>
      <c r="I34" s="72">
        <v>48014928.805158094</v>
      </c>
      <c r="J34" s="72">
        <v>52002385.723906077</v>
      </c>
      <c r="K34" s="72">
        <v>55220693.618098989</v>
      </c>
      <c r="L34" s="72">
        <v>57910016.055538908</v>
      </c>
      <c r="M34" s="72">
        <v>60208090.293978982</v>
      </c>
      <c r="N34" s="72">
        <v>62202250.56296692</v>
      </c>
      <c r="O34" s="72">
        <v>63951859.932643637</v>
      </c>
      <c r="P34" s="72">
        <v>65499393.02817104</v>
      </c>
      <c r="Q34" s="72">
        <v>66876467.712318778</v>
      </c>
      <c r="R34" s="72">
        <v>68107375.437582701</v>
      </c>
      <c r="S34" s="72">
        <v>69211268.497060224</v>
      </c>
      <c r="T34" s="72">
        <v>70203578.652415618</v>
      </c>
      <c r="U34" s="72">
        <v>71096972.614416242</v>
      </c>
      <c r="V34" s="72">
        <v>71902016.273781985</v>
      </c>
      <c r="W34" s="72">
        <v>72627649.073315889</v>
      </c>
      <c r="X34" s="72">
        <v>73281530.751139149</v>
      </c>
      <c r="Y34" s="72">
        <v>73870299.972996294</v>
      </c>
      <c r="Z34" s="72">
        <v>74399770.700722113</v>
      </c>
      <c r="AA34" s="72">
        <v>1.1000000000000001</v>
      </c>
    </row>
    <row r="35" spans="2:27" s="68" customFormat="1" ht="28.2" customHeight="1" x14ac:dyDescent="0.25">
      <c r="B35" s="71"/>
      <c r="C35" s="67"/>
      <c r="D35" s="72">
        <v>51.285343165943743</v>
      </c>
      <c r="E35" s="72">
        <v>51.89427637636944</v>
      </c>
      <c r="F35" s="72">
        <v>52.503209586795151</v>
      </c>
      <c r="G35" s="72">
        <v>53.721076007646552</v>
      </c>
      <c r="H35" s="72">
        <v>56.15680884934936</v>
      </c>
      <c r="I35" s="72">
        <v>58.592541691052183</v>
      </c>
      <c r="J35" s="72">
        <v>61.028274532754992</v>
      </c>
      <c r="K35" s="72">
        <v>63.464007374457807</v>
      </c>
      <c r="L35" s="72">
        <v>65.899740216160623</v>
      </c>
      <c r="M35" s="72">
        <v>68.335473057863425</v>
      </c>
      <c r="N35" s="72">
        <v>70.77120589956624</v>
      </c>
      <c r="O35" s="72">
        <v>73.206938741269056</v>
      </c>
      <c r="P35" s="72">
        <v>75.642671582971872</v>
      </c>
      <c r="Q35" s="72">
        <v>78.078404424674687</v>
      </c>
      <c r="R35" s="72">
        <v>80.514137266377489</v>
      </c>
      <c r="S35" s="72">
        <v>82.949870108080304</v>
      </c>
      <c r="T35" s="72">
        <v>85.385602949783106</v>
      </c>
      <c r="U35" s="72">
        <v>87.82133579148595</v>
      </c>
      <c r="V35" s="72">
        <v>90.257068633188752</v>
      </c>
      <c r="W35" s="72">
        <v>92.692801474891567</v>
      </c>
      <c r="X35" s="72">
        <v>95.128534316594383</v>
      </c>
      <c r="Y35" s="72">
        <v>97.564267158297184</v>
      </c>
      <c r="Z35" s="72">
        <v>100</v>
      </c>
      <c r="AA35" s="72">
        <v>0</v>
      </c>
    </row>
    <row r="36" spans="2:27" s="68" customFormat="1" ht="28.2" customHeight="1" x14ac:dyDescent="0.25">
      <c r="B36" s="71"/>
      <c r="C36" s="67"/>
      <c r="D36" s="71"/>
      <c r="E36" s="70"/>
      <c r="F36" s="67"/>
      <c r="G36" s="69"/>
      <c r="H36" s="67"/>
      <c r="I36" s="67"/>
      <c r="J36" s="67"/>
      <c r="K36" s="67"/>
      <c r="L36" s="67"/>
      <c r="M36" s="67"/>
      <c r="N36" s="67"/>
      <c r="O36" s="67"/>
      <c r="P36" s="67"/>
      <c r="Q36" s="67"/>
      <c r="R36" s="67"/>
      <c r="S36" s="67"/>
      <c r="T36" s="67"/>
      <c r="U36" s="67"/>
      <c r="V36" s="67"/>
      <c r="W36" s="67"/>
      <c r="X36" s="67"/>
      <c r="Y36" s="67"/>
      <c r="Z36" s="67"/>
      <c r="AA36" s="67"/>
    </row>
    <row r="37" spans="2:27" ht="28.2" customHeight="1" x14ac:dyDescent="0.3">
      <c r="B37" s="66" t="s">
        <v>323</v>
      </c>
      <c r="C37" s="67"/>
      <c r="D37" s="67"/>
      <c r="E37" s="54"/>
      <c r="F37" s="66" t="s">
        <v>324</v>
      </c>
      <c r="G37" s="66" t="s">
        <v>244</v>
      </c>
      <c r="H37" s="66" t="s">
        <v>325</v>
      </c>
      <c r="I37" s="54"/>
      <c r="J37" s="54"/>
      <c r="K37" s="54"/>
      <c r="L37" s="54"/>
      <c r="M37" s="54"/>
      <c r="N37" s="54"/>
      <c r="O37" s="54"/>
      <c r="P37" s="54"/>
      <c r="Q37" s="54"/>
      <c r="R37" s="54"/>
      <c r="S37" s="54"/>
      <c r="T37" s="54"/>
      <c r="U37" s="54"/>
      <c r="V37" s="54"/>
      <c r="W37" s="54"/>
      <c r="X37" s="54"/>
      <c r="Y37" s="54"/>
      <c r="Z37" s="54"/>
      <c r="AA37" s="54"/>
    </row>
    <row r="38" spans="2:27" ht="28.2" customHeight="1" x14ac:dyDescent="0.3">
      <c r="B38" s="56" t="s">
        <v>326</v>
      </c>
      <c r="C38" s="64">
        <v>57375000</v>
      </c>
      <c r="D38" s="62">
        <v>80</v>
      </c>
      <c r="E38" s="54"/>
      <c r="F38" s="56">
        <v>3.2789999999999999</v>
      </c>
      <c r="G38" s="60">
        <v>57375000</v>
      </c>
      <c r="H38" s="56">
        <v>2000</v>
      </c>
      <c r="I38" s="54"/>
      <c r="J38" s="54"/>
      <c r="K38" s="54"/>
      <c r="L38" s="54"/>
      <c r="M38" s="54"/>
      <c r="N38" s="54"/>
      <c r="O38" s="54"/>
      <c r="P38" s="54"/>
      <c r="Q38" s="54"/>
      <c r="R38" s="54"/>
      <c r="S38" s="54"/>
      <c r="T38" s="54"/>
      <c r="U38" s="54"/>
      <c r="V38" s="54"/>
      <c r="W38" s="54"/>
      <c r="X38" s="54"/>
      <c r="Y38" s="54"/>
      <c r="Z38" s="54"/>
      <c r="AA38" s="54"/>
    </row>
    <row r="39" spans="2:27" ht="28.2" customHeight="1" x14ac:dyDescent="0.3">
      <c r="B39" s="56" t="s">
        <v>327</v>
      </c>
      <c r="C39" s="64">
        <v>66352500</v>
      </c>
      <c r="D39" s="62">
        <v>100</v>
      </c>
      <c r="E39" s="54"/>
      <c r="F39" s="66"/>
      <c r="G39" s="54"/>
      <c r="H39" s="54"/>
      <c r="I39" s="54"/>
      <c r="J39" s="54"/>
      <c r="K39" s="54"/>
      <c r="L39" s="54"/>
      <c r="M39" s="54"/>
      <c r="N39" s="54"/>
      <c r="O39" s="54"/>
      <c r="P39" s="54"/>
      <c r="Q39" s="54"/>
      <c r="R39" s="54"/>
      <c r="S39" s="54"/>
      <c r="T39" s="54"/>
      <c r="U39" s="54"/>
      <c r="V39" s="54"/>
      <c r="W39" s="54"/>
      <c r="X39" s="54"/>
      <c r="Y39" s="54"/>
      <c r="Z39" s="54"/>
      <c r="AA39" s="54"/>
    </row>
    <row r="40" spans="2:27" ht="28.2" customHeight="1" x14ac:dyDescent="0.3">
      <c r="B40" s="56" t="s">
        <v>328</v>
      </c>
      <c r="C40" s="58">
        <v>100</v>
      </c>
      <c r="D40" s="58">
        <v>100</v>
      </c>
      <c r="E40" s="54"/>
      <c r="F40" s="56" t="s">
        <v>328</v>
      </c>
      <c r="G40" s="65">
        <v>2500</v>
      </c>
      <c r="H40" s="54"/>
      <c r="I40" s="54"/>
      <c r="J40" s="54"/>
      <c r="K40" s="54"/>
      <c r="L40" s="54"/>
      <c r="M40" s="54"/>
      <c r="N40" s="54"/>
      <c r="O40" s="54"/>
      <c r="P40" s="54"/>
      <c r="Q40" s="54"/>
      <c r="R40" s="54"/>
      <c r="S40" s="54"/>
      <c r="T40" s="54"/>
      <c r="U40" s="54"/>
      <c r="V40" s="54"/>
      <c r="W40" s="54"/>
      <c r="X40" s="54"/>
      <c r="Y40" s="54"/>
      <c r="Z40" s="54"/>
      <c r="AA40" s="54"/>
    </row>
    <row r="41" spans="2:27" ht="28.2" customHeight="1" x14ac:dyDescent="0.3">
      <c r="B41" s="56" t="s">
        <v>329</v>
      </c>
      <c r="C41" s="58">
        <v>60</v>
      </c>
      <c r="D41" s="58">
        <v>60</v>
      </c>
      <c r="E41" s="54"/>
      <c r="F41" s="56" t="s">
        <v>329</v>
      </c>
      <c r="G41" s="56">
        <v>1500</v>
      </c>
      <c r="H41" s="54"/>
      <c r="I41" s="54"/>
      <c r="J41" s="54"/>
      <c r="K41" s="54"/>
      <c r="L41" s="54"/>
      <c r="M41" s="54"/>
      <c r="N41" s="54"/>
      <c r="O41" s="54"/>
      <c r="P41" s="54"/>
      <c r="Q41" s="54"/>
      <c r="R41" s="54"/>
      <c r="S41" s="54"/>
      <c r="T41" s="54"/>
      <c r="U41" s="54"/>
      <c r="V41" s="54"/>
      <c r="W41" s="54"/>
      <c r="X41" s="54"/>
      <c r="Y41" s="54"/>
      <c r="Z41" s="54"/>
      <c r="AA41" s="54"/>
    </row>
    <row r="42" spans="2:27" ht="28.2" customHeight="1" x14ac:dyDescent="0.3">
      <c r="B42" s="56" t="s">
        <v>325</v>
      </c>
      <c r="C42" s="58">
        <v>80</v>
      </c>
      <c r="D42" s="58">
        <v>80</v>
      </c>
      <c r="E42" s="54"/>
      <c r="F42" s="56" t="s">
        <v>330</v>
      </c>
      <c r="G42" s="61">
        <v>1000</v>
      </c>
      <c r="H42" s="54"/>
      <c r="I42" s="54"/>
      <c r="J42" s="54"/>
      <c r="K42" s="54"/>
      <c r="L42" s="54"/>
      <c r="M42" s="54"/>
      <c r="N42" s="54"/>
      <c r="O42" s="54"/>
      <c r="P42" s="54"/>
      <c r="Q42" s="54"/>
      <c r="R42" s="54"/>
      <c r="S42" s="54"/>
      <c r="T42" s="54"/>
      <c r="U42" s="54"/>
      <c r="V42" s="54"/>
      <c r="W42" s="54"/>
      <c r="X42" s="54"/>
      <c r="Y42" s="54"/>
      <c r="Z42" s="54"/>
      <c r="AA42" s="54"/>
    </row>
    <row r="43" spans="2:27" ht="28.2" customHeight="1" x14ac:dyDescent="0.3">
      <c r="B43" s="56" t="s">
        <v>331</v>
      </c>
      <c r="C43" s="57">
        <v>0</v>
      </c>
      <c r="D43" s="64">
        <v>114750000.00000003</v>
      </c>
      <c r="E43" s="54"/>
      <c r="F43" s="56" t="s">
        <v>332</v>
      </c>
      <c r="G43" s="61">
        <v>2000</v>
      </c>
      <c r="H43" s="61">
        <v>2000</v>
      </c>
      <c r="I43" s="63" t="s">
        <v>333</v>
      </c>
      <c r="J43" s="54"/>
      <c r="K43" s="54"/>
      <c r="L43" s="54"/>
      <c r="M43" s="54"/>
      <c r="N43" s="54"/>
      <c r="O43" s="54"/>
      <c r="P43" s="54"/>
      <c r="Q43" s="54"/>
      <c r="R43" s="54"/>
      <c r="S43" s="54"/>
      <c r="T43" s="54"/>
      <c r="U43" s="54"/>
      <c r="V43" s="54"/>
      <c r="W43" s="54"/>
      <c r="X43" s="54"/>
      <c r="Y43" s="54"/>
      <c r="Z43" s="54"/>
      <c r="AA43" s="54"/>
    </row>
    <row r="44" spans="2:27" ht="28.2" customHeight="1" x14ac:dyDescent="0.3">
      <c r="B44" s="56" t="s">
        <v>334</v>
      </c>
      <c r="C44" s="58">
        <v>106</v>
      </c>
      <c r="D44" s="62">
        <v>106</v>
      </c>
      <c r="E44" s="54"/>
      <c r="F44" s="56" t="s">
        <v>335</v>
      </c>
      <c r="G44" s="61">
        <v>80</v>
      </c>
      <c r="H44" s="61">
        <v>80</v>
      </c>
      <c r="I44" s="54"/>
      <c r="J44" s="54"/>
      <c r="K44" s="54"/>
      <c r="L44" s="54"/>
      <c r="M44" s="54"/>
      <c r="N44" s="54"/>
      <c r="O44" s="54"/>
      <c r="P44" s="54"/>
      <c r="Q44" s="54"/>
      <c r="R44" s="54"/>
      <c r="S44" s="54"/>
      <c r="T44" s="54"/>
      <c r="U44" s="54"/>
      <c r="V44" s="54"/>
      <c r="W44" s="54"/>
      <c r="X44" s="54"/>
      <c r="Y44" s="54"/>
      <c r="Z44" s="54"/>
      <c r="AA44" s="54"/>
    </row>
    <row r="45" spans="2:27" ht="28.2" customHeight="1" x14ac:dyDescent="0.3">
      <c r="B45" s="56" t="s">
        <v>336</v>
      </c>
      <c r="C45" s="58">
        <v>30</v>
      </c>
      <c r="D45" s="57">
        <v>5737500</v>
      </c>
      <c r="E45" s="54"/>
      <c r="F45" s="56" t="s">
        <v>337</v>
      </c>
      <c r="G45" s="61">
        <v>60</v>
      </c>
      <c r="H45" s="60">
        <v>0</v>
      </c>
      <c r="I45" s="54"/>
      <c r="J45" s="54"/>
      <c r="K45" s="54"/>
      <c r="L45" s="54"/>
      <c r="M45" s="54"/>
      <c r="N45" s="54"/>
      <c r="O45" s="54"/>
      <c r="P45" s="54"/>
      <c r="Q45" s="54"/>
      <c r="R45" s="54"/>
      <c r="S45" s="54"/>
      <c r="T45" s="54"/>
      <c r="U45" s="54"/>
      <c r="V45" s="54"/>
      <c r="W45" s="54"/>
      <c r="X45" s="54"/>
      <c r="Y45" s="54"/>
      <c r="Z45" s="54"/>
      <c r="AA45" s="54"/>
    </row>
    <row r="46" spans="2:27" ht="28.2" customHeight="1" x14ac:dyDescent="0.3">
      <c r="B46" s="56" t="s">
        <v>330</v>
      </c>
      <c r="C46" s="58">
        <v>80</v>
      </c>
      <c r="D46" s="57">
        <v>5737500</v>
      </c>
      <c r="E46" s="54"/>
      <c r="F46" s="56" t="s">
        <v>338</v>
      </c>
      <c r="G46" s="59" t="s">
        <v>339</v>
      </c>
      <c r="H46" s="59"/>
      <c r="I46" s="54"/>
      <c r="J46" s="54"/>
      <c r="K46" s="54"/>
      <c r="L46" s="54"/>
      <c r="M46" s="54"/>
      <c r="N46" s="54"/>
      <c r="O46" s="54"/>
      <c r="P46" s="54"/>
      <c r="Q46" s="54"/>
      <c r="R46" s="54"/>
      <c r="S46" s="54"/>
      <c r="T46" s="54"/>
      <c r="U46" s="54"/>
      <c r="V46" s="54"/>
      <c r="W46" s="54"/>
      <c r="X46" s="54"/>
      <c r="Y46" s="54"/>
      <c r="Z46" s="54"/>
      <c r="AA46" s="54"/>
    </row>
    <row r="47" spans="2:27" ht="28.2" customHeight="1" x14ac:dyDescent="0.3">
      <c r="B47" s="56" t="s">
        <v>340</v>
      </c>
      <c r="C47" s="58">
        <v>103</v>
      </c>
      <c r="D47" s="57">
        <v>5737500</v>
      </c>
      <c r="E47" s="54"/>
      <c r="F47" s="56" t="s">
        <v>341</v>
      </c>
      <c r="G47" s="55" t="s">
        <v>278</v>
      </c>
      <c r="H47" s="54"/>
      <c r="I47" s="54"/>
      <c r="J47" s="54"/>
      <c r="K47" s="54"/>
      <c r="L47" s="54"/>
      <c r="M47" s="54"/>
      <c r="N47" s="54"/>
      <c r="O47" s="54"/>
      <c r="P47" s="54"/>
      <c r="Q47" s="54"/>
      <c r="R47" s="54"/>
      <c r="S47" s="54"/>
      <c r="T47" s="54"/>
      <c r="U47" s="54"/>
      <c r="V47" s="54"/>
      <c r="W47" s="54"/>
      <c r="X47" s="54"/>
      <c r="Y47" s="54"/>
      <c r="Z47" s="54"/>
      <c r="AA47" s="54"/>
    </row>
    <row r="48" spans="2:27" ht="28.2" customHeight="1" x14ac:dyDescent="0.3"/>
    <row r="49" s="53" customFormat="1" ht="15" hidden="1" customHeight="1" x14ac:dyDescent="0.3"/>
    <row r="50" s="53" customFormat="1" ht="15" hidden="1" customHeight="1" x14ac:dyDescent="0.3"/>
    <row r="51" s="53" customFormat="1" ht="15" hidden="1" customHeight="1" x14ac:dyDescent="0.3"/>
    <row r="52" s="53" customFormat="1" ht="15" hidden="1" customHeight="1" x14ac:dyDescent="0.3"/>
    <row r="53" s="53" customFormat="1" ht="15" hidden="1" customHeight="1" x14ac:dyDescent="0.3"/>
    <row r="54" s="53" customFormat="1" ht="15" hidden="1" customHeight="1" x14ac:dyDescent="0.3"/>
    <row r="55" s="53" customFormat="1" ht="15" hidden="1" customHeight="1" x14ac:dyDescent="0.3"/>
    <row r="56" s="53" customFormat="1" ht="15" hidden="1" customHeight="1" x14ac:dyDescent="0.3"/>
    <row r="57" s="53" customFormat="1" ht="15" hidden="1" customHeight="1" x14ac:dyDescent="0.3"/>
    <row r="58" s="53" customFormat="1" ht="15" hidden="1" customHeight="1" x14ac:dyDescent="0.3"/>
    <row r="59" s="53" customFormat="1" ht="15" hidden="1" customHeight="1" x14ac:dyDescent="0.3"/>
    <row r="60" s="53" customFormat="1" ht="15" hidden="1" customHeight="1" x14ac:dyDescent="0.3"/>
    <row r="61" s="53" customFormat="1" ht="15" hidden="1" customHeight="1" x14ac:dyDescent="0.3"/>
    <row r="62" s="53" customFormat="1" ht="15" hidden="1" customHeight="1" x14ac:dyDescent="0.3"/>
    <row r="63" s="53" customFormat="1" ht="15" hidden="1" customHeight="1" x14ac:dyDescent="0.3"/>
    <row r="64" s="53" customFormat="1" ht="15" hidden="1" customHeight="1" x14ac:dyDescent="0.3"/>
    <row r="65" s="53" customFormat="1" ht="15" hidden="1" customHeight="1" x14ac:dyDescent="0.3"/>
    <row r="66" s="53" customFormat="1" ht="15" hidden="1" customHeight="1" x14ac:dyDescent="0.3"/>
    <row r="67" s="53" customFormat="1" ht="15" hidden="1" customHeight="1" x14ac:dyDescent="0.3"/>
    <row r="68" s="53" customFormat="1" ht="15" hidden="1" customHeight="1" x14ac:dyDescent="0.3"/>
    <row r="69" s="53" customFormat="1" ht="15" hidden="1" customHeight="1" x14ac:dyDescent="0.3"/>
    <row r="70" s="53" customFormat="1" ht="15" hidden="1" customHeight="1" x14ac:dyDescent="0.3"/>
    <row r="71" s="53" customFormat="1" ht="15" hidden="1" customHeight="1" x14ac:dyDescent="0.3"/>
    <row r="72" s="53" customFormat="1" ht="15" hidden="1" customHeight="1" x14ac:dyDescent="0.3"/>
    <row r="73" s="53" customFormat="1" ht="15" hidden="1" customHeight="1" x14ac:dyDescent="0.3"/>
    <row r="74" s="53" customFormat="1" ht="15" hidden="1" customHeight="1" x14ac:dyDescent="0.3"/>
    <row r="75" s="53" customFormat="1" ht="15" hidden="1" customHeight="1" x14ac:dyDescent="0.3"/>
    <row r="76" s="53" customFormat="1" ht="15" hidden="1" customHeight="1" x14ac:dyDescent="0.3"/>
    <row r="77" s="53" customFormat="1" ht="15" hidden="1" customHeight="1" x14ac:dyDescent="0.3"/>
    <row r="78" s="53" customFormat="1" ht="15" hidden="1" customHeight="1" x14ac:dyDescent="0.3"/>
    <row r="79" s="53" customFormat="1" ht="15" hidden="1" customHeight="1" x14ac:dyDescent="0.3"/>
    <row r="80" s="53" customFormat="1" ht="15" hidden="1" customHeight="1" x14ac:dyDescent="0.3"/>
  </sheetData>
  <sheetProtection algorithmName="SHA-512" hashValue="UWC+cEjzhpMTb9hh9CaIqT6i1FP6ztp0kcgFDI+ErH7rRtYhmj8VGCGWp1KfODyAiDLCvoDRnfeTg6rUDC+79g==" saltValue="VBdl5eq1VYglkXc8hQLIVA==" spinCount="100000" sheet="1" objects="1" scenarios="1"/>
  <mergeCells count="2">
    <mergeCell ref="B2:E4"/>
    <mergeCell ref="C9:J10"/>
  </mergeCells>
  <conditionalFormatting sqref="C18">
    <cfRule type="expression" dxfId="7" priority="6">
      <formula>ISERROR(C18)</formula>
    </cfRule>
  </conditionalFormatting>
  <conditionalFormatting sqref="C21">
    <cfRule type="expression" dxfId="6" priority="5">
      <formula>ISERROR(C21)</formula>
    </cfRule>
  </conditionalFormatting>
  <conditionalFormatting sqref="C24">
    <cfRule type="expression" dxfId="5" priority="4">
      <formula>ISERROR(C24)</formula>
    </cfRule>
  </conditionalFormatting>
  <conditionalFormatting sqref="C27">
    <cfRule type="expression" dxfId="4" priority="3">
      <formula>ISERROR(C27)</formula>
    </cfRule>
  </conditionalFormatting>
  <conditionalFormatting sqref="C30">
    <cfRule type="expression" dxfId="3" priority="2">
      <formula>ISERROR(C30)</formula>
    </cfRule>
  </conditionalFormatting>
  <conditionalFormatting sqref="C33">
    <cfRule type="expression" dxfId="2" priority="1">
      <formula>ISERROR(C33)</formula>
    </cfRule>
  </conditionalFormatting>
  <conditionalFormatting sqref="D18:D35">
    <cfRule type="expression" dxfId="1" priority="8">
      <formula>ISERROR(D18)</formula>
    </cfRule>
  </conditionalFormatting>
  <conditionalFormatting sqref="D17:AA35">
    <cfRule type="expression" dxfId="0" priority="7">
      <formula>ISERROR(D17)</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Q45"/>
  <sheetViews>
    <sheetView showGridLines="0" zoomScaleNormal="100" workbookViewId="0"/>
  </sheetViews>
  <sheetFormatPr defaultColWidth="0" defaultRowHeight="14.4" zeroHeight="1" x14ac:dyDescent="0.3"/>
  <cols>
    <col min="1" max="16" width="9.33203125" customWidth="1"/>
    <col min="17" max="17" width="3.6640625" customWidth="1"/>
    <col min="18" max="16384" width="9.33203125" hidden="1"/>
  </cols>
  <sheetData>
    <row r="1" spans="2:16" x14ac:dyDescent="0.3"/>
    <row r="2" spans="2:16" ht="23.4" x14ac:dyDescent="0.3">
      <c r="B2" s="6" t="s">
        <v>0</v>
      </c>
      <c r="C2" s="6"/>
      <c r="D2" s="6"/>
      <c r="E2" s="6"/>
      <c r="F2" s="6"/>
      <c r="G2" s="12"/>
      <c r="H2" s="12"/>
      <c r="I2" s="7"/>
      <c r="J2" s="45"/>
      <c r="K2" s="45"/>
      <c r="L2" s="45"/>
      <c r="M2" s="45"/>
      <c r="N2" s="45"/>
      <c r="O2" s="45"/>
      <c r="P2" s="45"/>
    </row>
    <row r="3" spans="2:16" ht="23.4" x14ac:dyDescent="0.3">
      <c r="B3" s="8" t="s">
        <v>1</v>
      </c>
      <c r="C3" s="8"/>
      <c r="D3" s="8"/>
      <c r="E3" s="8"/>
      <c r="F3" s="8"/>
      <c r="G3" s="12"/>
      <c r="H3" s="12"/>
      <c r="I3" s="7"/>
      <c r="J3" s="45"/>
      <c r="K3" s="45"/>
      <c r="L3" s="45"/>
      <c r="M3" s="45"/>
      <c r="N3" s="45"/>
      <c r="O3" s="45"/>
      <c r="P3" s="45"/>
    </row>
    <row r="4" spans="2:16" ht="21" x14ac:dyDescent="0.3">
      <c r="B4" s="9" t="s">
        <v>23</v>
      </c>
      <c r="C4" s="9"/>
      <c r="D4" s="9"/>
      <c r="E4" s="9"/>
      <c r="F4" s="9"/>
      <c r="G4" s="12"/>
      <c r="H4" s="10"/>
      <c r="I4" s="10"/>
      <c r="J4" s="10"/>
      <c r="K4" s="10"/>
      <c r="L4" s="10"/>
      <c r="M4" s="10"/>
      <c r="N4" s="10"/>
      <c r="O4" s="10"/>
      <c r="P4" s="10"/>
    </row>
    <row r="5" spans="2:16" ht="21" x14ac:dyDescent="0.3">
      <c r="B5" s="11" t="s">
        <v>3</v>
      </c>
      <c r="C5" s="9"/>
      <c r="D5" s="12"/>
      <c r="E5" s="12"/>
      <c r="F5" s="12"/>
      <c r="G5" s="12"/>
      <c r="H5" s="12"/>
      <c r="I5" s="10"/>
      <c r="J5" s="10"/>
      <c r="K5" s="10"/>
      <c r="L5" s="10"/>
      <c r="M5" s="10"/>
      <c r="N5" s="10"/>
      <c r="O5" s="10"/>
      <c r="P5" s="10"/>
    </row>
    <row r="6" spans="2:16" x14ac:dyDescent="0.3">
      <c r="B6" s="12"/>
      <c r="C6" s="12"/>
      <c r="D6" s="12"/>
      <c r="E6" s="12"/>
      <c r="F6" s="12"/>
      <c r="G6" s="10"/>
      <c r="H6" s="10"/>
      <c r="I6" s="10"/>
      <c r="J6" s="10"/>
      <c r="K6" s="10"/>
      <c r="L6" s="10"/>
      <c r="M6" s="10"/>
      <c r="N6" s="10"/>
      <c r="O6" s="10"/>
      <c r="P6" s="10"/>
    </row>
    <row r="7" spans="2:16" x14ac:dyDescent="0.3"/>
    <row r="8" spans="2:16" x14ac:dyDescent="0.3"/>
    <row r="9" spans="2:16" x14ac:dyDescent="0.3"/>
    <row r="10" spans="2:16" x14ac:dyDescent="0.3"/>
    <row r="11" spans="2:16" x14ac:dyDescent="0.3"/>
    <row r="12" spans="2:16" x14ac:dyDescent="0.3"/>
    <row r="13" spans="2:16" x14ac:dyDescent="0.3"/>
    <row r="14" spans="2:16" x14ac:dyDescent="0.3"/>
    <row r="15" spans="2:16" x14ac:dyDescent="0.3"/>
    <row r="16" spans="2:16"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sheetData>
  <sheetProtection algorithmName="SHA-512" hashValue="nlH/MYnnNZM7Pf2KADqcC/19gL/CJaJbBG6ae346AyaKSX2G6ulHaQwagbPAUOllTOILyJo9aoPzn3tFPf4Wnw==" saltValue="rTl5JDaa7Pcx0+k6nrvLSA=="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110BE-EEF2-4CD8-B0FD-59F49861127C}">
  <sheetPr>
    <tabColor rgb="FF92D050"/>
  </sheetPr>
  <dimension ref="A1:L63"/>
  <sheetViews>
    <sheetView showGridLines="0" topLeftCell="A9" zoomScaleNormal="100" workbookViewId="0">
      <selection activeCell="H16" sqref="H16"/>
    </sheetView>
  </sheetViews>
  <sheetFormatPr defaultColWidth="0" defaultRowHeight="14.4" zeroHeight="1" x14ac:dyDescent="0.3"/>
  <cols>
    <col min="1" max="1" width="3.44140625" style="266" customWidth="1"/>
    <col min="2" max="2" width="26.33203125" bestFit="1" customWidth="1"/>
    <col min="3" max="3" width="27.33203125" customWidth="1"/>
    <col min="4" max="4" width="38.33203125" customWidth="1"/>
    <col min="5" max="5" width="17.33203125" customWidth="1"/>
    <col min="6" max="6" width="15.44140625" customWidth="1"/>
    <col min="7" max="7" width="18.5546875" customWidth="1"/>
    <col min="8" max="8" width="22.6640625" customWidth="1"/>
    <col min="9" max="9" width="10.6640625" customWidth="1"/>
    <col min="10" max="10" width="19" customWidth="1"/>
    <col min="11" max="11" width="3.6640625" customWidth="1"/>
    <col min="12" max="12" width="72.33203125" style="338" hidden="1" customWidth="1"/>
    <col min="13" max="16384" width="9.33203125" hidden="1"/>
  </cols>
  <sheetData>
    <row r="1" spans="1:12" ht="8.6999999999999993" customHeight="1" x14ac:dyDescent="0.3"/>
    <row r="2" spans="1:12" ht="23.4" x14ac:dyDescent="0.3">
      <c r="B2" s="6" t="s">
        <v>0</v>
      </c>
      <c r="C2" s="6"/>
      <c r="D2" s="6"/>
      <c r="E2" s="6"/>
      <c r="F2" s="6"/>
      <c r="G2" s="12"/>
      <c r="H2" s="12"/>
      <c r="I2" s="7"/>
      <c r="J2" s="45"/>
    </row>
    <row r="3" spans="1:12" ht="23.4" x14ac:dyDescent="0.3">
      <c r="B3" s="8" t="s">
        <v>1</v>
      </c>
      <c r="C3" s="8"/>
      <c r="D3" s="8"/>
      <c r="E3" s="8"/>
      <c r="F3" s="8"/>
      <c r="G3" s="12"/>
      <c r="H3" s="12"/>
      <c r="I3" s="7"/>
      <c r="J3" s="45"/>
    </row>
    <row r="4" spans="1:12" ht="21" x14ac:dyDescent="0.3">
      <c r="B4" s="9" t="s">
        <v>24</v>
      </c>
      <c r="C4" s="9"/>
      <c r="D4" s="9"/>
      <c r="E4" s="9"/>
      <c r="F4" s="9"/>
      <c r="G4" s="12"/>
      <c r="H4" s="10"/>
      <c r="I4" s="10"/>
      <c r="J4" s="10"/>
    </row>
    <row r="5" spans="1:12" ht="21" x14ac:dyDescent="0.3">
      <c r="B5" s="11" t="s">
        <v>3</v>
      </c>
      <c r="C5" s="9"/>
      <c r="D5" s="12"/>
      <c r="E5" s="12"/>
      <c r="F5" s="12"/>
      <c r="G5" s="99" t="s">
        <v>25</v>
      </c>
      <c r="H5" s="12"/>
      <c r="I5" s="10"/>
      <c r="J5" s="10"/>
    </row>
    <row r="6" spans="1:12" x14ac:dyDescent="0.3">
      <c r="B6" s="12" t="s">
        <v>4</v>
      </c>
      <c r="C6" s="12"/>
      <c r="D6" s="12"/>
      <c r="E6" s="12"/>
      <c r="F6" s="12"/>
      <c r="G6" s="10"/>
      <c r="H6" s="10"/>
      <c r="I6" s="10"/>
      <c r="J6" s="10"/>
    </row>
    <row r="7" spans="1:12" x14ac:dyDescent="0.3"/>
    <row r="8" spans="1:12" x14ac:dyDescent="0.3"/>
    <row r="9" spans="1:12" x14ac:dyDescent="0.3"/>
    <row r="10" spans="1:12" x14ac:dyDescent="0.3"/>
    <row r="11" spans="1:12" x14ac:dyDescent="0.3"/>
    <row r="12" spans="1:12" x14ac:dyDescent="0.3"/>
    <row r="13" spans="1:12" ht="15" thickBot="1" x14ac:dyDescent="0.35"/>
    <row r="14" spans="1:12" ht="31.8" thickBot="1" x14ac:dyDescent="0.35">
      <c r="A14"/>
      <c r="B14" s="284" t="s">
        <v>26</v>
      </c>
      <c r="C14" s="285" t="s">
        <v>27</v>
      </c>
      <c r="D14" s="285" t="s">
        <v>28</v>
      </c>
      <c r="E14" s="320" t="s">
        <v>29</v>
      </c>
      <c r="F14" s="47" t="s">
        <v>30</v>
      </c>
      <c r="G14" s="47" t="s">
        <v>31</v>
      </c>
      <c r="H14" s="47" t="s">
        <v>32</v>
      </c>
      <c r="I14" s="47" t="s">
        <v>33</v>
      </c>
      <c r="J14" s="50" t="s">
        <v>34</v>
      </c>
      <c r="L14" s="192"/>
    </row>
    <row r="15" spans="1:12" ht="57.6" x14ac:dyDescent="0.3">
      <c r="A15"/>
      <c r="B15" s="346" t="s">
        <v>35</v>
      </c>
      <c r="C15" s="346" t="s">
        <v>36</v>
      </c>
      <c r="D15" s="347" t="s">
        <v>37</v>
      </c>
      <c r="E15" s="348" t="s">
        <v>38</v>
      </c>
      <c r="F15" s="349">
        <v>640</v>
      </c>
      <c r="G15" s="48"/>
      <c r="H15" s="350">
        <f>F15*G15*12</f>
        <v>0</v>
      </c>
      <c r="I15" s="348">
        <v>12</v>
      </c>
      <c r="J15" s="350">
        <f>+H15*I15</f>
        <v>0</v>
      </c>
    </row>
    <row r="16" spans="1:12" x14ac:dyDescent="0.3">
      <c r="A16"/>
      <c r="B16" s="324"/>
      <c r="C16" s="324"/>
      <c r="D16" s="286" t="s">
        <v>39</v>
      </c>
      <c r="E16" s="329" t="s">
        <v>38</v>
      </c>
      <c r="F16" s="351">
        <v>80</v>
      </c>
      <c r="G16" s="49"/>
      <c r="H16" s="289">
        <f>F16*G16*12</f>
        <v>0</v>
      </c>
      <c r="I16" s="329">
        <v>12</v>
      </c>
      <c r="J16" s="289">
        <f>H16*I16</f>
        <v>0</v>
      </c>
    </row>
    <row r="17" spans="1:12" ht="15" thickBot="1" x14ac:dyDescent="0.35">
      <c r="A17"/>
    </row>
    <row r="18" spans="1:12" ht="31.8" thickBot="1" x14ac:dyDescent="0.35">
      <c r="A18"/>
      <c r="F18" s="352" t="s">
        <v>40</v>
      </c>
    </row>
    <row r="19" spans="1:12" x14ac:dyDescent="0.3">
      <c r="A19"/>
      <c r="B19" s="327" t="s">
        <v>41</v>
      </c>
      <c r="C19" s="327" t="s">
        <v>42</v>
      </c>
      <c r="D19" s="286" t="s">
        <v>43</v>
      </c>
      <c r="E19" s="329" t="s">
        <v>44</v>
      </c>
      <c r="F19" s="351">
        <v>2200</v>
      </c>
      <c r="G19" s="49"/>
      <c r="H19" s="289">
        <f>F19*G19</f>
        <v>0</v>
      </c>
      <c r="I19" s="319">
        <v>12</v>
      </c>
      <c r="J19" s="289">
        <f>H19*I19</f>
        <v>0</v>
      </c>
    </row>
    <row r="20" spans="1:12" x14ac:dyDescent="0.3">
      <c r="A20"/>
      <c r="B20" s="323"/>
      <c r="C20" s="323"/>
      <c r="D20" s="286" t="s">
        <v>45</v>
      </c>
      <c r="E20" s="329" t="s">
        <v>44</v>
      </c>
      <c r="F20" s="351">
        <v>100</v>
      </c>
      <c r="G20" s="49"/>
      <c r="H20" s="289">
        <f>F20*G20</f>
        <v>0</v>
      </c>
      <c r="I20" s="319">
        <v>12</v>
      </c>
      <c r="J20" s="289">
        <f>H20*I20</f>
        <v>0</v>
      </c>
    </row>
    <row r="21" spans="1:12" x14ac:dyDescent="0.3">
      <c r="A21"/>
      <c r="B21" s="324"/>
      <c r="C21" s="324"/>
      <c r="D21" s="286" t="s">
        <v>46</v>
      </c>
      <c r="E21" s="329" t="s">
        <v>44</v>
      </c>
      <c r="F21" s="351">
        <v>0</v>
      </c>
      <c r="G21" s="49"/>
      <c r="H21" s="289">
        <f>F21*G21</f>
        <v>0</v>
      </c>
      <c r="I21" s="319">
        <v>12</v>
      </c>
      <c r="J21" s="289">
        <f>H21*I21</f>
        <v>0</v>
      </c>
    </row>
    <row r="22" spans="1:12" x14ac:dyDescent="0.3">
      <c r="A22"/>
    </row>
    <row r="23" spans="1:12" s="307" customFormat="1" ht="15.6" x14ac:dyDescent="0.3">
      <c r="B23" s="272" t="s">
        <v>47</v>
      </c>
      <c r="C23" s="295"/>
      <c r="D23" s="295"/>
      <c r="E23" s="295"/>
      <c r="F23" s="295"/>
      <c r="G23" s="334"/>
      <c r="H23" s="275">
        <f>SUM(H15:H21)</f>
        <v>0</v>
      </c>
      <c r="L23" s="353"/>
    </row>
    <row r="24" spans="1:12" s="307" customFormat="1" ht="15.6" x14ac:dyDescent="0.3">
      <c r="B24" s="296" t="s">
        <v>48</v>
      </c>
      <c r="C24" s="297"/>
      <c r="D24" s="297"/>
      <c r="E24" s="297"/>
      <c r="F24" s="297"/>
      <c r="G24" s="335"/>
      <c r="H24" s="275">
        <f>ROUND(+H23/12,2)</f>
        <v>0</v>
      </c>
      <c r="I24" s="308"/>
      <c r="L24" s="353"/>
    </row>
    <row r="25" spans="1:12" s="307" customFormat="1" ht="16.2" thickBot="1" x14ac:dyDescent="0.35">
      <c r="B25" s="135" t="s">
        <v>49</v>
      </c>
      <c r="C25" s="298"/>
      <c r="D25" s="298"/>
      <c r="E25" s="298"/>
      <c r="F25" s="298"/>
      <c r="G25" s="278"/>
      <c r="H25" s="298"/>
      <c r="I25" s="299"/>
      <c r="J25" s="136">
        <f>SUM(J15:J21)</f>
        <v>0</v>
      </c>
      <c r="L25" s="353"/>
    </row>
    <row r="26" spans="1:12" ht="16.8" thickTop="1" thickBot="1" x14ac:dyDescent="0.35">
      <c r="A26"/>
      <c r="B26" s="354"/>
      <c r="G26" s="279"/>
      <c r="I26" s="266"/>
      <c r="J26" s="277"/>
    </row>
    <row r="27" spans="1:12" ht="31.8" thickBot="1" x14ac:dyDescent="0.35">
      <c r="A27"/>
      <c r="B27" s="355" t="s">
        <v>26</v>
      </c>
      <c r="C27" s="356" t="s">
        <v>27</v>
      </c>
      <c r="D27" s="356" t="s">
        <v>28</v>
      </c>
      <c r="E27" s="357" t="s">
        <v>29</v>
      </c>
      <c r="F27" s="357" t="s">
        <v>50</v>
      </c>
      <c r="G27" s="47" t="s">
        <v>51</v>
      </c>
      <c r="H27" s="357" t="s">
        <v>52</v>
      </c>
      <c r="I27" s="358" t="s">
        <v>33</v>
      </c>
      <c r="J27" s="50" t="s">
        <v>34</v>
      </c>
      <c r="L27" s="192"/>
    </row>
    <row r="28" spans="1:12" x14ac:dyDescent="0.3">
      <c r="A28"/>
      <c r="B28" s="346" t="s">
        <v>53</v>
      </c>
      <c r="C28" s="286" t="s">
        <v>54</v>
      </c>
      <c r="D28" s="286" t="s">
        <v>55</v>
      </c>
      <c r="E28" s="329" t="s">
        <v>44</v>
      </c>
      <c r="F28" s="351">
        <v>100</v>
      </c>
      <c r="G28" s="49"/>
      <c r="H28" s="359"/>
      <c r="I28" s="329">
        <v>12</v>
      </c>
      <c r="J28" s="360">
        <f>F28*G28*I28</f>
        <v>0</v>
      </c>
    </row>
    <row r="29" spans="1:12" x14ac:dyDescent="0.3">
      <c r="A29"/>
      <c r="B29" s="323"/>
      <c r="C29" s="286" t="s">
        <v>56</v>
      </c>
      <c r="D29" s="286" t="s">
        <v>57</v>
      </c>
      <c r="E29" s="329" t="s">
        <v>44</v>
      </c>
      <c r="F29" s="351">
        <v>75</v>
      </c>
      <c r="G29" s="49"/>
      <c r="H29" s="359"/>
      <c r="I29" s="329">
        <v>12</v>
      </c>
      <c r="J29" s="360">
        <f t="shared" ref="J29:J37" si="0">F29*G29*I29</f>
        <v>0</v>
      </c>
    </row>
    <row r="30" spans="1:12" x14ac:dyDescent="0.3">
      <c r="A30"/>
      <c r="B30" s="323"/>
      <c r="C30" s="286" t="s">
        <v>58</v>
      </c>
      <c r="D30" s="286" t="s">
        <v>59</v>
      </c>
      <c r="E30" s="329" t="s">
        <v>44</v>
      </c>
      <c r="F30" s="351">
        <v>25</v>
      </c>
      <c r="G30" s="49"/>
      <c r="H30" s="359"/>
      <c r="I30" s="329">
        <v>12</v>
      </c>
      <c r="J30" s="360">
        <f t="shared" si="0"/>
        <v>0</v>
      </c>
    </row>
    <row r="31" spans="1:12" x14ac:dyDescent="0.3">
      <c r="A31"/>
      <c r="B31" s="323"/>
      <c r="C31" s="286" t="s">
        <v>60</v>
      </c>
      <c r="D31" s="286" t="s">
        <v>61</v>
      </c>
      <c r="E31" s="329" t="s">
        <v>44</v>
      </c>
      <c r="F31" s="329">
        <v>20</v>
      </c>
      <c r="G31" s="49"/>
      <c r="H31" s="359"/>
      <c r="I31" s="329">
        <v>12</v>
      </c>
      <c r="J31" s="360">
        <f t="shared" si="0"/>
        <v>0</v>
      </c>
    </row>
    <row r="32" spans="1:12" x14ac:dyDescent="0.3">
      <c r="A32"/>
      <c r="B32" s="323"/>
      <c r="C32" s="286" t="s">
        <v>62</v>
      </c>
      <c r="D32" s="361" t="s">
        <v>63</v>
      </c>
      <c r="E32" s="329" t="s">
        <v>44</v>
      </c>
      <c r="F32" s="329">
        <v>10</v>
      </c>
      <c r="G32" s="49"/>
      <c r="H32" s="359"/>
      <c r="I32" s="329">
        <v>12</v>
      </c>
      <c r="J32" s="360">
        <f t="shared" si="0"/>
        <v>0</v>
      </c>
    </row>
    <row r="33" spans="1:12" x14ac:dyDescent="0.3">
      <c r="A33"/>
      <c r="B33" s="323"/>
      <c r="C33" s="286" t="s">
        <v>62</v>
      </c>
      <c r="D33" s="361" t="s">
        <v>64</v>
      </c>
      <c r="E33" s="329" t="s">
        <v>44</v>
      </c>
      <c r="F33" s="329">
        <v>10</v>
      </c>
      <c r="G33" s="49"/>
      <c r="H33" s="359"/>
      <c r="I33" s="329">
        <v>12</v>
      </c>
      <c r="J33" s="360">
        <f t="shared" si="0"/>
        <v>0</v>
      </c>
    </row>
    <row r="34" spans="1:12" x14ac:dyDescent="0.3">
      <c r="A34"/>
      <c r="B34" s="323"/>
      <c r="C34" s="286" t="s">
        <v>62</v>
      </c>
      <c r="D34" s="361" t="s">
        <v>65</v>
      </c>
      <c r="E34" s="329" t="s">
        <v>44</v>
      </c>
      <c r="F34" s="329">
        <v>10</v>
      </c>
      <c r="G34" s="49"/>
      <c r="H34" s="359"/>
      <c r="I34" s="329">
        <v>12</v>
      </c>
      <c r="J34" s="360">
        <f t="shared" si="0"/>
        <v>0</v>
      </c>
    </row>
    <row r="35" spans="1:12" x14ac:dyDescent="0.3">
      <c r="A35"/>
      <c r="B35" s="323"/>
      <c r="C35" s="286" t="s">
        <v>62</v>
      </c>
      <c r="D35" s="361" t="s">
        <v>63</v>
      </c>
      <c r="E35" s="329" t="s">
        <v>44</v>
      </c>
      <c r="F35" s="329">
        <v>10</v>
      </c>
      <c r="G35" s="49"/>
      <c r="H35" s="359"/>
      <c r="I35" s="329">
        <v>12</v>
      </c>
      <c r="J35" s="360">
        <f t="shared" si="0"/>
        <v>0</v>
      </c>
    </row>
    <row r="36" spans="1:12" x14ac:dyDescent="0.3">
      <c r="A36"/>
      <c r="B36" s="323"/>
      <c r="C36" s="286" t="s">
        <v>62</v>
      </c>
      <c r="D36" s="361" t="s">
        <v>64</v>
      </c>
      <c r="E36" s="329" t="s">
        <v>44</v>
      </c>
      <c r="F36" s="329">
        <v>10</v>
      </c>
      <c r="G36" s="49"/>
      <c r="H36" s="359"/>
      <c r="I36" s="329">
        <v>12</v>
      </c>
      <c r="J36" s="360">
        <f t="shared" si="0"/>
        <v>0</v>
      </c>
    </row>
    <row r="37" spans="1:12" x14ac:dyDescent="0.3">
      <c r="A37"/>
      <c r="B37" s="324"/>
      <c r="C37" s="286" t="s">
        <v>62</v>
      </c>
      <c r="D37" s="361" t="s">
        <v>66</v>
      </c>
      <c r="E37" s="329" t="s">
        <v>44</v>
      </c>
      <c r="F37" s="329">
        <v>10</v>
      </c>
      <c r="G37" s="49"/>
      <c r="H37" s="359"/>
      <c r="I37" s="329">
        <v>12</v>
      </c>
      <c r="J37" s="360">
        <f t="shared" si="0"/>
        <v>0</v>
      </c>
    </row>
    <row r="38" spans="1:12" s="307" customFormat="1" ht="16.2" thickBot="1" x14ac:dyDescent="0.35">
      <c r="B38" s="135" t="s">
        <v>49</v>
      </c>
      <c r="C38" s="362"/>
      <c r="D38" s="298"/>
      <c r="E38" s="298"/>
      <c r="F38" s="298"/>
      <c r="G38" s="298"/>
      <c r="H38" s="298"/>
      <c r="I38" s="299"/>
      <c r="J38" s="136">
        <f>SUM(J28:J37)</f>
        <v>0</v>
      </c>
      <c r="L38" s="353"/>
    </row>
    <row r="39" spans="1:12" ht="15.6" thickTop="1" thickBot="1" x14ac:dyDescent="0.35">
      <c r="A39"/>
      <c r="B39" s="276"/>
      <c r="C39" s="276"/>
      <c r="D39" s="276"/>
      <c r="E39" s="363"/>
      <c r="F39" s="364"/>
      <c r="G39" s="363"/>
      <c r="H39" s="294"/>
      <c r="J39" s="363"/>
    </row>
    <row r="40" spans="1:12" ht="31.8" thickBot="1" x14ac:dyDescent="0.35">
      <c r="A40"/>
      <c r="B40" s="355" t="s">
        <v>26</v>
      </c>
      <c r="C40" s="356" t="s">
        <v>27</v>
      </c>
      <c r="D40" s="356" t="s">
        <v>28</v>
      </c>
      <c r="E40" s="357" t="s">
        <v>29</v>
      </c>
      <c r="F40" s="357" t="s">
        <v>50</v>
      </c>
      <c r="G40" s="47" t="s">
        <v>51</v>
      </c>
      <c r="H40" s="357" t="s">
        <v>52</v>
      </c>
      <c r="I40" s="47" t="s">
        <v>33</v>
      </c>
      <c r="J40" s="50" t="s">
        <v>34</v>
      </c>
      <c r="L40" s="192"/>
    </row>
    <row r="41" spans="1:12" x14ac:dyDescent="0.3">
      <c r="A41" s="280"/>
      <c r="B41" s="346" t="s">
        <v>67</v>
      </c>
      <c r="C41" s="365" t="s">
        <v>68</v>
      </c>
      <c r="D41" s="366" t="s">
        <v>63</v>
      </c>
      <c r="E41" s="348" t="s">
        <v>44</v>
      </c>
      <c r="F41" s="367">
        <v>28</v>
      </c>
      <c r="G41" s="48"/>
      <c r="H41" s="368" t="s">
        <v>69</v>
      </c>
      <c r="I41" s="348">
        <v>1</v>
      </c>
      <c r="J41" s="369">
        <f>F41*G41*I41</f>
        <v>0</v>
      </c>
    </row>
    <row r="42" spans="1:12" x14ac:dyDescent="0.3">
      <c r="A42" s="280"/>
      <c r="B42" s="323"/>
      <c r="C42" s="370"/>
      <c r="D42" s="361" t="s">
        <v>64</v>
      </c>
      <c r="E42" s="329" t="s">
        <v>44</v>
      </c>
      <c r="F42" s="371">
        <v>80</v>
      </c>
      <c r="G42" s="49"/>
      <c r="H42" s="359" t="s">
        <v>69</v>
      </c>
      <c r="I42" s="329">
        <v>1</v>
      </c>
      <c r="J42" s="360">
        <f t="shared" ref="J42:J55" si="1">F42*G42*I42</f>
        <v>0</v>
      </c>
    </row>
    <row r="43" spans="1:12" x14ac:dyDescent="0.3">
      <c r="A43" s="280"/>
      <c r="B43" s="323"/>
      <c r="C43" s="370"/>
      <c r="D43" s="361" t="s">
        <v>65</v>
      </c>
      <c r="E43" s="329" t="s">
        <v>44</v>
      </c>
      <c r="F43" s="371">
        <v>52</v>
      </c>
      <c r="G43" s="49"/>
      <c r="H43" s="359" t="s">
        <v>69</v>
      </c>
      <c r="I43" s="329">
        <v>1</v>
      </c>
      <c r="J43" s="360">
        <f t="shared" si="1"/>
        <v>0</v>
      </c>
    </row>
    <row r="44" spans="1:12" x14ac:dyDescent="0.3">
      <c r="A44" s="280"/>
      <c r="B44" s="323"/>
      <c r="C44" s="370" t="s">
        <v>70</v>
      </c>
      <c r="D44" s="361" t="s">
        <v>63</v>
      </c>
      <c r="E44" s="329" t="s">
        <v>44</v>
      </c>
      <c r="F44" s="371">
        <v>8</v>
      </c>
      <c r="G44" s="49"/>
      <c r="H44" s="359" t="s">
        <v>69</v>
      </c>
      <c r="I44" s="329">
        <v>1</v>
      </c>
      <c r="J44" s="360">
        <f t="shared" si="1"/>
        <v>0</v>
      </c>
    </row>
    <row r="45" spans="1:12" x14ac:dyDescent="0.3">
      <c r="A45" s="280"/>
      <c r="B45" s="323"/>
      <c r="C45" s="370"/>
      <c r="D45" s="361" t="s">
        <v>64</v>
      </c>
      <c r="E45" s="329" t="s">
        <v>44</v>
      </c>
      <c r="F45" s="371">
        <v>22</v>
      </c>
      <c r="G45" s="49"/>
      <c r="H45" s="359" t="s">
        <v>69</v>
      </c>
      <c r="I45" s="329">
        <v>1</v>
      </c>
      <c r="J45" s="360">
        <f t="shared" si="1"/>
        <v>0</v>
      </c>
    </row>
    <row r="46" spans="1:12" x14ac:dyDescent="0.3">
      <c r="A46" s="280"/>
      <c r="B46" s="323"/>
      <c r="C46" s="370" t="s">
        <v>71</v>
      </c>
      <c r="D46" s="361" t="s">
        <v>66</v>
      </c>
      <c r="E46" s="329" t="s">
        <v>44</v>
      </c>
      <c r="F46" s="371">
        <v>2</v>
      </c>
      <c r="G46" s="49"/>
      <c r="H46" s="359" t="s">
        <v>69</v>
      </c>
      <c r="I46" s="329">
        <v>1</v>
      </c>
      <c r="J46" s="360">
        <f t="shared" si="1"/>
        <v>0</v>
      </c>
    </row>
    <row r="47" spans="1:12" x14ac:dyDescent="0.3">
      <c r="A47" s="280"/>
      <c r="B47" s="323"/>
      <c r="C47" s="365" t="s">
        <v>72</v>
      </c>
      <c r="D47" s="361" t="s">
        <v>73</v>
      </c>
      <c r="E47" s="329" t="s">
        <v>44</v>
      </c>
      <c r="F47" s="329">
        <v>5</v>
      </c>
      <c r="G47" s="49"/>
      <c r="H47" s="329" t="s">
        <v>74</v>
      </c>
      <c r="I47" s="329">
        <v>1</v>
      </c>
      <c r="J47" s="360">
        <f t="shared" si="1"/>
        <v>0</v>
      </c>
    </row>
    <row r="48" spans="1:12" x14ac:dyDescent="0.3">
      <c r="A48" s="280"/>
      <c r="B48" s="323"/>
      <c r="C48" s="370"/>
      <c r="D48" s="361" t="s">
        <v>75</v>
      </c>
      <c r="E48" s="329" t="s">
        <v>44</v>
      </c>
      <c r="F48" s="329">
        <v>2</v>
      </c>
      <c r="G48" s="49"/>
      <c r="H48" s="329" t="s">
        <v>74</v>
      </c>
      <c r="I48" s="329">
        <v>1</v>
      </c>
      <c r="J48" s="360">
        <f t="shared" si="1"/>
        <v>0</v>
      </c>
    </row>
    <row r="49" spans="1:12" x14ac:dyDescent="0.3">
      <c r="A49" s="280"/>
      <c r="B49" s="323"/>
      <c r="C49" s="370"/>
      <c r="D49" s="361" t="s">
        <v>76</v>
      </c>
      <c r="E49" s="329" t="s">
        <v>44</v>
      </c>
      <c r="F49" s="329">
        <v>12</v>
      </c>
      <c r="G49" s="49"/>
      <c r="H49" s="329" t="s">
        <v>74</v>
      </c>
      <c r="I49" s="329">
        <v>1</v>
      </c>
      <c r="J49" s="360">
        <f t="shared" si="1"/>
        <v>0</v>
      </c>
    </row>
    <row r="50" spans="1:12" x14ac:dyDescent="0.3">
      <c r="A50" s="280"/>
      <c r="B50" s="323"/>
      <c r="C50" s="370" t="s">
        <v>77</v>
      </c>
      <c r="D50" s="361" t="s">
        <v>78</v>
      </c>
      <c r="E50" s="329" t="s">
        <v>44</v>
      </c>
      <c r="F50" s="329">
        <v>2</v>
      </c>
      <c r="G50" s="49"/>
      <c r="H50" s="329" t="s">
        <v>74</v>
      </c>
      <c r="I50" s="329">
        <v>1</v>
      </c>
      <c r="J50" s="360">
        <f t="shared" si="1"/>
        <v>0</v>
      </c>
    </row>
    <row r="51" spans="1:12" x14ac:dyDescent="0.3">
      <c r="A51" s="280"/>
      <c r="B51" s="323"/>
      <c r="C51" s="372" t="s">
        <v>79</v>
      </c>
      <c r="D51" s="276" t="s">
        <v>80</v>
      </c>
      <c r="E51" s="329" t="s">
        <v>44</v>
      </c>
      <c r="F51" s="373">
        <v>4</v>
      </c>
      <c r="G51" s="49"/>
      <c r="H51" s="359" t="s">
        <v>69</v>
      </c>
      <c r="I51" s="329">
        <v>1</v>
      </c>
      <c r="J51" s="360">
        <f t="shared" si="1"/>
        <v>0</v>
      </c>
    </row>
    <row r="52" spans="1:12" x14ac:dyDescent="0.3">
      <c r="A52" s="280"/>
      <c r="B52" s="323"/>
      <c r="C52" s="286" t="s">
        <v>81</v>
      </c>
      <c r="D52" s="286" t="s">
        <v>82</v>
      </c>
      <c r="E52" s="329" t="s">
        <v>44</v>
      </c>
      <c r="F52" s="374">
        <v>1800</v>
      </c>
      <c r="G52" s="49"/>
      <c r="H52" s="359" t="s">
        <v>69</v>
      </c>
      <c r="I52" s="329">
        <v>1</v>
      </c>
      <c r="J52" s="360">
        <f t="shared" si="1"/>
        <v>0</v>
      </c>
    </row>
    <row r="53" spans="1:12" x14ac:dyDescent="0.3">
      <c r="A53" s="280"/>
      <c r="B53" s="323"/>
      <c r="C53" s="375" t="s">
        <v>81</v>
      </c>
      <c r="D53" s="375" t="s">
        <v>83</v>
      </c>
      <c r="E53" s="376" t="s">
        <v>44</v>
      </c>
      <c r="F53" s="377">
        <v>100</v>
      </c>
      <c r="G53" s="49"/>
      <c r="H53" s="378" t="s">
        <v>69</v>
      </c>
      <c r="I53" s="329">
        <v>1</v>
      </c>
      <c r="J53" s="360">
        <f t="shared" si="1"/>
        <v>0</v>
      </c>
    </row>
    <row r="54" spans="1:12" s="276" customFormat="1" x14ac:dyDescent="0.3">
      <c r="A54" s="363"/>
      <c r="B54" s="323"/>
      <c r="C54" s="375" t="s">
        <v>81</v>
      </c>
      <c r="D54" s="379" t="s">
        <v>84</v>
      </c>
      <c r="E54" s="376" t="s">
        <v>44</v>
      </c>
      <c r="F54" s="380">
        <v>8</v>
      </c>
      <c r="G54" s="49"/>
      <c r="H54" s="378" t="s">
        <v>69</v>
      </c>
      <c r="I54" s="329">
        <v>1</v>
      </c>
      <c r="J54" s="360">
        <f t="shared" si="1"/>
        <v>0</v>
      </c>
      <c r="L54" s="338"/>
    </row>
    <row r="55" spans="1:12" x14ac:dyDescent="0.3">
      <c r="A55" s="280"/>
      <c r="B55" s="324"/>
      <c r="C55" s="286" t="s">
        <v>85</v>
      </c>
      <c r="D55" s="286" t="s">
        <v>86</v>
      </c>
      <c r="E55" s="329" t="s">
        <v>44</v>
      </c>
      <c r="F55" s="374">
        <v>1800</v>
      </c>
      <c r="G55" s="49"/>
      <c r="H55" s="359" t="s">
        <v>69</v>
      </c>
      <c r="I55" s="329">
        <v>1</v>
      </c>
      <c r="J55" s="360">
        <f t="shared" si="1"/>
        <v>0</v>
      </c>
    </row>
    <row r="56" spans="1:12" ht="16.2" thickBot="1" x14ac:dyDescent="0.35">
      <c r="B56" s="135" t="s">
        <v>49</v>
      </c>
      <c r="C56" s="362"/>
      <c r="D56" s="298"/>
      <c r="E56" s="298"/>
      <c r="F56" s="298"/>
      <c r="G56" s="298"/>
      <c r="H56" s="298"/>
      <c r="I56" s="299"/>
      <c r="J56" s="136">
        <f>SUM(J41:J55)</f>
        <v>0</v>
      </c>
    </row>
    <row r="57" spans="1:12" ht="15" thickTop="1" x14ac:dyDescent="0.3"/>
    <row r="59" spans="1:12" hidden="1" x14ac:dyDescent="0.3">
      <c r="C59" s="266"/>
      <c r="D59" s="381"/>
    </row>
    <row r="60" spans="1:12" hidden="1" x14ac:dyDescent="0.3">
      <c r="C60" s="266"/>
      <c r="D60" s="381"/>
    </row>
    <row r="61" spans="1:12" hidden="1" x14ac:dyDescent="0.3">
      <c r="C61" s="266"/>
      <c r="D61" s="381"/>
    </row>
    <row r="62" spans="1:12" hidden="1" x14ac:dyDescent="0.3">
      <c r="C62" s="266"/>
      <c r="D62" s="381"/>
    </row>
    <row r="63" spans="1:12" hidden="1" x14ac:dyDescent="0.3">
      <c r="C63" s="266"/>
      <c r="D63" s="381"/>
    </row>
  </sheetData>
  <sheetProtection algorithmName="SHA-512" hashValue="EgEogusIfIfIT1pB1WngsZv5gwbMjKZ9vUMgX0jPQT1riOWbhEDJHJsFsirvpxochVQwLXtFm3TvTVZvRxY/Ag==" saltValue="3bFW5JrJK73i7zPO9/xATQ=="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7481D-A21C-4CD8-B04E-4CA22BDF6BD5}">
  <sheetPr>
    <tabColor rgb="FF92D050"/>
  </sheetPr>
  <dimension ref="A1:N46"/>
  <sheetViews>
    <sheetView showGridLines="0" topLeftCell="A9" workbookViewId="0">
      <selection activeCell="G25" sqref="G25"/>
    </sheetView>
  </sheetViews>
  <sheetFormatPr defaultColWidth="0" defaultRowHeight="14.4" zeroHeight="1" x14ac:dyDescent="0.3"/>
  <cols>
    <col min="1" max="1" width="3.6640625" style="266" customWidth="1"/>
    <col min="2" max="2" width="18.33203125" customWidth="1"/>
    <col min="3" max="3" width="28.33203125" customWidth="1"/>
    <col min="4" max="4" width="36.33203125" bestFit="1" customWidth="1"/>
    <col min="5" max="5" width="14" customWidth="1"/>
    <col min="6" max="6" width="15.33203125" customWidth="1"/>
    <col min="7" max="7" width="15.44140625" customWidth="1"/>
    <col min="8" max="8" width="18.6640625" customWidth="1"/>
    <col min="9" max="9" width="16.44140625" customWidth="1"/>
    <col min="10" max="10" width="18.6640625" customWidth="1"/>
    <col min="11" max="11" width="3.6640625" customWidth="1"/>
    <col min="12" max="12" width="53.33203125" hidden="1" customWidth="1"/>
    <col min="13" max="13" width="13.44140625" style="266" hidden="1" customWidth="1"/>
    <col min="14" max="14" width="12.5546875" hidden="1" customWidth="1"/>
    <col min="15" max="16384" width="9.33203125" hidden="1"/>
  </cols>
  <sheetData>
    <row r="1" spans="1:14" x14ac:dyDescent="0.3"/>
    <row r="2" spans="1:14" ht="23.4" x14ac:dyDescent="0.3">
      <c r="B2" s="6" t="s">
        <v>0</v>
      </c>
      <c r="C2" s="6"/>
      <c r="D2" s="6"/>
      <c r="E2" s="6"/>
      <c r="F2" s="6"/>
      <c r="G2" s="12"/>
      <c r="H2" s="12"/>
      <c r="I2" s="7"/>
      <c r="J2" s="45"/>
    </row>
    <row r="3" spans="1:14" ht="23.4" x14ac:dyDescent="0.3">
      <c r="B3" s="8" t="s">
        <v>1</v>
      </c>
      <c r="C3" s="8"/>
      <c r="D3" s="8"/>
      <c r="E3" s="8"/>
      <c r="F3" s="8"/>
      <c r="G3" s="12"/>
      <c r="H3" s="12"/>
      <c r="I3" s="7"/>
      <c r="J3" s="45"/>
    </row>
    <row r="4" spans="1:14" ht="21" x14ac:dyDescent="0.3">
      <c r="B4" s="9" t="s">
        <v>13</v>
      </c>
      <c r="C4" s="9"/>
      <c r="D4" s="9"/>
      <c r="E4" s="9"/>
      <c r="F4" s="9"/>
      <c r="G4" s="12"/>
      <c r="H4" s="10"/>
      <c r="I4" s="10"/>
      <c r="J4" s="10"/>
    </row>
    <row r="5" spans="1:14" ht="21" x14ac:dyDescent="0.3">
      <c r="B5" s="11" t="s">
        <v>3</v>
      </c>
      <c r="C5" s="9"/>
      <c r="D5" s="12"/>
      <c r="E5" s="12"/>
      <c r="F5" s="12"/>
      <c r="G5" s="99" t="s">
        <v>25</v>
      </c>
      <c r="H5" s="12"/>
      <c r="I5" s="10"/>
      <c r="J5" s="10"/>
    </row>
    <row r="6" spans="1:14" x14ac:dyDescent="0.3">
      <c r="B6" s="12" t="s">
        <v>4</v>
      </c>
      <c r="C6" s="12"/>
      <c r="D6" s="12"/>
      <c r="E6" s="12"/>
      <c r="F6" s="12"/>
      <c r="G6" s="10"/>
      <c r="H6" s="10"/>
      <c r="I6" s="10"/>
      <c r="J6" s="10"/>
    </row>
    <row r="7" spans="1:14" x14ac:dyDescent="0.3">
      <c r="B7" s="336"/>
      <c r="C7" s="336"/>
      <c r="D7" s="336"/>
      <c r="E7" s="336"/>
      <c r="F7" s="336"/>
      <c r="G7" s="337"/>
      <c r="H7" s="337"/>
      <c r="I7" s="337"/>
      <c r="J7" s="337"/>
    </row>
    <row r="8" spans="1:14" x14ac:dyDescent="0.3">
      <c r="B8" s="336"/>
      <c r="C8" s="336"/>
      <c r="D8" s="336"/>
      <c r="E8" s="336"/>
      <c r="F8" s="336"/>
      <c r="G8" s="337"/>
      <c r="H8" s="337"/>
      <c r="I8" s="337"/>
      <c r="J8" s="337"/>
      <c r="K8" s="337"/>
      <c r="L8" s="337"/>
      <c r="M8" s="337"/>
      <c r="N8" s="337"/>
    </row>
    <row r="9" spans="1:14" x14ac:dyDescent="0.3">
      <c r="D9" s="338"/>
      <c r="E9" s="338"/>
      <c r="F9" s="338"/>
      <c r="G9" s="339"/>
      <c r="H9" s="339"/>
      <c r="I9" s="337"/>
      <c r="J9" s="337"/>
      <c r="K9" s="337"/>
      <c r="L9" s="337"/>
      <c r="M9" s="337"/>
      <c r="N9" s="337"/>
    </row>
    <row r="10" spans="1:14" x14ac:dyDescent="0.3">
      <c r="B10" s="336"/>
      <c r="D10" s="338"/>
      <c r="E10" s="338"/>
      <c r="F10" s="338"/>
      <c r="G10" s="339"/>
      <c r="H10" s="339"/>
      <c r="I10" s="337"/>
      <c r="J10" s="337"/>
      <c r="K10" s="337"/>
      <c r="L10" s="337"/>
      <c r="M10" s="337"/>
      <c r="N10" s="337"/>
    </row>
    <row r="11" spans="1:14" x14ac:dyDescent="0.3">
      <c r="B11" s="336"/>
      <c r="C11" s="336"/>
      <c r="D11" s="336"/>
      <c r="E11" s="336"/>
      <c r="F11" s="336"/>
      <c r="G11" s="337"/>
      <c r="H11" s="337"/>
      <c r="I11" s="337"/>
      <c r="J11" s="337"/>
      <c r="K11" s="337"/>
      <c r="L11" s="337"/>
      <c r="M11" s="337"/>
      <c r="N11" s="337"/>
    </row>
    <row r="12" spans="1:14" ht="15" thickBot="1" x14ac:dyDescent="0.35">
      <c r="B12" s="336"/>
      <c r="C12" s="336"/>
      <c r="D12" s="336"/>
      <c r="E12" s="336"/>
      <c r="F12" s="336"/>
      <c r="G12" s="337"/>
      <c r="H12" s="337"/>
      <c r="I12" s="337"/>
      <c r="J12" s="337"/>
      <c r="K12" s="337"/>
      <c r="L12" s="337"/>
      <c r="M12" s="337"/>
      <c r="N12" s="337"/>
    </row>
    <row r="13" spans="1:14" ht="31.2" x14ac:dyDescent="0.3">
      <c r="B13" s="284" t="s">
        <v>26</v>
      </c>
      <c r="C13" s="285" t="s">
        <v>27</v>
      </c>
      <c r="D13" s="285" t="s">
        <v>28</v>
      </c>
      <c r="E13" s="320" t="s">
        <v>29</v>
      </c>
      <c r="F13" s="47" t="s">
        <v>87</v>
      </c>
      <c r="G13" s="47" t="s">
        <v>31</v>
      </c>
      <c r="H13" s="47" t="s">
        <v>32</v>
      </c>
      <c r="I13" s="47" t="s">
        <v>33</v>
      </c>
      <c r="J13" s="50" t="s">
        <v>34</v>
      </c>
      <c r="K13" s="337"/>
      <c r="L13" s="192"/>
      <c r="M13" s="337"/>
      <c r="N13" s="337"/>
    </row>
    <row r="14" spans="1:14" x14ac:dyDescent="0.3">
      <c r="A14"/>
      <c r="B14" s="268" t="s">
        <v>67</v>
      </c>
      <c r="C14" s="268" t="s">
        <v>36</v>
      </c>
      <c r="D14" s="268" t="s">
        <v>88</v>
      </c>
      <c r="L14" s="196"/>
    </row>
    <row r="15" spans="1:14" x14ac:dyDescent="0.3">
      <c r="A15"/>
    </row>
    <row r="16" spans="1:14" x14ac:dyDescent="0.3">
      <c r="A16"/>
      <c r="B16" s="268" t="s">
        <v>67</v>
      </c>
      <c r="C16" s="268" t="s">
        <v>89</v>
      </c>
      <c r="D16" s="268" t="s">
        <v>90</v>
      </c>
      <c r="E16" s="268" t="s">
        <v>44</v>
      </c>
      <c r="F16" s="340">
        <v>2</v>
      </c>
      <c r="G16" s="5"/>
      <c r="H16" s="270">
        <f>G16*F16*12</f>
        <v>0</v>
      </c>
      <c r="I16" s="341">
        <v>12</v>
      </c>
      <c r="J16" s="270">
        <f>H16*I16</f>
        <v>0</v>
      </c>
    </row>
    <row r="17" spans="1:14" x14ac:dyDescent="0.3">
      <c r="A17"/>
      <c r="B17" s="268" t="s">
        <v>67</v>
      </c>
      <c r="C17" s="268" t="s">
        <v>91</v>
      </c>
      <c r="D17" s="268" t="s">
        <v>92</v>
      </c>
      <c r="E17" s="268" t="s">
        <v>44</v>
      </c>
      <c r="F17" s="340">
        <v>2</v>
      </c>
      <c r="G17" s="5"/>
      <c r="H17" s="270">
        <f>G17*F17*12</f>
        <v>0</v>
      </c>
      <c r="I17" s="341">
        <v>12</v>
      </c>
      <c r="J17" s="270">
        <f>H17*I17</f>
        <v>0</v>
      </c>
    </row>
    <row r="18" spans="1:14" x14ac:dyDescent="0.3">
      <c r="A18"/>
      <c r="F18" s="189"/>
      <c r="G18" s="386"/>
      <c r="H18" s="277"/>
      <c r="I18" s="342"/>
      <c r="J18" s="277"/>
    </row>
    <row r="19" spans="1:14" ht="49.5" customHeight="1" x14ac:dyDescent="0.3">
      <c r="A19"/>
      <c r="B19" s="284" t="s">
        <v>26</v>
      </c>
      <c r="C19" s="285" t="s">
        <v>27</v>
      </c>
      <c r="D19" s="285" t="s">
        <v>28</v>
      </c>
      <c r="E19" s="320" t="s">
        <v>29</v>
      </c>
      <c r="F19" s="47" t="s">
        <v>87</v>
      </c>
      <c r="G19" s="47" t="s">
        <v>93</v>
      </c>
      <c r="H19" s="47" t="s">
        <v>32</v>
      </c>
      <c r="I19" s="47" t="s">
        <v>33</v>
      </c>
      <c r="J19" s="50" t="s">
        <v>34</v>
      </c>
    </row>
    <row r="20" spans="1:14" x14ac:dyDescent="0.3">
      <c r="A20"/>
      <c r="B20" s="268" t="s">
        <v>41</v>
      </c>
      <c r="C20" s="268" t="s">
        <v>94</v>
      </c>
      <c r="D20" s="268" t="s">
        <v>95</v>
      </c>
      <c r="E20" s="268" t="s">
        <v>96</v>
      </c>
      <c r="F20" s="343">
        <v>10</v>
      </c>
      <c r="G20" s="5"/>
      <c r="H20" s="270">
        <f>G20*F20*12</f>
        <v>0</v>
      </c>
      <c r="I20" s="341">
        <v>12</v>
      </c>
      <c r="J20" s="270">
        <f>H20*I20</f>
        <v>0</v>
      </c>
    </row>
    <row r="21" spans="1:14" x14ac:dyDescent="0.3">
      <c r="A21"/>
      <c r="B21" s="268" t="s">
        <v>41</v>
      </c>
      <c r="C21" s="268" t="s">
        <v>97</v>
      </c>
      <c r="D21" s="268" t="s">
        <v>98</v>
      </c>
      <c r="E21" s="268" t="s">
        <v>96</v>
      </c>
      <c r="F21" s="340">
        <v>2</v>
      </c>
      <c r="G21" s="5"/>
      <c r="H21" s="270">
        <f>G21*F21*12</f>
        <v>0</v>
      </c>
      <c r="I21" s="341">
        <v>12</v>
      </c>
      <c r="J21" s="270">
        <f>H21*I21</f>
        <v>0</v>
      </c>
    </row>
    <row r="22" spans="1:14" x14ac:dyDescent="0.3">
      <c r="A22"/>
      <c r="B22" s="268" t="s">
        <v>41</v>
      </c>
      <c r="C22" s="268" t="s">
        <v>99</v>
      </c>
      <c r="D22" s="268" t="s">
        <v>100</v>
      </c>
      <c r="E22" s="268" t="s">
        <v>96</v>
      </c>
      <c r="F22" s="340">
        <v>30</v>
      </c>
      <c r="G22" s="5"/>
      <c r="H22" s="270">
        <f>G22*F22*12</f>
        <v>0</v>
      </c>
      <c r="I22" s="341">
        <v>12</v>
      </c>
      <c r="J22" s="270">
        <f>H22*I22</f>
        <v>0</v>
      </c>
    </row>
    <row r="23" spans="1:14" x14ac:dyDescent="0.3">
      <c r="A23"/>
      <c r="F23" s="280"/>
      <c r="I23" s="342"/>
    </row>
    <row r="24" spans="1:14" x14ac:dyDescent="0.3">
      <c r="A24"/>
      <c r="B24" s="344" t="s">
        <v>41</v>
      </c>
      <c r="C24" s="344" t="s">
        <v>101</v>
      </c>
      <c r="D24" s="344" t="s">
        <v>102</v>
      </c>
      <c r="E24" s="344" t="s">
        <v>44</v>
      </c>
      <c r="F24" s="345">
        <v>1000</v>
      </c>
      <c r="G24" s="5"/>
      <c r="H24" s="270">
        <f>G24*F24*12</f>
        <v>0</v>
      </c>
      <c r="I24" s="341">
        <v>12</v>
      </c>
      <c r="J24" s="270">
        <f>H24*I24</f>
        <v>0</v>
      </c>
    </row>
    <row r="25" spans="1:14" x14ac:dyDescent="0.3">
      <c r="A25"/>
      <c r="B25" s="268" t="s">
        <v>41</v>
      </c>
      <c r="C25" s="268" t="s">
        <v>101</v>
      </c>
      <c r="D25" s="268" t="s">
        <v>103</v>
      </c>
      <c r="E25" s="268" t="s">
        <v>44</v>
      </c>
      <c r="F25" s="340">
        <v>900</v>
      </c>
      <c r="G25" s="5"/>
      <c r="H25" s="270">
        <f>G25*F25*12</f>
        <v>0</v>
      </c>
      <c r="I25" s="341">
        <v>12</v>
      </c>
      <c r="J25" s="270">
        <f>H25*I25</f>
        <v>0</v>
      </c>
    </row>
    <row r="26" spans="1:14" x14ac:dyDescent="0.3">
      <c r="A26"/>
    </row>
    <row r="27" spans="1:14" ht="15.6" x14ac:dyDescent="0.3">
      <c r="A27"/>
      <c r="B27" s="272" t="s">
        <v>47</v>
      </c>
      <c r="C27" s="295"/>
      <c r="D27" s="295"/>
      <c r="E27" s="295"/>
      <c r="F27" s="295"/>
      <c r="G27" s="334"/>
      <c r="H27" s="275">
        <f>SUM(H16:H25)</f>
        <v>0</v>
      </c>
      <c r="I27" s="307"/>
      <c r="J27" s="307"/>
      <c r="K27" s="279"/>
      <c r="N27" s="277"/>
    </row>
    <row r="28" spans="1:14" ht="15.6" x14ac:dyDescent="0.3">
      <c r="A28"/>
      <c r="B28" s="296" t="s">
        <v>48</v>
      </c>
      <c r="C28" s="297"/>
      <c r="D28" s="297"/>
      <c r="E28" s="297"/>
      <c r="F28" s="297"/>
      <c r="G28" s="335"/>
      <c r="H28" s="275">
        <f>ROUND(+H27/12,2)</f>
        <v>0</v>
      </c>
      <c r="I28" s="308"/>
      <c r="J28" s="307"/>
      <c r="K28" s="279"/>
      <c r="N28" s="277"/>
    </row>
    <row r="29" spans="1:14" ht="16.2" thickBot="1" x14ac:dyDescent="0.35">
      <c r="A29"/>
      <c r="B29" s="135" t="s">
        <v>49</v>
      </c>
      <c r="C29" s="298"/>
      <c r="D29" s="298"/>
      <c r="E29" s="298"/>
      <c r="F29" s="298"/>
      <c r="G29" s="278"/>
      <c r="H29" s="298"/>
      <c r="I29" s="299"/>
      <c r="J29" s="136">
        <f>SUM(J16:J25)</f>
        <v>0</v>
      </c>
      <c r="K29" s="279"/>
      <c r="N29" s="277"/>
    </row>
    <row r="30" spans="1:14" ht="15" thickTop="1" x14ac:dyDescent="0.3">
      <c r="A30"/>
      <c r="N30" s="277"/>
    </row>
    <row r="31" spans="1:14" hidden="1" x14ac:dyDescent="0.3">
      <c r="A31"/>
      <c r="N31" s="277"/>
    </row>
    <row r="32" spans="1:14" hidden="1" x14ac:dyDescent="0.3">
      <c r="A32"/>
      <c r="J32" s="1"/>
      <c r="K32" s="279"/>
      <c r="N32" s="277"/>
    </row>
    <row r="33" spans="1:14" hidden="1" x14ac:dyDescent="0.3">
      <c r="A33"/>
      <c r="J33" s="1"/>
      <c r="K33" s="279"/>
      <c r="N33" s="277"/>
    </row>
    <row r="34" spans="1:14" hidden="1" x14ac:dyDescent="0.3">
      <c r="A34"/>
      <c r="J34" s="1"/>
      <c r="K34" s="279"/>
      <c r="N34" s="277"/>
    </row>
    <row r="35" spans="1:14" hidden="1" x14ac:dyDescent="0.3">
      <c r="A35" s="280"/>
      <c r="K35" s="279"/>
      <c r="N35" s="277"/>
    </row>
    <row r="36" spans="1:14" hidden="1" x14ac:dyDescent="0.3">
      <c r="A36" s="280"/>
      <c r="K36" s="279"/>
    </row>
    <row r="37" spans="1:14" hidden="1" x14ac:dyDescent="0.3">
      <c r="K37" s="279"/>
    </row>
    <row r="38" spans="1:14" hidden="1" x14ac:dyDescent="0.3">
      <c r="K38" s="279"/>
    </row>
    <row r="39" spans="1:14" hidden="1" x14ac:dyDescent="0.3">
      <c r="K39" s="279"/>
    </row>
    <row r="40" spans="1:14" hidden="1" x14ac:dyDescent="0.3">
      <c r="K40" s="279"/>
    </row>
    <row r="41" spans="1:14" x14ac:dyDescent="0.3"/>
    <row r="42" spans="1:14" x14ac:dyDescent="0.3"/>
    <row r="43" spans="1:14" x14ac:dyDescent="0.3"/>
    <row r="44" spans="1:14" x14ac:dyDescent="0.3"/>
    <row r="45" spans="1:14" x14ac:dyDescent="0.3"/>
    <row r="46" spans="1:14" x14ac:dyDescent="0.3"/>
  </sheetData>
  <sheetProtection algorithmName="SHA-512" hashValue="KEAowpchndLosFIqNa28GVhDuelkgbt2oiEugtZdzIC3rGlkMO2jcVR3XPxTAK1y//9g1EP4jTF0D1noOGHFEQ==" saltValue="bTOjzVj80vcBFvVQJaFIdA=="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2A79-8C37-4075-A87F-93E8EF6FDA4F}">
  <sheetPr>
    <tabColor rgb="FF92D050"/>
  </sheetPr>
  <dimension ref="A1:M35"/>
  <sheetViews>
    <sheetView showGridLines="0" topLeftCell="A5" workbookViewId="0">
      <selection activeCell="C21" sqref="C21"/>
    </sheetView>
  </sheetViews>
  <sheetFormatPr defaultColWidth="0" defaultRowHeight="14.4" zeroHeight="1" x14ac:dyDescent="0.3"/>
  <cols>
    <col min="1" max="1" width="3.6640625" style="266" customWidth="1"/>
    <col min="2" max="2" width="15.6640625" customWidth="1"/>
    <col min="3" max="3" width="56.6640625" customWidth="1"/>
    <col min="4" max="4" width="30.6640625" customWidth="1"/>
    <col min="5" max="5" width="19.6640625" customWidth="1"/>
    <col min="6" max="6" width="15.6640625" customWidth="1"/>
    <col min="7" max="7" width="20.6640625" customWidth="1"/>
    <col min="8" max="8" width="17.6640625" customWidth="1"/>
    <col min="9" max="9" width="14.44140625" customWidth="1"/>
    <col min="10" max="10" width="10.6640625" customWidth="1"/>
    <col min="11" max="11" width="14.33203125" customWidth="1"/>
    <col min="12" max="12" width="3.6640625" customWidth="1"/>
    <col min="13" max="13" width="44.6640625" hidden="1" customWidth="1"/>
    <col min="14" max="16384" width="9.33203125" hidden="1"/>
  </cols>
  <sheetData>
    <row r="1" spans="1:13" ht="11.7" customHeight="1" x14ac:dyDescent="0.3"/>
    <row r="2" spans="1:13" ht="23.4" x14ac:dyDescent="0.3">
      <c r="B2" s="6" t="s">
        <v>0</v>
      </c>
      <c r="C2" s="6"/>
      <c r="D2" s="6"/>
      <c r="E2" s="6"/>
      <c r="F2" s="6"/>
      <c r="G2" s="12"/>
      <c r="H2" s="12"/>
      <c r="I2" s="7"/>
      <c r="J2" s="45"/>
      <c r="K2" s="7"/>
    </row>
    <row r="3" spans="1:13" ht="23.4" x14ac:dyDescent="0.3">
      <c r="B3" s="8" t="s">
        <v>1</v>
      </c>
      <c r="C3" s="8"/>
      <c r="D3" s="8"/>
      <c r="E3" s="8"/>
      <c r="F3" s="8"/>
      <c r="G3" s="12"/>
      <c r="H3" s="12"/>
      <c r="I3" s="7"/>
      <c r="J3" s="45"/>
      <c r="K3" s="7"/>
    </row>
    <row r="4" spans="1:13" ht="21" x14ac:dyDescent="0.3">
      <c r="B4" s="9" t="s">
        <v>15</v>
      </c>
      <c r="C4" s="9"/>
      <c r="D4" s="9"/>
      <c r="E4" s="9"/>
      <c r="F4" s="9"/>
      <c r="G4" s="12"/>
      <c r="H4" s="10"/>
      <c r="I4" s="10"/>
      <c r="J4" s="10"/>
      <c r="K4" s="10"/>
    </row>
    <row r="5" spans="1:13" ht="21" x14ac:dyDescent="0.3">
      <c r="B5" s="11" t="s">
        <v>3</v>
      </c>
      <c r="C5" s="9"/>
      <c r="D5" s="12"/>
      <c r="E5" s="12"/>
      <c r="F5" s="12"/>
      <c r="G5" s="99" t="s">
        <v>25</v>
      </c>
      <c r="H5" s="12"/>
      <c r="I5" s="10"/>
      <c r="J5" s="10"/>
      <c r="K5" s="10"/>
    </row>
    <row r="6" spans="1:13" x14ac:dyDescent="0.3">
      <c r="B6" s="12" t="s">
        <v>4</v>
      </c>
      <c r="C6" s="12"/>
      <c r="D6" s="12"/>
      <c r="E6" s="12"/>
      <c r="F6" s="12"/>
      <c r="G6" s="10"/>
      <c r="H6" s="10"/>
      <c r="I6" s="10"/>
      <c r="J6" s="10"/>
      <c r="K6" s="10"/>
    </row>
    <row r="7" spans="1:13" x14ac:dyDescent="0.3"/>
    <row r="8" spans="1:13" x14ac:dyDescent="0.3"/>
    <row r="9" spans="1:13" x14ac:dyDescent="0.3"/>
    <row r="10" spans="1:13" x14ac:dyDescent="0.3"/>
    <row r="11" spans="1:13" x14ac:dyDescent="0.3"/>
    <row r="12" spans="1:13" ht="15" thickBot="1" x14ac:dyDescent="0.35"/>
    <row r="13" spans="1:13" ht="31.8" thickBot="1" x14ac:dyDescent="0.35">
      <c r="B13" s="284" t="s">
        <v>26</v>
      </c>
      <c r="C13" s="285" t="s">
        <v>27</v>
      </c>
      <c r="D13" s="285" t="s">
        <v>28</v>
      </c>
      <c r="E13" s="320" t="s">
        <v>29</v>
      </c>
      <c r="F13" s="47" t="s">
        <v>50</v>
      </c>
      <c r="G13" s="47" t="s">
        <v>104</v>
      </c>
      <c r="H13" s="47" t="s">
        <v>105</v>
      </c>
      <c r="I13" s="47" t="s">
        <v>32</v>
      </c>
      <c r="J13" s="47" t="s">
        <v>33</v>
      </c>
      <c r="K13" s="50" t="s">
        <v>34</v>
      </c>
      <c r="M13" s="192"/>
    </row>
    <row r="14" spans="1:13" x14ac:dyDescent="0.3">
      <c r="A14"/>
      <c r="B14" s="321" t="s">
        <v>106</v>
      </c>
      <c r="C14" s="286" t="s">
        <v>107</v>
      </c>
      <c r="D14" s="286" t="s">
        <v>108</v>
      </c>
      <c r="E14" s="286" t="s">
        <v>44</v>
      </c>
      <c r="F14" s="288">
        <v>2</v>
      </c>
      <c r="G14" s="49"/>
      <c r="H14" s="322" t="s">
        <v>109</v>
      </c>
      <c r="I14" s="289">
        <f>F14*G14</f>
        <v>0</v>
      </c>
      <c r="J14" s="290">
        <v>2</v>
      </c>
      <c r="K14" s="289">
        <f t="shared" ref="K14:K19" si="0">I14*J14</f>
        <v>0</v>
      </c>
    </row>
    <row r="15" spans="1:13" ht="15" thickBot="1" x14ac:dyDescent="0.35">
      <c r="A15"/>
      <c r="B15" s="323"/>
      <c r="C15" s="286" t="s">
        <v>110</v>
      </c>
      <c r="D15" s="286" t="s">
        <v>108</v>
      </c>
      <c r="E15" s="286" t="s">
        <v>44</v>
      </c>
      <c r="F15" s="288">
        <v>52</v>
      </c>
      <c r="G15" s="49"/>
      <c r="H15" s="322" t="s">
        <v>109</v>
      </c>
      <c r="I15" s="289">
        <f t="shared" ref="I15:I19" si="1">F15*G15</f>
        <v>0</v>
      </c>
      <c r="J15" s="290">
        <v>2</v>
      </c>
      <c r="K15" s="289">
        <f t="shared" si="0"/>
        <v>0</v>
      </c>
    </row>
    <row r="16" spans="1:13" x14ac:dyDescent="0.3">
      <c r="A16"/>
      <c r="B16" s="321" t="s">
        <v>111</v>
      </c>
      <c r="C16" s="286" t="s">
        <v>112</v>
      </c>
      <c r="D16" s="286" t="s">
        <v>108</v>
      </c>
      <c r="E16" s="286" t="s">
        <v>44</v>
      </c>
      <c r="F16" s="288">
        <v>1</v>
      </c>
      <c r="G16" s="49"/>
      <c r="H16" s="322" t="s">
        <v>113</v>
      </c>
      <c r="I16" s="289">
        <f t="shared" si="1"/>
        <v>0</v>
      </c>
      <c r="J16" s="290">
        <v>2</v>
      </c>
      <c r="K16" s="289">
        <f t="shared" si="0"/>
        <v>0</v>
      </c>
    </row>
    <row r="17" spans="1:11" x14ac:dyDescent="0.3">
      <c r="A17"/>
      <c r="B17" s="324"/>
      <c r="C17" s="286" t="s">
        <v>114</v>
      </c>
      <c r="D17" s="286" t="s">
        <v>108</v>
      </c>
      <c r="E17" s="286" t="s">
        <v>44</v>
      </c>
      <c r="F17" s="288">
        <v>10</v>
      </c>
      <c r="G17" s="49"/>
      <c r="H17" s="322" t="s">
        <v>115</v>
      </c>
      <c r="I17" s="289">
        <f t="shared" si="1"/>
        <v>0</v>
      </c>
      <c r="J17" s="290">
        <v>2</v>
      </c>
      <c r="K17" s="289">
        <f t="shared" si="0"/>
        <v>0</v>
      </c>
    </row>
    <row r="18" spans="1:11" x14ac:dyDescent="0.3">
      <c r="A18"/>
      <c r="B18" s="286" t="s">
        <v>116</v>
      </c>
      <c r="C18" s="288" t="s">
        <v>117</v>
      </c>
      <c r="D18" s="286" t="s">
        <v>108</v>
      </c>
      <c r="E18" s="286" t="s">
        <v>44</v>
      </c>
      <c r="F18" s="286">
        <v>16</v>
      </c>
      <c r="G18" s="49"/>
      <c r="H18" s="322" t="s">
        <v>118</v>
      </c>
      <c r="I18" s="289">
        <f t="shared" si="1"/>
        <v>0</v>
      </c>
      <c r="J18" s="290">
        <v>2</v>
      </c>
      <c r="K18" s="289">
        <f t="shared" si="0"/>
        <v>0</v>
      </c>
    </row>
    <row r="19" spans="1:11" x14ac:dyDescent="0.3">
      <c r="A19"/>
      <c r="B19" s="286" t="s">
        <v>119</v>
      </c>
      <c r="C19" s="286" t="s">
        <v>120</v>
      </c>
      <c r="D19" s="286" t="s">
        <v>108</v>
      </c>
      <c r="E19" s="286" t="s">
        <v>44</v>
      </c>
      <c r="F19" s="286">
        <v>1</v>
      </c>
      <c r="G19" s="49"/>
      <c r="H19" s="322" t="s">
        <v>113</v>
      </c>
      <c r="I19" s="289">
        <f t="shared" si="1"/>
        <v>0</v>
      </c>
      <c r="J19" s="290">
        <v>2</v>
      </c>
      <c r="K19" s="289">
        <f t="shared" si="0"/>
        <v>0</v>
      </c>
    </row>
    <row r="20" spans="1:11" x14ac:dyDescent="0.3">
      <c r="A20"/>
      <c r="B20" s="276"/>
      <c r="C20" s="276"/>
      <c r="D20" s="276"/>
      <c r="E20" s="276"/>
      <c r="F20" s="276"/>
      <c r="G20" s="276"/>
      <c r="H20" s="325"/>
      <c r="I20" s="276"/>
      <c r="J20" s="326"/>
      <c r="K20" s="276"/>
    </row>
    <row r="21" spans="1:11" x14ac:dyDescent="0.3">
      <c r="A21"/>
      <c r="B21" s="327" t="s">
        <v>121</v>
      </c>
      <c r="C21" s="286" t="s">
        <v>122</v>
      </c>
      <c r="D21" s="286" t="s">
        <v>123</v>
      </c>
      <c r="E21" s="286" t="s">
        <v>124</v>
      </c>
      <c r="F21" s="288">
        <v>50300</v>
      </c>
      <c r="G21" s="49"/>
      <c r="H21" s="328" t="s">
        <v>125</v>
      </c>
      <c r="I21" s="289">
        <f>F21*G21*12</f>
        <v>0</v>
      </c>
      <c r="J21" s="290">
        <v>12</v>
      </c>
      <c r="K21" s="289">
        <f t="shared" ref="K21:K27" si="2">I21*J21</f>
        <v>0</v>
      </c>
    </row>
    <row r="22" spans="1:11" x14ac:dyDescent="0.3">
      <c r="A22"/>
      <c r="B22" s="323" t="s">
        <v>126</v>
      </c>
      <c r="C22" s="286" t="s">
        <v>127</v>
      </c>
      <c r="D22" s="286" t="s">
        <v>123</v>
      </c>
      <c r="E22" s="286" t="s">
        <v>124</v>
      </c>
      <c r="F22" s="288">
        <v>4200</v>
      </c>
      <c r="G22" s="49"/>
      <c r="H22" s="328" t="s">
        <v>125</v>
      </c>
      <c r="I22" s="289">
        <f t="shared" ref="I22:I24" si="3">F22*G22*12</f>
        <v>0</v>
      </c>
      <c r="J22" s="290">
        <v>12</v>
      </c>
      <c r="K22" s="289">
        <f t="shared" si="2"/>
        <v>0</v>
      </c>
    </row>
    <row r="23" spans="1:11" x14ac:dyDescent="0.3">
      <c r="A23"/>
      <c r="B23" s="323"/>
      <c r="C23" s="286" t="s">
        <v>128</v>
      </c>
      <c r="D23" s="286" t="s">
        <v>123</v>
      </c>
      <c r="E23" s="286" t="s">
        <v>124</v>
      </c>
      <c r="F23" s="288">
        <v>29000</v>
      </c>
      <c r="G23" s="49"/>
      <c r="H23" s="328" t="s">
        <v>125</v>
      </c>
      <c r="I23" s="289">
        <f t="shared" si="3"/>
        <v>0</v>
      </c>
      <c r="J23" s="290">
        <v>12</v>
      </c>
      <c r="K23" s="289">
        <f t="shared" si="2"/>
        <v>0</v>
      </c>
    </row>
    <row r="24" spans="1:11" x14ac:dyDescent="0.3">
      <c r="A24"/>
      <c r="B24" s="323"/>
      <c r="C24" s="286" t="s">
        <v>129</v>
      </c>
      <c r="D24" s="286" t="s">
        <v>123</v>
      </c>
      <c r="E24" s="286" t="s">
        <v>124</v>
      </c>
      <c r="F24" s="288">
        <v>470</v>
      </c>
      <c r="G24" s="49"/>
      <c r="H24" s="328" t="s">
        <v>125</v>
      </c>
      <c r="I24" s="289">
        <f t="shared" si="3"/>
        <v>0</v>
      </c>
      <c r="J24" s="290">
        <v>12</v>
      </c>
      <c r="K24" s="289">
        <f t="shared" si="2"/>
        <v>0</v>
      </c>
    </row>
    <row r="25" spans="1:11" x14ac:dyDescent="0.3">
      <c r="A25"/>
      <c r="B25" s="324"/>
      <c r="C25" s="286" t="s">
        <v>130</v>
      </c>
      <c r="D25" s="286" t="s">
        <v>131</v>
      </c>
      <c r="E25" s="286" t="s">
        <v>132</v>
      </c>
      <c r="F25" s="329" t="s">
        <v>133</v>
      </c>
      <c r="G25" s="49"/>
      <c r="H25" s="328" t="s">
        <v>125</v>
      </c>
      <c r="I25" s="289"/>
      <c r="J25" s="330"/>
      <c r="K25" s="289" t="s">
        <v>134</v>
      </c>
    </row>
    <row r="26" spans="1:11" x14ac:dyDescent="0.3">
      <c r="A26"/>
      <c r="B26" s="276"/>
      <c r="C26" s="276"/>
      <c r="D26" s="276"/>
      <c r="E26" s="276"/>
      <c r="F26" s="276"/>
      <c r="G26" s="276"/>
      <c r="H26" s="276"/>
      <c r="I26" s="276"/>
      <c r="J26" s="326"/>
      <c r="K26" s="331"/>
    </row>
    <row r="27" spans="1:11" ht="28.8" x14ac:dyDescent="0.3">
      <c r="A27"/>
      <c r="B27" s="286" t="s">
        <v>135</v>
      </c>
      <c r="C27" s="286" t="s">
        <v>136</v>
      </c>
      <c r="D27" s="291" t="s">
        <v>137</v>
      </c>
      <c r="E27" s="286" t="s">
        <v>138</v>
      </c>
      <c r="F27" s="286">
        <v>2</v>
      </c>
      <c r="G27" s="49"/>
      <c r="H27" s="332" t="s">
        <v>125</v>
      </c>
      <c r="I27" s="289">
        <f>F27*G27*12</f>
        <v>0</v>
      </c>
      <c r="J27" s="290">
        <v>12</v>
      </c>
      <c r="K27" s="289">
        <f t="shared" si="2"/>
        <v>0</v>
      </c>
    </row>
    <row r="28" spans="1:11" x14ac:dyDescent="0.3">
      <c r="A28"/>
      <c r="B28" s="276"/>
      <c r="C28" s="276"/>
      <c r="D28" s="276"/>
      <c r="E28" s="276"/>
      <c r="F28" s="276"/>
      <c r="G28" s="276"/>
      <c r="H28" s="276"/>
      <c r="I28" s="276"/>
      <c r="J28" s="276"/>
      <c r="K28" s="294"/>
    </row>
    <row r="29" spans="1:11" x14ac:dyDescent="0.3">
      <c r="A29" s="280"/>
      <c r="B29" s="286" t="s">
        <v>67</v>
      </c>
      <c r="C29" s="286" t="s">
        <v>139</v>
      </c>
      <c r="D29" s="286" t="s">
        <v>88</v>
      </c>
      <c r="E29" s="276"/>
      <c r="F29" s="276"/>
      <c r="G29" s="293"/>
      <c r="H29" s="276"/>
      <c r="I29" s="276"/>
      <c r="J29" s="276"/>
      <c r="K29" s="294"/>
    </row>
    <row r="30" spans="1:11" x14ac:dyDescent="0.3">
      <c r="F30" s="333"/>
    </row>
    <row r="31" spans="1:11" ht="15.6" x14ac:dyDescent="0.3">
      <c r="B31" s="272" t="s">
        <v>47</v>
      </c>
      <c r="C31" s="295"/>
      <c r="D31" s="295"/>
      <c r="E31" s="295"/>
      <c r="F31" s="295"/>
      <c r="G31" s="334"/>
      <c r="H31" s="334"/>
      <c r="I31" s="275">
        <f>SUM(I14:I27)</f>
        <v>0</v>
      </c>
      <c r="J31" s="307"/>
      <c r="K31" s="307"/>
    </row>
    <row r="32" spans="1:11" ht="15.6" x14ac:dyDescent="0.3">
      <c r="B32" s="296" t="s">
        <v>48</v>
      </c>
      <c r="C32" s="297"/>
      <c r="D32" s="297"/>
      <c r="E32" s="297"/>
      <c r="F32" s="297"/>
      <c r="G32" s="335"/>
      <c r="H32" s="335"/>
      <c r="I32" s="275">
        <f>ROUND(+I31/12,2)</f>
        <v>0</v>
      </c>
      <c r="J32" s="308"/>
      <c r="K32" s="307"/>
    </row>
    <row r="33" spans="2:11" ht="16.2" thickBot="1" x14ac:dyDescent="0.35">
      <c r="B33" s="135" t="s">
        <v>49</v>
      </c>
      <c r="C33" s="298"/>
      <c r="D33" s="298"/>
      <c r="E33" s="298"/>
      <c r="F33" s="298"/>
      <c r="G33" s="278"/>
      <c r="H33" s="278"/>
      <c r="I33" s="298"/>
      <c r="J33" s="299"/>
      <c r="K33" s="136">
        <f>SUM(K14:K27)</f>
        <v>0</v>
      </c>
    </row>
    <row r="34" spans="2:11" ht="15" thickTop="1" x14ac:dyDescent="0.3"/>
    <row r="35" spans="2:11" hidden="1" x14ac:dyDescent="0.3">
      <c r="C35" t="s">
        <v>134</v>
      </c>
      <c r="K35" s="279"/>
    </row>
  </sheetData>
  <sheetProtection algorithmName="SHA-512" hashValue="+e86TtjztcaZ5AHOXObaawd7Fl6nJQoiRJpB/A3osJ0rTJ8hCGSzmRct9AEOwVD6V+eKnj5xG+el6thp042mmw==" saltValue="Fj2pbqZaPx+UsN8e4tap9w=="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3D6D5-A8A5-4F90-BFC0-8B3EDF9F7F93}">
  <sheetPr>
    <tabColor theme="4" tint="0.39997558519241921"/>
  </sheetPr>
  <dimension ref="A1:K24"/>
  <sheetViews>
    <sheetView showGridLines="0" workbookViewId="0">
      <selection activeCell="F13" sqref="F13"/>
    </sheetView>
  </sheetViews>
  <sheetFormatPr defaultColWidth="0" defaultRowHeight="14.4" zeroHeight="1" x14ac:dyDescent="0.3"/>
  <cols>
    <col min="1" max="1" width="3.6640625" style="266" customWidth="1"/>
    <col min="2" max="2" width="26.33203125" bestFit="1" customWidth="1"/>
    <col min="3" max="3" width="32.5546875" customWidth="1"/>
    <col min="4" max="4" width="17.6640625" customWidth="1"/>
    <col min="5" max="5" width="12.33203125" bestFit="1" customWidth="1"/>
    <col min="6" max="6" width="17.33203125" customWidth="1"/>
    <col min="7" max="7" width="25.33203125" customWidth="1"/>
    <col min="8" max="8" width="13.5546875" customWidth="1"/>
    <col min="9" max="9" width="15.5546875" customWidth="1"/>
    <col min="10" max="10" width="3.6640625" style="266" customWidth="1"/>
    <col min="11" max="11" width="12.5546875" hidden="1" customWidth="1"/>
    <col min="12" max="16384" width="9.33203125" hidden="1"/>
  </cols>
  <sheetData>
    <row r="1" spans="1:11" x14ac:dyDescent="0.3"/>
    <row r="2" spans="1:11" ht="23.4" x14ac:dyDescent="0.3">
      <c r="B2" s="6" t="s">
        <v>0</v>
      </c>
      <c r="C2" s="6"/>
      <c r="D2" s="6"/>
      <c r="E2" s="6"/>
      <c r="F2" s="6"/>
      <c r="G2" s="12"/>
      <c r="H2" s="12"/>
      <c r="I2" s="7"/>
    </row>
    <row r="3" spans="1:11" ht="23.4" x14ac:dyDescent="0.3">
      <c r="B3" s="8" t="s">
        <v>1</v>
      </c>
      <c r="C3" s="8"/>
      <c r="D3" s="8"/>
      <c r="E3" s="8"/>
      <c r="F3" s="8"/>
      <c r="G3" s="12"/>
      <c r="H3" s="12"/>
      <c r="I3" s="7"/>
    </row>
    <row r="4" spans="1:11" ht="21" x14ac:dyDescent="0.3">
      <c r="B4" s="9" t="s">
        <v>17</v>
      </c>
      <c r="C4" s="9"/>
      <c r="D4" s="9"/>
      <c r="E4" s="9"/>
      <c r="F4" s="9"/>
      <c r="G4" s="12"/>
      <c r="H4" s="10"/>
      <c r="I4" s="10"/>
    </row>
    <row r="5" spans="1:11" ht="21" x14ac:dyDescent="0.3">
      <c r="B5" s="11" t="s">
        <v>140</v>
      </c>
      <c r="C5" s="9"/>
      <c r="D5" s="12"/>
      <c r="E5" s="12"/>
      <c r="F5" s="99" t="s">
        <v>25</v>
      </c>
      <c r="G5" s="12"/>
      <c r="H5" s="10"/>
      <c r="I5" s="10"/>
    </row>
    <row r="6" spans="1:11" x14ac:dyDescent="0.3">
      <c r="B6" s="12" t="s">
        <v>4</v>
      </c>
      <c r="C6" s="12"/>
      <c r="D6" s="12"/>
      <c r="E6" s="12"/>
      <c r="F6" s="12"/>
      <c r="G6" s="10"/>
      <c r="H6" s="10"/>
      <c r="I6" s="10"/>
    </row>
    <row r="7" spans="1:11" x14ac:dyDescent="0.3"/>
    <row r="8" spans="1:11" x14ac:dyDescent="0.3"/>
    <row r="9" spans="1:11" x14ac:dyDescent="0.3"/>
    <row r="10" spans="1:11" x14ac:dyDescent="0.3"/>
    <row r="11" spans="1:11" ht="15" thickBot="1" x14ac:dyDescent="0.35"/>
    <row r="12" spans="1:11" ht="47.4" thickBot="1" x14ac:dyDescent="0.35">
      <c r="B12" s="284" t="s">
        <v>26</v>
      </c>
      <c r="C12" s="285" t="s">
        <v>27</v>
      </c>
      <c r="D12" s="285" t="s">
        <v>29</v>
      </c>
      <c r="E12" s="47" t="s">
        <v>141</v>
      </c>
      <c r="F12" s="47" t="s">
        <v>93</v>
      </c>
      <c r="G12" s="47" t="s">
        <v>32</v>
      </c>
      <c r="H12" s="47" t="s">
        <v>33</v>
      </c>
      <c r="I12" s="50" t="s">
        <v>34</v>
      </c>
    </row>
    <row r="13" spans="1:11" ht="28.8" x14ac:dyDescent="0.3">
      <c r="A13"/>
      <c r="B13" s="286"/>
      <c r="C13" s="291" t="s">
        <v>142</v>
      </c>
      <c r="D13" s="286" t="s">
        <v>143</v>
      </c>
      <c r="E13" s="288">
        <v>12</v>
      </c>
      <c r="F13" s="49"/>
      <c r="G13" s="289">
        <f>E13*F13*12</f>
        <v>0</v>
      </c>
      <c r="H13" s="319">
        <v>12</v>
      </c>
      <c r="I13" s="289">
        <f>G13*H13</f>
        <v>0</v>
      </c>
    </row>
    <row r="14" spans="1:11" x14ac:dyDescent="0.3">
      <c r="A14"/>
      <c r="B14" s="276"/>
      <c r="C14" s="276"/>
      <c r="D14" s="276"/>
      <c r="E14" s="276"/>
      <c r="F14" s="276"/>
      <c r="G14" s="276"/>
      <c r="H14" s="276"/>
      <c r="I14" s="293"/>
      <c r="K14" s="277"/>
    </row>
    <row r="15" spans="1:11" ht="15.6" x14ac:dyDescent="0.3">
      <c r="A15"/>
      <c r="B15" s="272" t="s">
        <v>47</v>
      </c>
      <c r="C15" s="295"/>
      <c r="D15" s="295"/>
      <c r="E15" s="295"/>
      <c r="F15" s="295"/>
      <c r="G15" s="275">
        <f>SUM(G13)</f>
        <v>0</v>
      </c>
      <c r="H15" s="307"/>
      <c r="I15" s="307"/>
      <c r="J15" s="277"/>
    </row>
    <row r="16" spans="1:11" ht="15.6" x14ac:dyDescent="0.3">
      <c r="A16"/>
      <c r="B16" s="296" t="s">
        <v>48</v>
      </c>
      <c r="C16" s="297"/>
      <c r="D16" s="297"/>
      <c r="E16" s="297"/>
      <c r="F16" s="297"/>
      <c r="G16" s="275">
        <f>ROUND(+G15/12,2)</f>
        <v>0</v>
      </c>
      <c r="H16" s="308"/>
      <c r="I16" s="307"/>
      <c r="J16" s="277"/>
    </row>
    <row r="17" spans="1:11" ht="16.2" thickBot="1" x14ac:dyDescent="0.35">
      <c r="A17"/>
      <c r="B17" s="135" t="s">
        <v>49</v>
      </c>
      <c r="C17" s="298"/>
      <c r="D17" s="298"/>
      <c r="E17" s="298"/>
      <c r="F17" s="298"/>
      <c r="G17" s="298"/>
      <c r="H17" s="299"/>
      <c r="I17" s="136">
        <f>SUM(I13)</f>
        <v>0</v>
      </c>
      <c r="J17" s="277"/>
    </row>
    <row r="18" spans="1:11" ht="15" thickTop="1" x14ac:dyDescent="0.3">
      <c r="A18"/>
      <c r="B18" s="276"/>
      <c r="C18" s="276"/>
      <c r="D18" s="276"/>
      <c r="E18" s="276"/>
      <c r="F18" s="276"/>
      <c r="G18" s="276"/>
      <c r="H18" s="276"/>
      <c r="I18" s="293"/>
      <c r="K18" s="277"/>
    </row>
    <row r="19" spans="1:11" hidden="1" x14ac:dyDescent="0.3">
      <c r="A19"/>
      <c r="B19" s="276"/>
      <c r="C19" s="276"/>
      <c r="D19" s="276"/>
      <c r="E19" s="276"/>
      <c r="F19" s="276"/>
      <c r="G19" s="276"/>
      <c r="H19" s="276"/>
      <c r="I19" s="293"/>
      <c r="K19" s="277"/>
    </row>
    <row r="20" spans="1:11" hidden="1" x14ac:dyDescent="0.3">
      <c r="A20"/>
      <c r="B20" s="276"/>
      <c r="C20" s="276"/>
      <c r="D20" s="276"/>
      <c r="E20" s="276"/>
      <c r="F20" s="276"/>
      <c r="G20" s="276"/>
      <c r="H20" s="276"/>
      <c r="I20" s="293"/>
      <c r="K20" s="277"/>
    </row>
    <row r="21" spans="1:11" hidden="1" x14ac:dyDescent="0.3">
      <c r="A21"/>
      <c r="B21" s="276"/>
      <c r="C21" s="276"/>
      <c r="D21" s="276"/>
      <c r="E21" s="276"/>
      <c r="F21" s="276"/>
      <c r="G21" s="276"/>
      <c r="H21" s="276"/>
      <c r="I21" s="293"/>
      <c r="K21" s="277"/>
    </row>
    <row r="22" spans="1:11" hidden="1" x14ac:dyDescent="0.3">
      <c r="A22"/>
      <c r="B22" s="276"/>
      <c r="C22" s="276"/>
      <c r="D22" s="276"/>
      <c r="E22" s="276"/>
      <c r="F22" s="276"/>
      <c r="G22" s="276"/>
      <c r="H22" s="276"/>
      <c r="I22" s="293"/>
      <c r="K22" s="277"/>
    </row>
    <row r="23" spans="1:11" hidden="1" x14ac:dyDescent="0.3">
      <c r="A23" s="280"/>
      <c r="B23" s="276"/>
      <c r="C23" s="276"/>
      <c r="D23" s="276"/>
      <c r="E23" s="276"/>
      <c r="F23" s="276"/>
      <c r="G23" s="276"/>
      <c r="H23" s="276"/>
      <c r="I23" s="276"/>
      <c r="K23" s="277"/>
    </row>
    <row r="24" spans="1:11" hidden="1" x14ac:dyDescent="0.3">
      <c r="A24" s="280"/>
    </row>
  </sheetData>
  <sheetProtection algorithmName="SHA-512" hashValue="sd92z3QWfVhgpm+fRYakmhO8qBnzRWKbqNYqA/HULL8RvHmoaSPo4OPi3M+TWQW4KVvkOP62PL1J2UURORO28g==" saltValue="wC/JbvSdoLnnafTXBaWMSw==" spinCount="100000" sheet="1" objects="1" scenario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5EEB-DA58-46D4-8AB9-3AAB41491BC2}">
  <sheetPr>
    <tabColor theme="4" tint="0.39997558519241921"/>
  </sheetPr>
  <dimension ref="A1:Q27"/>
  <sheetViews>
    <sheetView showGridLines="0" workbookViewId="0">
      <selection activeCell="F12" sqref="F12"/>
    </sheetView>
  </sheetViews>
  <sheetFormatPr defaultColWidth="0" defaultRowHeight="14.4" zeroHeight="1" x14ac:dyDescent="0.3"/>
  <cols>
    <col min="1" max="1" width="5.5546875" style="266" customWidth="1"/>
    <col min="2" max="2" width="29.44140625" customWidth="1"/>
    <col min="3" max="3" width="48.33203125" customWidth="1"/>
    <col min="4" max="4" width="15.33203125" customWidth="1"/>
    <col min="5" max="5" width="15.6640625" customWidth="1"/>
    <col min="6" max="6" width="17.33203125" customWidth="1"/>
    <col min="7" max="7" width="19" customWidth="1"/>
    <col min="8" max="8" width="1.6640625" customWidth="1"/>
    <col min="9" max="9" width="11.5546875" bestFit="1" customWidth="1"/>
    <col min="10" max="10" width="17.5546875" customWidth="1"/>
    <col min="11" max="11" width="16.6640625" customWidth="1"/>
    <col min="12" max="12" width="10.5546875" customWidth="1"/>
    <col min="13" max="13" width="18.6640625" customWidth="1"/>
    <col min="14" max="14" width="3.6640625" customWidth="1"/>
    <col min="15" max="15" width="10.5546875" hidden="1" customWidth="1"/>
    <col min="16" max="16" width="11" style="266" hidden="1" customWidth="1"/>
    <col min="17" max="17" width="12.5546875" hidden="1" customWidth="1"/>
    <col min="18" max="16384" width="9.33203125" hidden="1"/>
  </cols>
  <sheetData>
    <row r="1" spans="1:13" x14ac:dyDescent="0.3"/>
    <row r="2" spans="1:13" ht="23.4" x14ac:dyDescent="0.3">
      <c r="B2" s="6" t="s">
        <v>0</v>
      </c>
      <c r="C2" s="6"/>
      <c r="D2" s="6"/>
      <c r="E2" s="6"/>
      <c r="F2" s="6"/>
      <c r="G2" s="12"/>
      <c r="H2" s="12"/>
      <c r="I2" s="12"/>
      <c r="J2" s="7"/>
      <c r="K2" s="45"/>
      <c r="L2" s="7"/>
      <c r="M2" s="7"/>
    </row>
    <row r="3" spans="1:13" ht="23.4" x14ac:dyDescent="0.3">
      <c r="B3" s="8" t="s">
        <v>1</v>
      </c>
      <c r="C3" s="8"/>
      <c r="D3" s="8"/>
      <c r="E3" s="8"/>
      <c r="F3" s="8"/>
      <c r="G3" s="12"/>
      <c r="H3" s="12"/>
      <c r="I3" s="12"/>
      <c r="J3" s="7"/>
      <c r="K3" s="45"/>
      <c r="L3" s="7"/>
      <c r="M3" s="7"/>
    </row>
    <row r="4" spans="1:13" ht="21" x14ac:dyDescent="0.3">
      <c r="B4" s="9" t="s">
        <v>144</v>
      </c>
      <c r="C4" s="9"/>
      <c r="D4" s="9"/>
      <c r="E4" s="9"/>
      <c r="F4" s="9"/>
      <c r="G4" s="12"/>
      <c r="H4" s="12"/>
      <c r="I4" s="10"/>
      <c r="J4" s="10"/>
      <c r="K4" s="10"/>
      <c r="L4" s="10"/>
      <c r="M4" s="10"/>
    </row>
    <row r="5" spans="1:13" ht="21" x14ac:dyDescent="0.3">
      <c r="B5" s="11" t="s">
        <v>140</v>
      </c>
      <c r="C5" s="9"/>
      <c r="D5" s="12"/>
      <c r="E5" s="12"/>
      <c r="F5" s="99" t="s">
        <v>25</v>
      </c>
      <c r="G5" s="12"/>
      <c r="H5" s="12"/>
      <c r="I5" s="12"/>
      <c r="J5" s="10"/>
      <c r="K5" s="10"/>
      <c r="L5" s="10"/>
      <c r="M5" s="10"/>
    </row>
    <row r="6" spans="1:13" x14ac:dyDescent="0.3">
      <c r="B6" s="12" t="s">
        <v>4</v>
      </c>
      <c r="C6" s="12"/>
      <c r="D6" s="12"/>
      <c r="E6" s="12"/>
      <c r="F6" s="12"/>
      <c r="G6" s="10"/>
      <c r="H6" s="10"/>
      <c r="I6" s="10"/>
      <c r="J6" s="10"/>
      <c r="K6" s="10"/>
      <c r="L6" s="10"/>
      <c r="M6" s="10"/>
    </row>
    <row r="7" spans="1:13" x14ac:dyDescent="0.3"/>
    <row r="8" spans="1:13" x14ac:dyDescent="0.3"/>
    <row r="9" spans="1:13" x14ac:dyDescent="0.3"/>
    <row r="10" spans="1:13" ht="15" thickBot="1" x14ac:dyDescent="0.35"/>
    <row r="11" spans="1:13" ht="47.4" thickBot="1" x14ac:dyDescent="0.35">
      <c r="B11" s="284" t="s">
        <v>26</v>
      </c>
      <c r="C11" s="285" t="s">
        <v>27</v>
      </c>
      <c r="D11" s="285" t="s">
        <v>29</v>
      </c>
      <c r="E11" s="47" t="s">
        <v>141</v>
      </c>
      <c r="F11" s="47" t="s">
        <v>145</v>
      </c>
      <c r="G11" s="47" t="s">
        <v>32</v>
      </c>
      <c r="H11" s="47"/>
      <c r="I11" s="47" t="s">
        <v>146</v>
      </c>
      <c r="J11" s="47" t="s">
        <v>147</v>
      </c>
      <c r="K11" s="47" t="s">
        <v>32</v>
      </c>
      <c r="L11" s="47" t="s">
        <v>33</v>
      </c>
      <c r="M11" s="50" t="s">
        <v>34</v>
      </c>
    </row>
    <row r="12" spans="1:13" x14ac:dyDescent="0.3">
      <c r="A12"/>
      <c r="B12" s="310" t="s">
        <v>148</v>
      </c>
      <c r="C12" s="306" t="s">
        <v>149</v>
      </c>
      <c r="D12" s="268" t="s">
        <v>150</v>
      </c>
      <c r="E12" s="268">
        <v>1</v>
      </c>
      <c r="F12" s="5"/>
      <c r="G12" s="270">
        <f>E12*F12</f>
        <v>0</v>
      </c>
      <c r="H12" s="311"/>
      <c r="I12" s="312"/>
      <c r="J12" s="313"/>
      <c r="K12" s="314"/>
      <c r="L12" s="301">
        <v>12</v>
      </c>
      <c r="M12" s="270">
        <f>G12*L12</f>
        <v>0</v>
      </c>
    </row>
    <row r="13" spans="1:13" x14ac:dyDescent="0.3">
      <c r="A13"/>
      <c r="K13" s="196"/>
      <c r="L13" s="196"/>
    </row>
    <row r="14" spans="1:13" x14ac:dyDescent="0.3">
      <c r="A14"/>
      <c r="B14" s="268" t="s">
        <v>151</v>
      </c>
      <c r="C14" s="306" t="s">
        <v>152</v>
      </c>
      <c r="D14" s="268" t="s">
        <v>153</v>
      </c>
      <c r="E14" s="269" t="s">
        <v>154</v>
      </c>
      <c r="F14" s="315"/>
      <c r="G14" s="268"/>
      <c r="I14" s="268">
        <v>7</v>
      </c>
      <c r="J14" s="5"/>
      <c r="K14" s="316">
        <f>I14*J14*12</f>
        <v>0</v>
      </c>
      <c r="L14" s="301">
        <v>12</v>
      </c>
      <c r="M14" s="270">
        <f>K14*L14</f>
        <v>0</v>
      </c>
    </row>
    <row r="15" spans="1:13" x14ac:dyDescent="0.3">
      <c r="A15"/>
      <c r="B15" s="268"/>
      <c r="C15" s="268" t="s">
        <v>155</v>
      </c>
      <c r="D15" s="268" t="s">
        <v>153</v>
      </c>
      <c r="E15" s="269" t="s">
        <v>156</v>
      </c>
      <c r="F15" s="315"/>
      <c r="G15" s="268"/>
      <c r="I15" s="268">
        <v>48</v>
      </c>
      <c r="J15" s="5"/>
      <c r="K15" s="316">
        <f>I15*J15*12</f>
        <v>0</v>
      </c>
      <c r="L15" s="301">
        <v>12</v>
      </c>
      <c r="M15" s="270">
        <f>K15*L15</f>
        <v>0</v>
      </c>
    </row>
    <row r="16" spans="1:13" x14ac:dyDescent="0.3">
      <c r="A16"/>
      <c r="B16" s="268"/>
      <c r="C16" s="306" t="s">
        <v>157</v>
      </c>
      <c r="D16" s="268" t="s">
        <v>153</v>
      </c>
      <c r="E16" s="269" t="s">
        <v>158</v>
      </c>
      <c r="F16" s="315"/>
      <c r="G16" s="268"/>
      <c r="I16" s="268">
        <v>2</v>
      </c>
      <c r="J16" s="5"/>
      <c r="K16" s="316">
        <f>I16*J16*12</f>
        <v>0</v>
      </c>
      <c r="L16" s="301">
        <v>12</v>
      </c>
      <c r="M16" s="270">
        <f>K16*L16</f>
        <v>0</v>
      </c>
    </row>
    <row r="17" spans="1:17" x14ac:dyDescent="0.3">
      <c r="A17"/>
      <c r="G17" s="317"/>
      <c r="H17" s="317"/>
      <c r="K17" s="279"/>
      <c r="M17" s="1"/>
      <c r="N17" s="279"/>
      <c r="Q17" s="277"/>
    </row>
    <row r="18" spans="1:17" ht="15.6" x14ac:dyDescent="0.3">
      <c r="A18"/>
      <c r="B18" s="272" t="s">
        <v>47</v>
      </c>
      <c r="C18" s="295"/>
      <c r="D18" s="295"/>
      <c r="E18" s="295"/>
      <c r="F18" s="295"/>
      <c r="G18" s="275">
        <f>SUM(G12)</f>
        <v>0</v>
      </c>
      <c r="J18" s="307"/>
      <c r="K18" s="275">
        <f>SUM(K14:K16)</f>
        <v>0</v>
      </c>
      <c r="M18" s="1"/>
      <c r="N18" s="279"/>
      <c r="Q18" s="277"/>
    </row>
    <row r="19" spans="1:17" ht="15.6" x14ac:dyDescent="0.3">
      <c r="A19"/>
      <c r="B19" s="296" t="s">
        <v>48</v>
      </c>
      <c r="C19" s="297"/>
      <c r="D19" s="297"/>
      <c r="E19" s="297"/>
      <c r="F19" s="297"/>
      <c r="G19" s="275">
        <f>ROUND(+G18/12,2)</f>
        <v>0</v>
      </c>
      <c r="J19" s="308"/>
      <c r="K19" s="275">
        <f>ROUND(+K18/12,2)</f>
        <v>0</v>
      </c>
      <c r="M19" s="1"/>
      <c r="N19" s="279"/>
      <c r="Q19" s="277"/>
    </row>
    <row r="20" spans="1:17" ht="16.2" thickBot="1" x14ac:dyDescent="0.35">
      <c r="A20"/>
      <c r="B20" s="135" t="s">
        <v>49</v>
      </c>
      <c r="C20" s="298"/>
      <c r="D20" s="298"/>
      <c r="E20" s="298"/>
      <c r="F20" s="298"/>
      <c r="G20" s="278"/>
      <c r="H20" s="278"/>
      <c r="I20" s="298"/>
      <c r="J20" s="318"/>
      <c r="K20" s="298"/>
      <c r="L20" s="299"/>
      <c r="M20" s="136">
        <f>SUM(M11:M16)</f>
        <v>0</v>
      </c>
      <c r="N20" s="279"/>
      <c r="Q20" s="277"/>
    </row>
    <row r="21" spans="1:17" ht="15" thickTop="1" x14ac:dyDescent="0.3">
      <c r="A21"/>
      <c r="K21" s="279"/>
      <c r="M21" s="1"/>
      <c r="N21" s="279"/>
      <c r="Q21" s="277"/>
    </row>
    <row r="27" spans="1:17" ht="18.75" hidden="1" customHeight="1" x14ac:dyDescent="0.3"/>
  </sheetData>
  <sheetProtection algorithmName="SHA-512" hashValue="U0QObD/TEyUfNHOxYH4yQ+mBiytlW/c14WwSGy3BCNPeRwnBFIrhZ4XCuSwiyqvHiMEZJ/lSx9/jP5c5i1PPpQ==" saltValue="AEyQBGhRSw1fQ98jE0YskA==" spinCount="100000" sheet="1" objects="1" scenarios="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70DC4-38A3-4121-AEF8-9F500981D1ED}">
  <sheetPr>
    <tabColor theme="4" tint="0.39997558519241921"/>
  </sheetPr>
  <dimension ref="A1:P36"/>
  <sheetViews>
    <sheetView showGridLines="0" zoomScaleNormal="100" workbookViewId="0">
      <selection activeCell="F13" sqref="F13"/>
    </sheetView>
  </sheetViews>
  <sheetFormatPr defaultColWidth="0" defaultRowHeight="14.4" zeroHeight="1" x14ac:dyDescent="0.3"/>
  <cols>
    <col min="1" max="1" width="3.6640625" style="266" customWidth="1"/>
    <col min="2" max="2" width="26.33203125" bestFit="1" customWidth="1"/>
    <col min="3" max="3" width="40.6640625" customWidth="1"/>
    <col min="4" max="4" width="17.6640625" customWidth="1"/>
    <col min="5" max="5" width="9.33203125" customWidth="1"/>
    <col min="6" max="6" width="13.5546875" customWidth="1"/>
    <col min="7" max="7" width="15.44140625" customWidth="1"/>
    <col min="8" max="8" width="12.33203125" customWidth="1"/>
    <col min="9" max="9" width="16" customWidth="1"/>
    <col min="10" max="10" width="3.6640625" customWidth="1"/>
    <col min="11" max="11" width="10.5546875" hidden="1" customWidth="1"/>
    <col min="12" max="12" width="10.6640625" style="266" hidden="1" customWidth="1"/>
    <col min="13" max="13" width="12.5546875" hidden="1" customWidth="1"/>
    <col min="14" max="16" width="0" hidden="1" customWidth="1"/>
    <col min="17" max="16384" width="9.33203125" hidden="1"/>
  </cols>
  <sheetData>
    <row r="1" spans="1:9" x14ac:dyDescent="0.3"/>
    <row r="2" spans="1:9" ht="23.4" x14ac:dyDescent="0.3">
      <c r="B2" s="6" t="s">
        <v>0</v>
      </c>
      <c r="C2" s="6"/>
      <c r="D2" s="6"/>
      <c r="E2" s="6"/>
      <c r="F2" s="6"/>
      <c r="G2" s="12"/>
      <c r="H2" s="12"/>
      <c r="I2" s="7"/>
    </row>
    <row r="3" spans="1:9" ht="23.4" x14ac:dyDescent="0.3">
      <c r="B3" s="8" t="s">
        <v>1</v>
      </c>
      <c r="C3" s="8"/>
      <c r="D3" s="8"/>
      <c r="E3" s="8"/>
      <c r="F3" s="8"/>
      <c r="G3" s="12"/>
      <c r="H3" s="12"/>
      <c r="I3" s="7"/>
    </row>
    <row r="4" spans="1:9" ht="21" x14ac:dyDescent="0.3">
      <c r="B4" s="9" t="s">
        <v>159</v>
      </c>
      <c r="C4" s="9"/>
      <c r="D4" s="9"/>
      <c r="E4" s="9"/>
      <c r="F4" s="9"/>
      <c r="G4" s="12"/>
      <c r="H4" s="10"/>
      <c r="I4" s="10"/>
    </row>
    <row r="5" spans="1:9" ht="21" x14ac:dyDescent="0.3">
      <c r="B5" s="11" t="s">
        <v>140</v>
      </c>
      <c r="C5" s="9"/>
      <c r="D5" s="12"/>
      <c r="E5" s="12"/>
      <c r="F5" s="99" t="s">
        <v>25</v>
      </c>
      <c r="G5" s="12"/>
      <c r="H5" s="10"/>
      <c r="I5" s="10"/>
    </row>
    <row r="6" spans="1:9" x14ac:dyDescent="0.3">
      <c r="B6" s="12" t="s">
        <v>4</v>
      </c>
      <c r="C6" s="12"/>
      <c r="D6" s="12"/>
      <c r="E6" s="12"/>
      <c r="F6" s="12"/>
      <c r="G6" s="10"/>
      <c r="H6" s="10"/>
      <c r="I6" s="10"/>
    </row>
    <row r="7" spans="1:9" x14ac:dyDescent="0.3"/>
    <row r="8" spans="1:9" x14ac:dyDescent="0.3"/>
    <row r="9" spans="1:9" x14ac:dyDescent="0.3"/>
    <row r="10" spans="1:9" x14ac:dyDescent="0.3"/>
    <row r="11" spans="1:9" ht="15" thickBot="1" x14ac:dyDescent="0.35"/>
    <row r="12" spans="1:9" ht="47.4" thickBot="1" x14ac:dyDescent="0.35">
      <c r="B12" s="284" t="s">
        <v>26</v>
      </c>
      <c r="C12" s="285" t="s">
        <v>160</v>
      </c>
      <c r="D12" s="285" t="s">
        <v>29</v>
      </c>
      <c r="E12" s="47" t="s">
        <v>50</v>
      </c>
      <c r="F12" s="47" t="s">
        <v>161</v>
      </c>
      <c r="G12" s="47" t="s">
        <v>32</v>
      </c>
      <c r="H12" s="47" t="s">
        <v>33</v>
      </c>
      <c r="I12" s="50" t="s">
        <v>34</v>
      </c>
    </row>
    <row r="13" spans="1:9" x14ac:dyDescent="0.3">
      <c r="A13" s="171"/>
      <c r="B13" s="300" t="s">
        <v>162</v>
      </c>
      <c r="C13" s="300" t="s">
        <v>163</v>
      </c>
      <c r="D13" s="300" t="s">
        <v>164</v>
      </c>
      <c r="E13" s="300">
        <v>1</v>
      </c>
      <c r="F13" s="5"/>
      <c r="G13" s="270">
        <f t="shared" ref="G13:G18" si="0">F13*E13*12</f>
        <v>0</v>
      </c>
      <c r="H13" s="301">
        <v>12</v>
      </c>
      <c r="I13" s="270">
        <f t="shared" ref="I13:I18" si="1">G13*H13</f>
        <v>0</v>
      </c>
    </row>
    <row r="14" spans="1:9" x14ac:dyDescent="0.3">
      <c r="A14" s="171"/>
      <c r="B14" s="300"/>
      <c r="C14" s="300" t="s">
        <v>165</v>
      </c>
      <c r="D14" s="300" t="s">
        <v>50</v>
      </c>
      <c r="E14" s="302">
        <v>64</v>
      </c>
      <c r="F14" s="5"/>
      <c r="G14" s="270">
        <f t="shared" si="0"/>
        <v>0</v>
      </c>
      <c r="H14" s="301">
        <v>12</v>
      </c>
      <c r="I14" s="270">
        <f t="shared" si="1"/>
        <v>0</v>
      </c>
    </row>
    <row r="15" spans="1:9" x14ac:dyDescent="0.3">
      <c r="A15" s="171"/>
      <c r="B15" s="300"/>
      <c r="C15" s="300" t="s">
        <v>166</v>
      </c>
      <c r="D15" s="300" t="s">
        <v>50</v>
      </c>
      <c r="E15" s="302">
        <v>13</v>
      </c>
      <c r="F15" s="5"/>
      <c r="G15" s="270">
        <f t="shared" si="0"/>
        <v>0</v>
      </c>
      <c r="H15" s="301">
        <v>12</v>
      </c>
      <c r="I15" s="270">
        <f t="shared" si="1"/>
        <v>0</v>
      </c>
    </row>
    <row r="16" spans="1:9" x14ac:dyDescent="0.3">
      <c r="A16" s="171"/>
      <c r="B16" s="268"/>
      <c r="C16" s="300" t="s">
        <v>167</v>
      </c>
      <c r="D16" s="268" t="s">
        <v>50</v>
      </c>
      <c r="E16" s="303">
        <v>1</v>
      </c>
      <c r="F16" s="5"/>
      <c r="G16" s="270">
        <f t="shared" si="0"/>
        <v>0</v>
      </c>
      <c r="H16" s="301">
        <v>12</v>
      </c>
      <c r="I16" s="270">
        <f t="shared" si="1"/>
        <v>0</v>
      </c>
    </row>
    <row r="17" spans="1:16" x14ac:dyDescent="0.3">
      <c r="A17" s="171"/>
      <c r="B17" s="268"/>
      <c r="C17" s="304" t="s">
        <v>168</v>
      </c>
      <c r="D17" s="304" t="s">
        <v>50</v>
      </c>
      <c r="E17" s="303">
        <v>1</v>
      </c>
      <c r="F17" s="5"/>
      <c r="G17" s="270">
        <f t="shared" si="0"/>
        <v>0</v>
      </c>
      <c r="H17" s="301">
        <v>12</v>
      </c>
      <c r="I17" s="270">
        <f t="shared" si="1"/>
        <v>0</v>
      </c>
    </row>
    <row r="18" spans="1:16" x14ac:dyDescent="0.3">
      <c r="A18" s="171"/>
      <c r="B18" s="268"/>
      <c r="C18" s="268" t="s">
        <v>169</v>
      </c>
      <c r="D18" s="268" t="s">
        <v>50</v>
      </c>
      <c r="E18" s="303">
        <v>1</v>
      </c>
      <c r="F18" s="5"/>
      <c r="G18" s="270">
        <f t="shared" si="0"/>
        <v>0</v>
      </c>
      <c r="H18" s="301">
        <v>12</v>
      </c>
      <c r="I18" s="270">
        <f t="shared" si="1"/>
        <v>0</v>
      </c>
    </row>
    <row r="19" spans="1:16" x14ac:dyDescent="0.3">
      <c r="A19" s="171"/>
      <c r="B19" s="171"/>
      <c r="C19" s="171"/>
      <c r="D19" s="171"/>
      <c r="E19" s="171"/>
      <c r="F19" s="171"/>
      <c r="G19" s="171"/>
      <c r="H19" s="305"/>
      <c r="I19" s="171"/>
      <c r="J19" s="171"/>
      <c r="K19" s="171"/>
    </row>
    <row r="20" spans="1:16" x14ac:dyDescent="0.3">
      <c r="A20" s="171"/>
      <c r="B20" s="306" t="s">
        <v>162</v>
      </c>
      <c r="C20" s="306" t="s">
        <v>170</v>
      </c>
      <c r="D20" s="268" t="s">
        <v>44</v>
      </c>
      <c r="E20" s="269">
        <v>3</v>
      </c>
      <c r="F20" s="5"/>
      <c r="G20" s="270">
        <f>F20*E20*12</f>
        <v>0</v>
      </c>
      <c r="H20" s="301">
        <v>12</v>
      </c>
      <c r="I20" s="270">
        <f>G20*H20</f>
        <v>0</v>
      </c>
    </row>
    <row r="21" spans="1:16" x14ac:dyDescent="0.3">
      <c r="A21" s="171"/>
      <c r="B21" s="171"/>
      <c r="C21" s="171"/>
      <c r="D21" s="171"/>
      <c r="E21" s="171"/>
      <c r="F21" s="171"/>
      <c r="G21" s="171"/>
      <c r="H21" s="171"/>
      <c r="I21" s="171"/>
      <c r="J21" s="171"/>
      <c r="K21" s="171"/>
      <c r="L21" s="171"/>
      <c r="M21" s="171"/>
      <c r="N21" s="171"/>
      <c r="O21" s="171"/>
      <c r="P21" s="171"/>
    </row>
    <row r="22" spans="1:16" ht="15.6" x14ac:dyDescent="0.3">
      <c r="A22" s="171"/>
      <c r="B22" s="272" t="s">
        <v>47</v>
      </c>
      <c r="C22" s="295"/>
      <c r="D22" s="295"/>
      <c r="E22" s="295"/>
      <c r="F22" s="295"/>
      <c r="G22" s="275">
        <f>SUM(G13:G20)</f>
        <v>0</v>
      </c>
      <c r="H22" s="307"/>
      <c r="I22" s="307"/>
      <c r="J22" s="171"/>
      <c r="K22" s="171"/>
      <c r="L22" s="171"/>
      <c r="M22" s="171"/>
      <c r="N22" s="171"/>
      <c r="O22" s="171"/>
      <c r="P22" s="171"/>
    </row>
    <row r="23" spans="1:16" ht="15.6" x14ac:dyDescent="0.3">
      <c r="A23" s="171"/>
      <c r="B23" s="296" t="s">
        <v>48</v>
      </c>
      <c r="C23" s="297"/>
      <c r="D23" s="297"/>
      <c r="E23" s="297"/>
      <c r="F23" s="297"/>
      <c r="G23" s="275">
        <f>ROUND(+G22/12,2)</f>
        <v>0</v>
      </c>
      <c r="H23" s="308"/>
      <c r="I23" s="307"/>
      <c r="J23" s="171"/>
      <c r="K23" s="171"/>
      <c r="L23" s="171"/>
      <c r="M23" s="171"/>
      <c r="N23" s="171"/>
      <c r="O23" s="171"/>
      <c r="P23" s="171"/>
    </row>
    <row r="24" spans="1:16" ht="16.2" thickBot="1" x14ac:dyDescent="0.35">
      <c r="A24" s="171"/>
      <c r="B24" s="135" t="s">
        <v>49</v>
      </c>
      <c r="C24" s="298"/>
      <c r="D24" s="298"/>
      <c r="E24" s="298"/>
      <c r="F24" s="298"/>
      <c r="G24" s="298"/>
      <c r="H24" s="299"/>
      <c r="I24" s="136">
        <f>SUM(I13:I20)</f>
        <v>0</v>
      </c>
      <c r="J24" s="171"/>
      <c r="K24" s="171"/>
      <c r="L24" s="171"/>
      <c r="M24" s="171"/>
      <c r="N24" s="171"/>
      <c r="O24" s="171"/>
      <c r="P24" s="171"/>
    </row>
    <row r="25" spans="1:16" ht="15" thickTop="1" x14ac:dyDescent="0.3">
      <c r="A25" s="171"/>
      <c r="B25" s="171"/>
      <c r="C25" s="171"/>
      <c r="D25" s="171"/>
      <c r="E25" s="171"/>
      <c r="F25" s="171"/>
      <c r="G25" s="171"/>
      <c r="H25" s="171"/>
      <c r="I25" s="171"/>
      <c r="J25" s="171"/>
      <c r="K25" s="171"/>
      <c r="L25" s="171"/>
      <c r="M25" s="171"/>
      <c r="N25" s="171"/>
      <c r="O25" s="171"/>
      <c r="P25" s="171"/>
    </row>
    <row r="26" spans="1:16" hidden="1" x14ac:dyDescent="0.3">
      <c r="A26" s="171"/>
      <c r="B26" s="171"/>
      <c r="C26" s="171"/>
      <c r="D26" s="171"/>
      <c r="E26" s="171"/>
      <c r="F26" s="171"/>
      <c r="G26" s="171"/>
      <c r="H26" s="171"/>
      <c r="I26" s="171"/>
      <c r="J26" s="171"/>
      <c r="K26" s="171"/>
      <c r="L26" s="171"/>
      <c r="M26" s="171"/>
      <c r="N26" s="171"/>
      <c r="O26" s="171"/>
      <c r="P26" s="171"/>
    </row>
    <row r="27" spans="1:16" hidden="1" x14ac:dyDescent="0.3">
      <c r="A27" s="171"/>
      <c r="B27" s="171"/>
      <c r="C27" s="171"/>
      <c r="D27" s="171"/>
      <c r="F27" s="171"/>
      <c r="G27" s="171"/>
      <c r="H27" s="171"/>
      <c r="I27" s="309"/>
      <c r="J27" s="279"/>
      <c r="M27" s="277"/>
    </row>
    <row r="28" spans="1:16" hidden="1" x14ac:dyDescent="0.3">
      <c r="A28" s="171"/>
      <c r="B28" s="171"/>
      <c r="C28" s="171"/>
      <c r="D28" s="171"/>
      <c r="F28" s="171"/>
      <c r="G28" s="171"/>
      <c r="H28" s="171"/>
      <c r="I28" s="309"/>
      <c r="J28" s="279"/>
      <c r="M28" s="277"/>
    </row>
    <row r="29" spans="1:16" hidden="1" x14ac:dyDescent="0.3">
      <c r="A29" s="171"/>
      <c r="B29" s="171"/>
      <c r="C29" s="171"/>
      <c r="D29" s="171"/>
      <c r="F29" s="171"/>
      <c r="G29" s="171"/>
      <c r="H29" s="171"/>
      <c r="I29" s="309"/>
      <c r="J29" s="279"/>
      <c r="M29" s="277"/>
    </row>
    <row r="30" spans="1:16" hidden="1" x14ac:dyDescent="0.3">
      <c r="A30" s="171"/>
      <c r="B30" s="171"/>
      <c r="C30" s="171"/>
      <c r="D30" s="171"/>
      <c r="F30" s="171"/>
      <c r="G30" s="171"/>
      <c r="H30" s="171"/>
      <c r="I30" s="309"/>
      <c r="J30" s="279"/>
      <c r="M30" s="277"/>
    </row>
    <row r="31" spans="1:16" hidden="1" x14ac:dyDescent="0.3">
      <c r="A31" s="280"/>
      <c r="J31" s="279"/>
      <c r="M31" s="277"/>
    </row>
    <row r="32" spans="1:16" hidden="1" x14ac:dyDescent="0.3">
      <c r="A32" s="280"/>
      <c r="B32" s="283"/>
      <c r="J32" s="279"/>
    </row>
    <row r="33" spans="10:10" hidden="1" x14ac:dyDescent="0.3">
      <c r="J33" s="279"/>
    </row>
    <row r="34" spans="10:10" hidden="1" x14ac:dyDescent="0.3">
      <c r="J34" s="279"/>
    </row>
    <row r="35" spans="10:10" hidden="1" x14ac:dyDescent="0.3">
      <c r="J35" s="279"/>
    </row>
    <row r="36" spans="10:10" hidden="1" x14ac:dyDescent="0.3">
      <c r="J36" s="279"/>
    </row>
  </sheetData>
  <sheetProtection algorithmName="SHA-512" hashValue="5/zcrvhtScatdM7fsz5PB8IqilDri0mcdzf7yZrNjxpQTGqnTLPS0SApHKE933ylePxEm4V5EJJ1RqZw3EbsTg==" saltValue="/UAR1BFeLY5QhQ8L8fgnbA==" spinCount="100000" sheet="1" objects="1" scenarios="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0EECC-FDA7-4C49-A2F2-2EF1472CA3BD}">
  <sheetPr>
    <tabColor theme="4" tint="0.39997558519241921"/>
  </sheetPr>
  <dimension ref="A1:X37"/>
  <sheetViews>
    <sheetView showGridLines="0" tabSelected="1" workbookViewId="0">
      <selection activeCell="F14" sqref="F14"/>
    </sheetView>
  </sheetViews>
  <sheetFormatPr defaultColWidth="0" defaultRowHeight="14.4" zeroHeight="1" x14ac:dyDescent="0.3"/>
  <cols>
    <col min="1" max="1" width="3.6640625" style="266" customWidth="1"/>
    <col min="2" max="2" width="41.6640625" customWidth="1"/>
    <col min="3" max="3" width="59.6640625" customWidth="1"/>
    <col min="4" max="4" width="20.6640625" customWidth="1"/>
    <col min="5" max="5" width="10.33203125" customWidth="1"/>
    <col min="6" max="6" width="15.5546875" customWidth="1"/>
    <col min="7" max="7" width="15.6640625" customWidth="1"/>
    <col min="8" max="9" width="1.6640625" customWidth="1"/>
    <col min="10" max="10" width="14.5546875" customWidth="1"/>
    <col min="11" max="11" width="14" customWidth="1"/>
    <col min="12" max="12" width="3.6640625" customWidth="1"/>
    <col min="13" max="24" width="0" hidden="1" customWidth="1"/>
    <col min="25" max="16384" width="9.33203125" hidden="1"/>
  </cols>
  <sheetData>
    <row r="1" spans="1:24" x14ac:dyDescent="0.3"/>
    <row r="2" spans="1:24" ht="23.4" x14ac:dyDescent="0.3">
      <c r="B2" s="6" t="s">
        <v>0</v>
      </c>
      <c r="C2" s="6"/>
      <c r="D2" s="6"/>
      <c r="E2" s="6"/>
      <c r="F2" s="6"/>
      <c r="G2" s="12"/>
      <c r="H2" s="12"/>
      <c r="I2" s="7"/>
      <c r="J2" s="45"/>
      <c r="K2" s="45"/>
    </row>
    <row r="3" spans="1:24" ht="23.4" x14ac:dyDescent="0.3">
      <c r="B3" s="8" t="s">
        <v>1</v>
      </c>
      <c r="C3" s="8"/>
      <c r="D3" s="8"/>
      <c r="E3" s="8"/>
      <c r="F3" s="8"/>
      <c r="G3" s="12"/>
      <c r="H3" s="12"/>
      <c r="I3" s="7"/>
      <c r="J3" s="45"/>
      <c r="K3" s="45"/>
    </row>
    <row r="4" spans="1:24" ht="21" x14ac:dyDescent="0.3">
      <c r="B4" s="9" t="s">
        <v>171</v>
      </c>
      <c r="C4" s="9"/>
      <c r="D4" s="9"/>
      <c r="E4" s="9"/>
      <c r="F4" s="9"/>
      <c r="G4" s="12"/>
      <c r="H4" s="10"/>
      <c r="I4" s="10"/>
      <c r="J4" s="10"/>
      <c r="K4" s="10"/>
    </row>
    <row r="5" spans="1:24" ht="21" x14ac:dyDescent="0.3">
      <c r="B5" s="11" t="s">
        <v>140</v>
      </c>
      <c r="C5" s="9"/>
      <c r="D5" s="12"/>
      <c r="E5" s="12"/>
      <c r="F5" s="99" t="s">
        <v>25</v>
      </c>
      <c r="G5" s="12"/>
      <c r="H5" s="10"/>
      <c r="I5" s="10"/>
      <c r="J5" s="10"/>
      <c r="K5" s="10"/>
    </row>
    <row r="6" spans="1:24" x14ac:dyDescent="0.3">
      <c r="B6" s="12" t="s">
        <v>4</v>
      </c>
      <c r="C6" s="12"/>
      <c r="D6" s="12"/>
      <c r="E6" s="12"/>
      <c r="F6" s="12"/>
      <c r="G6" s="10"/>
      <c r="H6" s="10"/>
      <c r="I6" s="10"/>
      <c r="J6" s="10"/>
      <c r="K6" s="10"/>
    </row>
    <row r="7" spans="1:24" x14ac:dyDescent="0.3"/>
    <row r="8" spans="1:24" x14ac:dyDescent="0.3"/>
    <row r="9" spans="1:24" x14ac:dyDescent="0.3"/>
    <row r="10" spans="1:24" x14ac:dyDescent="0.3"/>
    <row r="11" spans="1:24" x14ac:dyDescent="0.3"/>
    <row r="12" spans="1:24" ht="15" thickBot="1" x14ac:dyDescent="0.35">
      <c r="A12"/>
      <c r="E12" s="283"/>
      <c r="F12" s="283"/>
    </row>
    <row r="13" spans="1:24" ht="47.4" thickBot="1" x14ac:dyDescent="0.35">
      <c r="A13"/>
      <c r="B13" s="284" t="s">
        <v>26</v>
      </c>
      <c r="C13" s="285" t="s">
        <v>160</v>
      </c>
      <c r="D13" s="285" t="s">
        <v>29</v>
      </c>
      <c r="E13" s="47" t="s">
        <v>172</v>
      </c>
      <c r="F13" s="47" t="s">
        <v>173</v>
      </c>
      <c r="G13" s="47" t="s">
        <v>32</v>
      </c>
      <c r="H13" s="47"/>
      <c r="I13" s="47"/>
      <c r="J13" s="47" t="s">
        <v>33</v>
      </c>
      <c r="K13" s="50" t="s">
        <v>34</v>
      </c>
    </row>
    <row r="14" spans="1:24" x14ac:dyDescent="0.3">
      <c r="A14"/>
      <c r="B14" s="286" t="s">
        <v>174</v>
      </c>
      <c r="C14" s="287" t="s">
        <v>175</v>
      </c>
      <c r="D14" s="286" t="s">
        <v>176</v>
      </c>
      <c r="E14" s="288">
        <v>3</v>
      </c>
      <c r="F14" s="49"/>
      <c r="G14" s="289">
        <f>F14*E14*12</f>
        <v>0</v>
      </c>
      <c r="H14" s="276"/>
      <c r="I14" s="276"/>
      <c r="J14" s="290">
        <v>12</v>
      </c>
      <c r="K14" s="289">
        <f t="shared" ref="K14:K22" si="0">(G14)*J14</f>
        <v>0</v>
      </c>
      <c r="L14" s="276"/>
      <c r="M14" s="276"/>
      <c r="N14" s="276"/>
      <c r="O14" s="276"/>
      <c r="P14" s="276"/>
      <c r="Q14" s="276"/>
      <c r="R14" s="276"/>
      <c r="S14" s="276"/>
      <c r="T14" s="276"/>
      <c r="U14" s="276"/>
      <c r="V14" s="276"/>
      <c r="W14" s="276"/>
      <c r="X14" s="276"/>
    </row>
    <row r="15" spans="1:24" x14ac:dyDescent="0.3">
      <c r="A15"/>
      <c r="B15" s="286"/>
      <c r="C15" s="287" t="s">
        <v>177</v>
      </c>
      <c r="D15" s="286" t="s">
        <v>176</v>
      </c>
      <c r="E15" s="288">
        <v>5</v>
      </c>
      <c r="F15" s="49"/>
      <c r="G15" s="289">
        <f t="shared" ref="G15:G20" si="1">F15*E15*12</f>
        <v>0</v>
      </c>
      <c r="H15" s="276"/>
      <c r="I15" s="276"/>
      <c r="J15" s="290">
        <v>12</v>
      </c>
      <c r="K15" s="289">
        <f t="shared" si="0"/>
        <v>0</v>
      </c>
      <c r="L15" s="276"/>
      <c r="M15" s="276"/>
      <c r="N15" s="276"/>
      <c r="O15" s="276"/>
      <c r="P15" s="276"/>
      <c r="Q15" s="276"/>
      <c r="R15" s="276"/>
      <c r="S15" s="276"/>
      <c r="T15" s="276"/>
      <c r="U15" s="276"/>
      <c r="V15" s="276"/>
      <c r="W15" s="276"/>
      <c r="X15" s="276"/>
    </row>
    <row r="16" spans="1:24" x14ac:dyDescent="0.3">
      <c r="A16"/>
      <c r="B16" s="286"/>
      <c r="C16" s="287" t="s">
        <v>178</v>
      </c>
      <c r="D16" s="286" t="s">
        <v>176</v>
      </c>
      <c r="E16" s="288">
        <v>10</v>
      </c>
      <c r="F16" s="49"/>
      <c r="G16" s="289">
        <f t="shared" si="1"/>
        <v>0</v>
      </c>
      <c r="H16" s="276"/>
      <c r="I16" s="276"/>
      <c r="J16" s="290">
        <v>12</v>
      </c>
      <c r="K16" s="289">
        <f t="shared" si="0"/>
        <v>0</v>
      </c>
      <c r="L16" s="276"/>
      <c r="M16" s="276"/>
      <c r="N16" s="276"/>
      <c r="O16" s="276"/>
      <c r="P16" s="276"/>
      <c r="Q16" s="276"/>
      <c r="R16" s="276"/>
      <c r="S16" s="276"/>
      <c r="T16" s="276"/>
      <c r="U16" s="276"/>
      <c r="V16" s="276"/>
      <c r="W16" s="276"/>
      <c r="X16" s="276"/>
    </row>
    <row r="17" spans="1:24" x14ac:dyDescent="0.3">
      <c r="A17"/>
      <c r="B17" s="291" t="s">
        <v>179</v>
      </c>
      <c r="C17" s="292" t="s">
        <v>180</v>
      </c>
      <c r="D17" s="286" t="s">
        <v>176</v>
      </c>
      <c r="E17" s="288">
        <v>1</v>
      </c>
      <c r="F17" s="49"/>
      <c r="G17" s="289">
        <f t="shared" si="1"/>
        <v>0</v>
      </c>
      <c r="H17" s="276"/>
      <c r="I17" s="276"/>
      <c r="J17" s="290">
        <v>12</v>
      </c>
      <c r="K17" s="289">
        <f t="shared" si="0"/>
        <v>0</v>
      </c>
      <c r="L17" s="276"/>
      <c r="M17" s="276"/>
      <c r="N17" s="276"/>
      <c r="O17" s="276"/>
      <c r="P17" s="276"/>
      <c r="Q17" s="276"/>
      <c r="R17" s="276"/>
      <c r="S17" s="276"/>
      <c r="T17" s="276"/>
      <c r="U17" s="276"/>
      <c r="V17" s="276"/>
      <c r="W17" s="276"/>
      <c r="X17" s="276"/>
    </row>
    <row r="18" spans="1:24" x14ac:dyDescent="0.3">
      <c r="A18"/>
      <c r="B18" s="286" t="s">
        <v>181</v>
      </c>
      <c r="C18" s="292" t="s">
        <v>180</v>
      </c>
      <c r="D18" s="286" t="s">
        <v>182</v>
      </c>
      <c r="E18" s="288">
        <v>1</v>
      </c>
      <c r="F18" s="49"/>
      <c r="G18" s="289">
        <f>F18*E18</f>
        <v>0</v>
      </c>
      <c r="H18" s="276"/>
      <c r="I18" s="276"/>
      <c r="J18" s="290">
        <v>12</v>
      </c>
      <c r="K18" s="289">
        <f t="shared" si="0"/>
        <v>0</v>
      </c>
      <c r="L18" s="276"/>
      <c r="M18" s="276"/>
      <c r="N18" s="276"/>
      <c r="O18" s="276"/>
      <c r="P18" s="276"/>
      <c r="Q18" s="276"/>
      <c r="R18" s="276"/>
      <c r="S18" s="276"/>
      <c r="T18" s="276"/>
      <c r="U18" s="276"/>
      <c r="V18" s="276"/>
      <c r="W18" s="276"/>
      <c r="X18" s="276"/>
    </row>
    <row r="19" spans="1:24" x14ac:dyDescent="0.3">
      <c r="A19"/>
      <c r="B19" s="291" t="s">
        <v>183</v>
      </c>
      <c r="C19" s="292" t="s">
        <v>180</v>
      </c>
      <c r="D19" s="286" t="s">
        <v>182</v>
      </c>
      <c r="E19" s="288">
        <v>1</v>
      </c>
      <c r="F19" s="49"/>
      <c r="G19" s="289">
        <f>F19*E19</f>
        <v>0</v>
      </c>
      <c r="H19" s="276"/>
      <c r="I19" s="276"/>
      <c r="J19" s="290">
        <v>12</v>
      </c>
      <c r="K19" s="289">
        <f t="shared" si="0"/>
        <v>0</v>
      </c>
      <c r="L19" s="276"/>
      <c r="M19" s="276"/>
      <c r="N19" s="276"/>
      <c r="O19" s="276"/>
      <c r="P19" s="276"/>
      <c r="Q19" s="276"/>
      <c r="R19" s="276"/>
      <c r="S19" s="276"/>
      <c r="T19" s="276"/>
      <c r="U19" s="276"/>
      <c r="V19" s="276"/>
      <c r="W19" s="276"/>
      <c r="X19" s="276"/>
    </row>
    <row r="20" spans="1:24" x14ac:dyDescent="0.3">
      <c r="A20"/>
      <c r="B20" s="286" t="s">
        <v>184</v>
      </c>
      <c r="C20" s="292" t="s">
        <v>180</v>
      </c>
      <c r="D20" s="286" t="s">
        <v>176</v>
      </c>
      <c r="E20" s="288">
        <v>1</v>
      </c>
      <c r="F20" s="49"/>
      <c r="G20" s="289">
        <f t="shared" si="1"/>
        <v>0</v>
      </c>
      <c r="H20" s="276"/>
      <c r="I20" s="276"/>
      <c r="J20" s="290">
        <v>12</v>
      </c>
      <c r="K20" s="289">
        <f t="shared" si="0"/>
        <v>0</v>
      </c>
      <c r="L20" s="276"/>
      <c r="M20" s="276"/>
      <c r="N20" s="276"/>
      <c r="O20" s="276"/>
      <c r="P20" s="276"/>
      <c r="Q20" s="276"/>
      <c r="R20" s="276"/>
      <c r="S20" s="276"/>
      <c r="T20" s="276"/>
      <c r="U20" s="276"/>
      <c r="V20" s="276"/>
      <c r="W20" s="276"/>
      <c r="X20" s="276"/>
    </row>
    <row r="21" spans="1:24" x14ac:dyDescent="0.3">
      <c r="A21"/>
      <c r="B21" s="286" t="s">
        <v>185</v>
      </c>
      <c r="C21" s="292" t="s">
        <v>180</v>
      </c>
      <c r="D21" s="286" t="s">
        <v>182</v>
      </c>
      <c r="E21" s="288">
        <v>1</v>
      </c>
      <c r="F21" s="49"/>
      <c r="G21" s="289">
        <f>F21*E21</f>
        <v>0</v>
      </c>
      <c r="H21" s="276"/>
      <c r="I21" s="276"/>
      <c r="J21" s="290">
        <v>12</v>
      </c>
      <c r="K21" s="289">
        <f t="shared" si="0"/>
        <v>0</v>
      </c>
      <c r="L21" s="276"/>
      <c r="M21" s="276"/>
      <c r="N21" s="276"/>
      <c r="O21" s="276"/>
      <c r="P21" s="276"/>
      <c r="Q21" s="276"/>
      <c r="R21" s="276"/>
      <c r="S21" s="276"/>
      <c r="T21" s="276"/>
      <c r="U21" s="276"/>
      <c r="V21" s="276"/>
      <c r="W21" s="276"/>
      <c r="X21" s="276"/>
    </row>
    <row r="22" spans="1:24" x14ac:dyDescent="0.3">
      <c r="A22"/>
      <c r="B22" s="286" t="s">
        <v>186</v>
      </c>
      <c r="C22" s="292" t="s">
        <v>180</v>
      </c>
      <c r="D22" s="286" t="s">
        <v>182</v>
      </c>
      <c r="E22" s="288">
        <v>1</v>
      </c>
      <c r="F22" s="49"/>
      <c r="G22" s="289">
        <f>F22*E22</f>
        <v>0</v>
      </c>
      <c r="H22" s="276"/>
      <c r="I22" s="276"/>
      <c r="J22" s="290">
        <v>12</v>
      </c>
      <c r="K22" s="289">
        <f t="shared" si="0"/>
        <v>0</v>
      </c>
      <c r="L22" s="276"/>
      <c r="M22" s="276"/>
      <c r="N22" s="276"/>
      <c r="O22" s="276"/>
      <c r="P22" s="276"/>
      <c r="Q22" s="276"/>
      <c r="R22" s="276"/>
      <c r="S22" s="276"/>
      <c r="T22" s="276"/>
      <c r="U22" s="276"/>
      <c r="V22" s="276"/>
      <c r="W22" s="276"/>
      <c r="X22" s="276"/>
    </row>
    <row r="23" spans="1:24" x14ac:dyDescent="0.3">
      <c r="A23"/>
      <c r="B23" s="276"/>
      <c r="C23" s="276"/>
      <c r="D23" s="276"/>
      <c r="E23" s="276"/>
      <c r="F23" s="276"/>
      <c r="G23" s="276"/>
      <c r="H23" s="276"/>
      <c r="I23" s="276"/>
      <c r="J23" s="293"/>
      <c r="K23" s="294"/>
      <c r="L23" s="276"/>
      <c r="M23" s="276"/>
      <c r="N23" s="276"/>
      <c r="O23" s="276"/>
      <c r="P23" s="276"/>
      <c r="Q23" s="276"/>
      <c r="R23" s="276"/>
      <c r="S23" s="276"/>
      <c r="T23" s="276"/>
      <c r="U23" s="276"/>
      <c r="V23" s="276"/>
      <c r="W23" s="276"/>
      <c r="X23" s="276"/>
    </row>
    <row r="24" spans="1:24" ht="15.6" x14ac:dyDescent="0.3">
      <c r="A24"/>
      <c r="B24" s="272" t="s">
        <v>47</v>
      </c>
      <c r="C24" s="295"/>
      <c r="D24" s="295"/>
      <c r="E24" s="295"/>
      <c r="F24" s="295"/>
      <c r="G24" s="275">
        <f>SUM(G14:G22)</f>
        <v>0</v>
      </c>
      <c r="I24" s="276"/>
      <c r="K24" s="1"/>
      <c r="L24" s="276"/>
      <c r="M24" s="276"/>
      <c r="N24" s="276"/>
      <c r="O24" s="276"/>
      <c r="P24" s="276"/>
      <c r="Q24" s="276"/>
      <c r="R24" s="276"/>
      <c r="S24" s="276"/>
      <c r="T24" s="276"/>
      <c r="U24" s="276"/>
      <c r="V24" s="276"/>
      <c r="W24" s="276"/>
      <c r="X24" s="276"/>
    </row>
    <row r="25" spans="1:24" ht="15.6" x14ac:dyDescent="0.3">
      <c r="A25"/>
      <c r="B25" s="296" t="s">
        <v>48</v>
      </c>
      <c r="C25" s="297"/>
      <c r="D25" s="297"/>
      <c r="E25" s="297"/>
      <c r="F25" s="297"/>
      <c r="G25" s="275">
        <f>ROUND(+G24/12,2)</f>
        <v>0</v>
      </c>
      <c r="I25" s="276"/>
      <c r="K25" s="1"/>
      <c r="L25" s="276"/>
      <c r="M25" s="276"/>
      <c r="N25" s="276"/>
      <c r="O25" s="276"/>
      <c r="P25" s="276"/>
      <c r="Q25" s="276"/>
      <c r="R25" s="276"/>
      <c r="S25" s="276"/>
      <c r="T25" s="276"/>
      <c r="U25" s="276"/>
      <c r="V25" s="276"/>
      <c r="W25" s="276"/>
      <c r="X25" s="276"/>
    </row>
    <row r="26" spans="1:24" ht="16.2" thickBot="1" x14ac:dyDescent="0.35">
      <c r="A26"/>
      <c r="B26" s="135" t="s">
        <v>49</v>
      </c>
      <c r="C26" s="298"/>
      <c r="D26" s="298"/>
      <c r="E26" s="298"/>
      <c r="F26" s="298"/>
      <c r="G26" s="278"/>
      <c r="H26" s="278"/>
      <c r="I26" s="298"/>
      <c r="J26" s="299"/>
      <c r="K26" s="136">
        <f>SUM(K14:K22)</f>
        <v>0</v>
      </c>
      <c r="L26" s="276"/>
      <c r="M26" s="276"/>
      <c r="N26" s="276"/>
      <c r="O26" s="276"/>
      <c r="P26" s="276"/>
      <c r="Q26" s="276"/>
      <c r="R26" s="276"/>
      <c r="S26" s="276"/>
      <c r="T26" s="276"/>
      <c r="U26" s="276"/>
      <c r="V26" s="276"/>
      <c r="W26" s="276"/>
      <c r="X26" s="276"/>
    </row>
    <row r="27" spans="1:24" ht="15" thickTop="1" x14ac:dyDescent="0.3">
      <c r="A27"/>
      <c r="B27" s="276"/>
      <c r="C27" s="276"/>
      <c r="D27" s="276"/>
      <c r="E27" s="276"/>
      <c r="F27" s="276"/>
      <c r="G27" s="276"/>
      <c r="H27" s="276"/>
      <c r="I27" s="276"/>
      <c r="J27" s="293"/>
      <c r="K27" s="294"/>
      <c r="L27" s="276"/>
      <c r="M27" s="276"/>
      <c r="N27" s="276"/>
      <c r="O27" s="276"/>
      <c r="P27" s="276"/>
      <c r="Q27" s="276"/>
      <c r="R27" s="276"/>
      <c r="S27" s="276"/>
      <c r="T27" s="276"/>
      <c r="U27" s="276"/>
      <c r="V27" s="276"/>
      <c r="W27" s="276"/>
      <c r="X27" s="276"/>
    </row>
    <row r="28" spans="1:24" hidden="1" x14ac:dyDescent="0.3">
      <c r="A28"/>
      <c r="B28" s="276"/>
      <c r="C28" s="276"/>
      <c r="D28" s="276"/>
      <c r="E28" s="276"/>
      <c r="F28" s="276"/>
      <c r="G28" s="276"/>
      <c r="H28" s="276"/>
      <c r="I28" s="276"/>
      <c r="J28" s="293"/>
      <c r="K28" s="294"/>
      <c r="L28" s="276"/>
      <c r="M28" s="276"/>
      <c r="N28" s="276"/>
      <c r="O28" s="276"/>
      <c r="P28" s="276"/>
      <c r="Q28" s="276"/>
      <c r="R28" s="276"/>
      <c r="S28" s="276"/>
      <c r="T28" s="276"/>
      <c r="U28" s="276"/>
      <c r="V28" s="276"/>
      <c r="W28" s="276"/>
      <c r="X28" s="276"/>
    </row>
    <row r="29" spans="1:24" hidden="1" x14ac:dyDescent="0.3">
      <c r="A29"/>
      <c r="B29" s="276"/>
      <c r="C29" s="276"/>
      <c r="D29" s="276"/>
      <c r="E29" s="276"/>
      <c r="F29" s="276"/>
      <c r="G29" s="276"/>
      <c r="H29" s="276"/>
      <c r="I29" s="276"/>
      <c r="J29" s="293"/>
      <c r="K29" s="294"/>
      <c r="L29" s="276"/>
      <c r="M29" s="276"/>
      <c r="N29" s="276"/>
      <c r="O29" s="276"/>
      <c r="P29" s="276"/>
      <c r="Q29" s="276"/>
      <c r="R29" s="276"/>
      <c r="S29" s="276"/>
      <c r="T29" s="276"/>
      <c r="U29" s="276"/>
      <c r="V29" s="276"/>
      <c r="W29" s="276"/>
      <c r="X29" s="276"/>
    </row>
    <row r="30" spans="1:24" hidden="1" x14ac:dyDescent="0.3">
      <c r="A30"/>
      <c r="B30" s="276"/>
      <c r="C30" s="276"/>
      <c r="D30" s="276"/>
      <c r="E30" s="276"/>
      <c r="F30" s="276"/>
      <c r="G30" s="276"/>
      <c r="H30" s="276"/>
      <c r="I30" s="276"/>
      <c r="J30" s="293"/>
      <c r="K30" s="294"/>
      <c r="L30" s="276"/>
      <c r="M30" s="276"/>
      <c r="N30" s="276"/>
      <c r="O30" s="276"/>
      <c r="P30" s="276"/>
      <c r="Q30" s="276"/>
      <c r="R30" s="276"/>
      <c r="S30" s="276"/>
      <c r="T30" s="276"/>
      <c r="U30" s="276"/>
      <c r="V30" s="276"/>
      <c r="W30" s="276"/>
      <c r="X30" s="276"/>
    </row>
    <row r="31" spans="1:24" hidden="1" x14ac:dyDescent="0.3">
      <c r="A31"/>
      <c r="B31" s="276"/>
      <c r="C31" s="276"/>
      <c r="D31" s="276"/>
      <c r="E31" s="276"/>
      <c r="F31" s="276"/>
      <c r="G31" s="276"/>
      <c r="H31" s="276"/>
      <c r="I31" s="276"/>
      <c r="J31" s="293"/>
      <c r="K31" s="294"/>
      <c r="L31" s="276"/>
      <c r="M31" s="276"/>
      <c r="N31" s="276"/>
      <c r="O31" s="276"/>
      <c r="P31" s="276"/>
      <c r="Q31" s="276"/>
      <c r="R31" s="276"/>
      <c r="S31" s="276"/>
      <c r="T31" s="276"/>
      <c r="U31" s="276"/>
      <c r="V31" s="276"/>
      <c r="W31" s="276"/>
      <c r="X31" s="276"/>
    </row>
    <row r="32" spans="1:24" hidden="1" x14ac:dyDescent="0.3">
      <c r="A32" s="280"/>
      <c r="B32" s="276"/>
      <c r="C32" s="276"/>
      <c r="D32" s="276"/>
      <c r="E32" s="276"/>
      <c r="F32" s="276"/>
      <c r="G32" s="276"/>
      <c r="H32" s="276"/>
      <c r="I32" s="276"/>
      <c r="J32" s="276"/>
      <c r="K32" s="294"/>
      <c r="L32" s="276"/>
      <c r="M32" s="276"/>
      <c r="N32" s="276"/>
      <c r="O32" s="276"/>
      <c r="P32" s="276"/>
      <c r="Q32" s="276"/>
      <c r="R32" s="276"/>
      <c r="S32" s="276"/>
      <c r="T32" s="276"/>
      <c r="U32" s="276"/>
      <c r="V32" s="276"/>
      <c r="W32" s="276"/>
      <c r="X32" s="276"/>
    </row>
    <row r="33" spans="1:24" hidden="1" x14ac:dyDescent="0.3">
      <c r="A33" s="280"/>
      <c r="B33" s="276"/>
      <c r="C33" s="276"/>
      <c r="D33" s="276"/>
      <c r="E33" s="276"/>
      <c r="F33" s="276"/>
      <c r="G33" s="276"/>
      <c r="H33" s="276"/>
      <c r="I33" s="276"/>
      <c r="J33" s="276"/>
      <c r="K33" s="294"/>
      <c r="L33" s="276"/>
      <c r="M33" s="276"/>
      <c r="N33" s="276"/>
      <c r="O33" s="276"/>
      <c r="P33" s="276"/>
      <c r="Q33" s="276"/>
      <c r="R33" s="276"/>
      <c r="S33" s="276"/>
      <c r="T33" s="276"/>
      <c r="U33" s="276"/>
      <c r="V33" s="276"/>
      <c r="W33" s="276"/>
      <c r="X33" s="276"/>
    </row>
    <row r="34" spans="1:24" hidden="1" x14ac:dyDescent="0.3">
      <c r="B34" s="276"/>
      <c r="C34" s="276"/>
      <c r="D34" s="276"/>
      <c r="E34" s="276"/>
      <c r="F34" s="276"/>
      <c r="G34" s="276"/>
      <c r="H34" s="276"/>
      <c r="I34" s="276"/>
      <c r="J34" s="276"/>
      <c r="K34" s="294"/>
      <c r="L34" s="276"/>
      <c r="M34" s="276"/>
      <c r="N34" s="276"/>
      <c r="O34" s="276"/>
      <c r="P34" s="276"/>
      <c r="Q34" s="276"/>
      <c r="R34" s="276"/>
      <c r="S34" s="276"/>
      <c r="T34" s="276"/>
      <c r="U34" s="276"/>
      <c r="V34" s="276"/>
      <c r="W34" s="276"/>
      <c r="X34" s="276"/>
    </row>
    <row r="35" spans="1:24" hidden="1" x14ac:dyDescent="0.3">
      <c r="B35" s="276"/>
      <c r="C35" s="276"/>
      <c r="D35" s="276"/>
      <c r="E35" s="276"/>
      <c r="F35" s="276"/>
      <c r="G35" s="276"/>
      <c r="H35" s="276"/>
      <c r="I35" s="276"/>
      <c r="J35" s="276"/>
      <c r="K35" s="294"/>
      <c r="L35" s="276"/>
      <c r="M35" s="276"/>
      <c r="N35" s="276"/>
      <c r="O35" s="276"/>
      <c r="P35" s="276"/>
      <c r="Q35" s="276"/>
      <c r="R35" s="276"/>
      <c r="S35" s="276"/>
      <c r="T35" s="276"/>
      <c r="U35" s="276"/>
      <c r="V35" s="276"/>
      <c r="W35" s="276"/>
      <c r="X35" s="276"/>
    </row>
    <row r="36" spans="1:24" hidden="1" x14ac:dyDescent="0.3">
      <c r="B36" s="276"/>
      <c r="C36" s="276"/>
      <c r="D36" s="276"/>
      <c r="E36" s="276"/>
      <c r="F36" s="276"/>
      <c r="G36" s="276"/>
      <c r="H36" s="276"/>
      <c r="I36" s="276"/>
      <c r="J36" s="276"/>
      <c r="K36" s="294"/>
      <c r="L36" s="276"/>
      <c r="M36" s="276"/>
      <c r="N36" s="276"/>
      <c r="O36" s="276"/>
      <c r="P36" s="276"/>
      <c r="Q36" s="276"/>
      <c r="R36" s="276"/>
      <c r="S36" s="276"/>
      <c r="T36" s="276"/>
      <c r="U36" s="276"/>
      <c r="V36" s="276"/>
      <c r="W36" s="276"/>
      <c r="X36" s="276"/>
    </row>
    <row r="37" spans="1:24" hidden="1" x14ac:dyDescent="0.3">
      <c r="B37" s="276"/>
      <c r="C37" s="276"/>
      <c r="D37" s="276"/>
      <c r="E37" s="276"/>
      <c r="F37" s="276"/>
      <c r="G37" s="276"/>
      <c r="H37" s="276"/>
      <c r="I37" s="276"/>
      <c r="J37" s="276"/>
      <c r="K37" s="294"/>
      <c r="L37" s="276"/>
      <c r="M37" s="276"/>
      <c r="N37" s="276"/>
      <c r="O37" s="276"/>
      <c r="P37" s="276"/>
      <c r="Q37" s="276"/>
      <c r="R37" s="276"/>
      <c r="S37" s="276"/>
      <c r="T37" s="276"/>
      <c r="U37" s="276"/>
      <c r="V37" s="276"/>
      <c r="W37" s="276"/>
      <c r="X37" s="276"/>
    </row>
  </sheetData>
  <sheetProtection algorithmName="SHA-512" hashValue="ZALKzor3qS1HEYjzsN/i/WdMis3XCTUPlJihXYHoafgZ0nyzbQlRQOvLOjSU3j94TF8HL6oNVGPOR+MqS5LL0g==" saltValue="sHvaMTIkwx+wKYD9ADFkLA=="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be4dd48-fdc1-4d2f-89b5-a3b242a12354">
      <Terms xmlns="http://schemas.microsoft.com/office/infopath/2007/PartnerControls"/>
    </lcf76f155ced4ddcb4097134ff3c332f>
    <Verantwoordelijkleadschrijver xmlns="fbe4dd48-fdc1-4d2f-89b5-a3b242a12354">
      <UserInfo>
        <DisplayName/>
        <AccountId xsi:nil="true"/>
        <AccountType/>
      </UserInfo>
    </Verantwoordelijkleadschrijver>
    <Datum xmlns="fbe4dd48-fdc1-4d2f-89b5-a3b242a12354" xsi:nil="true"/>
    <Verantwoordelijkinprojectteam xmlns="fbe4dd48-fdc1-4d2f-89b5-a3b242a12354">
      <UserInfo>
        <DisplayName/>
        <AccountId xsi:nil="true"/>
        <AccountType/>
      </UserInfo>
    </Verantwoordelijkinprojectteam>
    <Reviewer xmlns="fbe4dd48-fdc1-4d2f-89b5-a3b242a12354">
      <UserInfo>
        <DisplayName/>
        <AccountId xsi:nil="true"/>
        <AccountType/>
      </UserInfo>
    </Reviewe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5AFA818801CB4DB3AB97DFF439BB9A" ma:contentTypeVersion="17" ma:contentTypeDescription="Een nieuw document maken." ma:contentTypeScope="" ma:versionID="f4352f048bf0fdffb37a9f83fb847937">
  <xsd:schema xmlns:xsd="http://www.w3.org/2001/XMLSchema" xmlns:xs="http://www.w3.org/2001/XMLSchema" xmlns:p="http://schemas.microsoft.com/office/2006/metadata/properties" xmlns:ns2="fbe4dd48-fdc1-4d2f-89b5-a3b242a12354" targetNamespace="http://schemas.microsoft.com/office/2006/metadata/properties" ma:root="true" ma:fieldsID="5d10af281523d7d1d6e226667e834e32" ns2:_="">
    <xsd:import namespace="fbe4dd48-fdc1-4d2f-89b5-a3b242a123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Verantwoordelijkinprojectteam" minOccurs="0"/>
                <xsd:element ref="ns2:Verantwoordelijkleadschrijver" minOccurs="0"/>
                <xsd:element ref="ns2:Reviewer" minOccurs="0"/>
                <xsd:element ref="ns2: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e4dd48-fdc1-4d2f-89b5-a3b242a123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Verantwoordelijkinprojectteam" ma:index="20" nillable="true" ma:displayName="Verantwoordelijk in projectteam" ma:format="Dropdown" ma:list="UserInfo" ma:SharePointGroup="0" ma:internalName="Verantwoordelijkinprojectteam">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erantwoordelijkleadschrijver" ma:index="21" nillable="true" ma:displayName="Verantwoordelijk leadschrijver" ma:format="Dropdown" ma:list="UserInfo" ma:SharePointGroup="0" ma:internalName="Verantwoordelijkleadschrijv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ewer" ma:index="22" nillable="true" ma:displayName="Reviewer" ma:format="Dropdown" ma:list="UserInfo" ma:SharePointGroup="0" ma:internalName="Review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um" ma:index="23" nillable="true" ma:displayName="Datum" ma:format="DateOnly" ma:internalName="Datum">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6C8415-0094-40EE-AE3A-75690CEA1BB3}">
  <ds:schemaRefs>
    <ds:schemaRef ds:uri="fbe4dd48-fdc1-4d2f-89b5-a3b242a12354"/>
    <ds:schemaRef ds:uri="http://purl.org/dc/terms/"/>
    <ds:schemaRef ds:uri="http://purl.org/dc/dcmitype/"/>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F76C4900-7705-41E3-82CA-D9D24B1081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e4dd48-fdc1-4d2f-89b5-a3b242a123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CE7669-2CD2-48D9-9D58-0B891BCED097}">
  <ds:schemaRefs>
    <ds:schemaRef ds:uri="http://schemas.microsoft.com/sharepoint/v3/contenttype/forms"/>
  </ds:schemaRefs>
</ds:datastoreItem>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16</vt:i4>
      </vt:variant>
      <vt:variant>
        <vt:lpstr>Benoemde bereiken</vt:lpstr>
      </vt:variant>
      <vt:variant>
        <vt:i4>1</vt:i4>
      </vt:variant>
    </vt:vector>
  </HeadingPairs>
  <TitlesOfParts>
    <vt:vector size="17" baseType="lpstr">
      <vt:lpstr>Samenvatting</vt:lpstr>
      <vt:lpstr>PvEW</vt:lpstr>
      <vt:lpstr>Werkplek</vt:lpstr>
      <vt:lpstr>Telecom</vt:lpstr>
      <vt:lpstr>Printing</vt:lpstr>
      <vt:lpstr>KA Apps</vt:lpstr>
      <vt:lpstr>App Portaal</vt:lpstr>
      <vt:lpstr>Virtuele WPL</vt:lpstr>
      <vt:lpstr>M365 apps</vt:lpstr>
      <vt:lpstr>VIP support</vt:lpstr>
      <vt:lpstr>Aanschaf</vt:lpstr>
      <vt:lpstr>Consultancy</vt:lpstr>
      <vt:lpstr>Opleiding</vt:lpstr>
      <vt:lpstr>Transitie</vt:lpstr>
      <vt:lpstr>BPK-Grafiek</vt:lpstr>
      <vt:lpstr>DATA</vt:lpstr>
      <vt:lpstr>Spreiding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van Sambeek</dc:creator>
  <cp:keywords/>
  <dc:description/>
  <cp:lastModifiedBy>Stoker, Niels</cp:lastModifiedBy>
  <cp:revision/>
  <dcterms:created xsi:type="dcterms:W3CDTF">2015-06-05T18:19:34Z</dcterms:created>
  <dcterms:modified xsi:type="dcterms:W3CDTF">2026-07-14T15:07:28Z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0x010100F65AFA818801CB4DB3AB97DFF439BB9A</vt:lpwstr>
  </property>
  <property fmtid="{D5CDD505-2E9C-101B-9397-08002B2CF9AE}" pid="3" name="MediaServiceImageTags">
    <vt:lpwstr/>
  </property>
</Properties>
</file>