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SCEN\FI\INKOOP\Aanbestedingen\Aanbestedingen 2026\EA-2025-096 Continue Monitoring (Wireless vitals)\2. Aanbestedingsstukken\Publicatie\"/>
    </mc:Choice>
  </mc:AlternateContent>
  <bookViews>
    <workbookView xWindow="-105" yWindow="-105" windowWidth="19425" windowHeight="11505" firstSheet="2" activeTab="2"/>
  </bookViews>
  <sheets>
    <sheet name="Voorblad" sheetId="1" r:id="rId1"/>
    <sheet name="Instructie" sheetId="2" r:id="rId2"/>
    <sheet name="Uitgangspunten" sheetId="3" r:id="rId3"/>
    <sheet name="1 Initiele kosten" sheetId="4" r:id="rId4"/>
    <sheet name="2 Implementatie &amp; integratie" sheetId="5" r:id="rId5"/>
    <sheet name="3 Licentie &amp; onderhoud" sheetId="6" r:id="rId6"/>
    <sheet name="4 Verbruik" sheetId="7" r:id="rId7"/>
    <sheet name="5 Opties herziening" sheetId="8" r:id="rId8"/>
    <sheet name="Inschrijfprijs" sheetId="9" r:id="rId9"/>
    <sheet name="Betaling indexering" sheetId="10" r:id="rId10"/>
    <sheet name="Controle" sheetId="11" r:id="rId11"/>
    <sheet name="Bronnen" sheetId="12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1" l="1"/>
  <c r="L15" i="6"/>
  <c r="O15" i="6"/>
  <c r="Q15" i="6"/>
  <c r="B7" i="11"/>
  <c r="M12" i="4"/>
  <c r="N12" i="4"/>
  <c r="Q10" i="7"/>
  <c r="L10" i="7"/>
  <c r="O6" i="6"/>
  <c r="Q8" i="6"/>
  <c r="Q12" i="6"/>
  <c r="Q13" i="6"/>
  <c r="Q14" i="6"/>
  <c r="O11" i="6"/>
  <c r="O5" i="6"/>
  <c r="Q5" i="6" s="1"/>
  <c r="L8" i="6"/>
  <c r="L12" i="6"/>
  <c r="L13" i="6"/>
  <c r="L14" i="6"/>
  <c r="L5" i="6"/>
  <c r="L5" i="4"/>
  <c r="G14" i="8" l="1"/>
  <c r="I14" i="8" s="1"/>
  <c r="G13" i="8"/>
  <c r="I13" i="8" s="1"/>
  <c r="G12" i="8"/>
  <c r="I12" i="8" s="1"/>
  <c r="G11" i="8"/>
  <c r="I11" i="8" s="1"/>
  <c r="G10" i="8"/>
  <c r="I10" i="8" s="1"/>
  <c r="G9" i="8"/>
  <c r="I9" i="8" s="1"/>
  <c r="G8" i="8"/>
  <c r="I8" i="8" s="1"/>
  <c r="G7" i="8"/>
  <c r="I7" i="8" s="1"/>
  <c r="G6" i="8"/>
  <c r="I6" i="8" s="1"/>
  <c r="G5" i="8"/>
  <c r="I5" i="8" s="1"/>
  <c r="I16" i="8" s="1"/>
  <c r="M11" i="6"/>
  <c r="Q11" i="6" s="1"/>
  <c r="J11" i="6"/>
  <c r="H11" i="6"/>
  <c r="F11" i="6"/>
  <c r="M6" i="6"/>
  <c r="Q6" i="6" s="1"/>
  <c r="J6" i="6"/>
  <c r="H6" i="6"/>
  <c r="F6" i="6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L11" i="4"/>
  <c r="L10" i="4"/>
  <c r="L9" i="4"/>
  <c r="L8" i="4"/>
  <c r="L7" i="4"/>
  <c r="L6" i="4"/>
  <c r="I6" i="4"/>
  <c r="H6" i="4"/>
  <c r="N6" i="4" s="1"/>
  <c r="G6" i="4"/>
  <c r="F6" i="4"/>
  <c r="E6" i="4"/>
  <c r="F18" i="3"/>
  <c r="E18" i="3"/>
  <c r="M9" i="7" s="1"/>
  <c r="D18" i="3"/>
  <c r="J5" i="7" s="1"/>
  <c r="C18" i="3"/>
  <c r="B18" i="3"/>
  <c r="F16" i="3"/>
  <c r="E16" i="3"/>
  <c r="M9" i="6" s="1"/>
  <c r="D16" i="3"/>
  <c r="J9" i="6" s="1"/>
  <c r="C16" i="3"/>
  <c r="H9" i="6" s="1"/>
  <c r="B16" i="3"/>
  <c r="M6" i="4" l="1"/>
  <c r="O7" i="7"/>
  <c r="O10" i="6"/>
  <c r="O9" i="6"/>
  <c r="Q9" i="6" s="1"/>
  <c r="O7" i="6"/>
  <c r="O9" i="7"/>
  <c r="Q9" i="7" s="1"/>
  <c r="O8" i="7"/>
  <c r="O6" i="7"/>
  <c r="O5" i="7"/>
  <c r="I5" i="5"/>
  <c r="I19" i="5"/>
  <c r="I18" i="5"/>
  <c r="L11" i="6"/>
  <c r="L6" i="6"/>
  <c r="C6" i="9"/>
  <c r="N11" i="4"/>
  <c r="M11" i="4"/>
  <c r="M10" i="4"/>
  <c r="N10" i="4"/>
  <c r="M7" i="4"/>
  <c r="N7" i="4"/>
  <c r="D7" i="11"/>
  <c r="B25" i="9"/>
  <c r="D25" i="9" s="1"/>
  <c r="B23" i="9"/>
  <c r="D23" i="9" s="1"/>
  <c r="D5" i="11"/>
  <c r="C18" i="9"/>
  <c r="B10" i="11"/>
  <c r="D10" i="11" s="1"/>
  <c r="M8" i="7"/>
  <c r="M5" i="7"/>
  <c r="M6" i="7"/>
  <c r="J8" i="7"/>
  <c r="J9" i="7"/>
  <c r="J6" i="7"/>
  <c r="H8" i="7"/>
  <c r="H6" i="7"/>
  <c r="H5" i="7"/>
  <c r="H9" i="7"/>
  <c r="F6" i="7"/>
  <c r="F8" i="7"/>
  <c r="F9" i="7"/>
  <c r="F5" i="7"/>
  <c r="I8" i="4"/>
  <c r="F17" i="3"/>
  <c r="M7" i="7"/>
  <c r="Q7" i="7" s="1"/>
  <c r="M10" i="6"/>
  <c r="Q10" i="6" s="1"/>
  <c r="M7" i="6"/>
  <c r="Q7" i="6" s="1"/>
  <c r="M17" i="6" s="1"/>
  <c r="C16" i="9" s="1"/>
  <c r="H8" i="4"/>
  <c r="E17" i="3"/>
  <c r="J7" i="7"/>
  <c r="J10" i="6"/>
  <c r="G8" i="4"/>
  <c r="J7" i="6"/>
  <c r="D17" i="3"/>
  <c r="H7" i="6"/>
  <c r="H7" i="7"/>
  <c r="H10" i="6"/>
  <c r="F8" i="4"/>
  <c r="C17" i="3"/>
  <c r="F7" i="6"/>
  <c r="F7" i="7"/>
  <c r="F10" i="6"/>
  <c r="F9" i="6"/>
  <c r="L9" i="6" s="1"/>
  <c r="E8" i="4"/>
  <c r="B17" i="3"/>
  <c r="Q6" i="7" l="1"/>
  <c r="Q5" i="7"/>
  <c r="Q8" i="7"/>
  <c r="N8" i="4"/>
  <c r="M8" i="4"/>
  <c r="B12" i="10"/>
  <c r="C12" i="10"/>
  <c r="D12" i="10"/>
  <c r="B13" i="10"/>
  <c r="B14" i="10" s="1"/>
  <c r="C13" i="10"/>
  <c r="D13" i="10"/>
  <c r="L8" i="7"/>
  <c r="L6" i="7"/>
  <c r="L5" i="7"/>
  <c r="L7" i="7"/>
  <c r="L9" i="7"/>
  <c r="L7" i="6"/>
  <c r="L10" i="6"/>
  <c r="I5" i="4"/>
  <c r="I9" i="4"/>
  <c r="H5" i="4"/>
  <c r="H9" i="4"/>
  <c r="G5" i="4"/>
  <c r="G9" i="4"/>
  <c r="F5" i="4"/>
  <c r="F9" i="4"/>
  <c r="E5" i="4"/>
  <c r="E9" i="4"/>
  <c r="N5" i="4" l="1"/>
  <c r="Q13" i="7"/>
  <c r="C17" i="9" s="1"/>
  <c r="C14" i="10"/>
  <c r="D14" i="10"/>
  <c r="N9" i="4"/>
  <c r="N14" i="4" s="1"/>
  <c r="M5" i="4"/>
  <c r="M9" i="4"/>
  <c r="B6" i="11"/>
  <c r="B24" i="9" s="1"/>
  <c r="D24" i="9" s="1"/>
  <c r="L12" i="7"/>
  <c r="C8" i="9" s="1"/>
  <c r="L16" i="6"/>
  <c r="C7" i="9" s="1"/>
  <c r="M13" i="4" l="1"/>
  <c r="C5" i="9" s="1"/>
  <c r="B9" i="11" s="1"/>
  <c r="D9" i="11" s="1"/>
  <c r="C15" i="9"/>
  <c r="C19" i="9" s="1"/>
  <c r="D6" i="11"/>
  <c r="C9" i="9" l="1"/>
  <c r="C10" i="9" s="1"/>
  <c r="C11" i="9" s="1"/>
  <c r="C5" i="10"/>
  <c r="C6" i="10"/>
  <c r="C7" i="10"/>
  <c r="C8" i="10"/>
  <c r="B26" i="9"/>
  <c r="D26" i="9" s="1"/>
  <c r="B8" i="11"/>
  <c r="D8" i="11" s="1"/>
</calcChain>
</file>

<file path=xl/sharedStrings.xml><?xml version="1.0" encoding="utf-8"?>
<sst xmlns="http://schemas.openxmlformats.org/spreadsheetml/2006/main" count="612" uniqueCount="453">
  <si>
    <t>Voorblad</t>
  </si>
  <si>
    <t>Financieel inschrijfformulier / prijzenblad voor de openbare Europese aanbesteding Continue Monitoring.</t>
  </si>
  <si>
    <t>Projectnummer</t>
  </si>
  <si>
    <t>EA-2025-096</t>
  </si>
  <si>
    <t>Aanbesteding</t>
  </si>
  <si>
    <t>Continue Monitoring (Wireless Vitals)</t>
  </si>
  <si>
    <t>TenderNed kenmerk</t>
  </si>
  <si>
    <t>TN586797</t>
  </si>
  <si>
    <t>Versie prijzenblad</t>
  </si>
  <si>
    <t>Datum</t>
  </si>
  <si>
    <t>12-05-2026</t>
  </si>
  <si>
    <t>Naam Inschrijver</t>
  </si>
  <si>
    <t>Alleen geel gemarkeerde cellen invullen.</t>
  </si>
  <si>
    <t>Contactpersoon</t>
  </si>
  <si>
    <t>E-mail</t>
  </si>
  <si>
    <t>Kern uitgangspunten</t>
  </si>
  <si>
    <t>Waarde</t>
  </si>
  <si>
    <t>Bron/duiding</t>
  </si>
  <si>
    <t>Let op</t>
  </si>
  <si>
    <t>Startscenario</t>
  </si>
  <si>
    <t>44 bedden / 1 afdeling</t>
  </si>
  <si>
    <t>Start op één afdeling</t>
  </si>
  <si>
    <t>Gunningsprijs rekent met groeipad.</t>
  </si>
  <si>
    <t>Opschaling</t>
  </si>
  <si>
    <t>naar 280-300 bedden</t>
  </si>
  <si>
    <t>7-8 afdelingen, incl. 50 virtuele bedden</t>
  </si>
  <si>
    <t xml:space="preserve">Opties apart zichtbaar, zie tabblad 5. </t>
  </si>
  <si>
    <t>Contractduur</t>
  </si>
  <si>
    <t>36 maanden</t>
  </si>
  <si>
    <t>met 2 optiejaren van 12 maanden</t>
  </si>
  <si>
    <t>Inschrijfprijs = TCO jaar 1 t/m 3.</t>
  </si>
  <si>
    <t>Prijzen</t>
  </si>
  <si>
    <t>Euro excl. BTW</t>
  </si>
  <si>
    <t>BTW apart informatief</t>
  </si>
  <si>
    <t>Alle kosten moeten in dit prijzenblad zijn opgenomen.</t>
  </si>
  <si>
    <t>Indexering</t>
  </si>
  <si>
    <t>niet verwerken in inschrijfprijs</t>
  </si>
  <si>
    <t>zie tab Betaling indexering</t>
  </si>
  <si>
    <t>Vul niet-geïndexeerde bedragen in.</t>
  </si>
  <si>
    <t>Scope</t>
  </si>
  <si>
    <t>continue monitoring, geen puntmetingen</t>
  </si>
  <si>
    <t>meerdere locaties mogelijk</t>
  </si>
  <si>
    <t>Geen minimumafnamegarantie.</t>
  </si>
  <si>
    <t>Instructie</t>
  </si>
  <si>
    <t>Invulinstructie voor inschrijvers. Geel = invullen. Grijs = automatische berekening/niet wijzigen.</t>
  </si>
  <si>
    <t>Nr.</t>
  </si>
  <si>
    <t>Invulinstructie</t>
  </si>
  <si>
    <t>Toelichting</t>
  </si>
  <si>
    <t>Vul uitsluitend geel gearceerde cellen in.</t>
  </si>
  <si>
    <t>Het wijzigen van formules, vaste aantallen of tabbladstructuur kan leiden tot ongeldigheid.</t>
  </si>
  <si>
    <t>Alle bedragen zijn in euro's exclusief btw.</t>
  </si>
  <si>
    <t>BTW wordt alleen informatief berekend op het tabblad Inschrijfprijs.</t>
  </si>
  <si>
    <t>Alle kosten die nodig zijn voor uitvoering van de opdracht moeten zijn opgenomen.</t>
  </si>
  <si>
    <t>Kosten die niet zijn opgenomen, kunnen later niet separaat in rekening worden gebracht.</t>
  </si>
  <si>
    <t>Vul bruto prijzen en eventuele korting in; netto prijzen en totalen worden automatisch berekend.</t>
  </si>
  <si>
    <t>Korting invullen als percentage, bijvoorbeeld 10%.</t>
  </si>
  <si>
    <t>Negatieve prijzen zijn niet toegestaan.</t>
  </si>
  <si>
    <t>Controleer het tabblad Controle voor ontbrekende of negatieve waarden.</t>
  </si>
  <si>
    <t>De gunningsprijs is de TCO over jaar 1 t/m 3.</t>
  </si>
  <si>
    <t>Optiejaar 4, 5 en expliciete opties staan separaat en tellen niet mee in de gunningsprijs.</t>
  </si>
  <si>
    <t>De aantallen zijn rekenaantallen voor vergelijkbaarheid.</t>
  </si>
  <si>
    <t>Hieraan kan geen minimumafname worden ontleend.</t>
  </si>
  <si>
    <t>Vul voor niet-toepasselijke kosten 0 in en geef in de toelichting 'niet van toepassing' aan.</t>
  </si>
  <si>
    <t>Dit voorkomt discussie over niet-geprijsde onderdelen.</t>
  </si>
  <si>
    <t>Alle noodzakelijke hard- en software, licenties, koppelingen, implementatie, training, service en verbruik zijn uitgevraagd.</t>
  </si>
  <si>
    <t>Dubbelprijzen voorkomen: prijs een onderdeel op één plek en neem op de andere plek een toelichting op.</t>
  </si>
  <si>
    <t>Optionele toekomstige uitbreidingen zijn opgenomen vanwege opschaling en herzieningsclausule.</t>
  </si>
  <si>
    <t>Opties geven contractuele prijsreferentie, maar vormen geen afnameverplichting.</t>
  </si>
  <si>
    <t>Indexatie niet in de inschrijfprijs verwerken.</t>
  </si>
  <si>
    <t>Vul bedragen prijspeil inschrijving in.</t>
  </si>
  <si>
    <t>Gebruik de tab Controle voordat u inschrijft.</t>
  </si>
  <si>
    <t>Alle controles dienen OK te zijn of expliciet toegelicht.</t>
  </si>
  <si>
    <t>Tabblad</t>
  </si>
  <si>
    <t>Doel</t>
  </si>
  <si>
    <t>Wie vult in?</t>
  </si>
  <si>
    <t>Inschrijvergegevens</t>
  </si>
  <si>
    <t>Inschrijver</t>
  </si>
  <si>
    <t>Uitgangspunten</t>
  </si>
  <si>
    <t>Vaste rekenaantallen en groeipad</t>
  </si>
  <si>
    <t>Maastricht UMC+; niet wijzigen</t>
  </si>
  <si>
    <t>1 Initiële kosten</t>
  </si>
  <si>
    <t>Eenmalige aanschaf-/startkosten</t>
  </si>
  <si>
    <t>2 Implementatie integratie</t>
  </si>
  <si>
    <t>Implementatie, koppelingen, projectkosten en training</t>
  </si>
  <si>
    <t>3 Licentie onderhoud</t>
  </si>
  <si>
    <t>Jaarlijkse licenties, service en onderhoud</t>
  </si>
  <si>
    <t>4 Verbruik</t>
  </si>
  <si>
    <t>Verbruiksartikelen en patiënt-/devicegebonden kosten</t>
  </si>
  <si>
    <t>5 Opties herziening</t>
  </si>
  <si>
    <t>Optionele uitbreidingen voor opschaling/toekomstscenario’s</t>
  </si>
  <si>
    <t>Inschrijfprijs</t>
  </si>
  <si>
    <t>Automatische berekening gunningsprijs/TCO</t>
  </si>
  <si>
    <t>Niet wijzigen</t>
  </si>
  <si>
    <t>Controle</t>
  </si>
  <si>
    <t>Controle op volledigheid en fouten</t>
  </si>
  <si>
    <t>Raadplegen vóór indiening</t>
  </si>
  <si>
    <t>Vaste rekenuitgangspunten voor vergelijkbaarheid. Deze aantallen vormen geen afnamegarantie.</t>
  </si>
  <si>
    <t>Parameter</t>
  </si>
  <si>
    <t>Contractjaren in gunningsprijs</t>
  </si>
  <si>
    <t>Optiejaar zichtbaar, niet in gunningsprijs</t>
  </si>
  <si>
    <t>Aansluitings-/bezettingsgraad voor patiëntdagen</t>
  </si>
  <si>
    <t>Reserve-/spare-factor devices</t>
  </si>
  <si>
    <t>BTW percentage informatief</t>
  </si>
  <si>
    <t>Jaar 1</t>
  </si>
  <si>
    <t>Jaar 2</t>
  </si>
  <si>
    <t>Jaar 3</t>
  </si>
  <si>
    <t>Optiejaar 1</t>
  </si>
  <si>
    <t>Optiejaar 2</t>
  </si>
  <si>
    <t>Actieve gemonitorde bedden (totaal dus niet cumulatief)</t>
  </si>
  <si>
    <t>Aantal afdelingen/locaties</t>
  </si>
  <si>
    <t>Waarvan virtuele bedden</t>
  </si>
  <si>
    <t>Benodigde devices incl. spare</t>
  </si>
  <si>
    <t>Nieuwe devices in jaar</t>
  </si>
  <si>
    <t>Indicatieve patiëntdagen</t>
  </si>
  <si>
    <t>Telt mee in gunningsprijs</t>
  </si>
  <si>
    <t>1 Initiele kosten</t>
  </si>
  <si>
    <t>Eenmalige hardware-/startkosten op basis van casusgroei: start 44 bedden en doorgroei naar 200 bedden.</t>
  </si>
  <si>
    <t>Code</t>
  </si>
  <si>
    <t>Prijscomponent</t>
  </si>
  <si>
    <t>Toelichting / casuskoppeling</t>
  </si>
  <si>
    <t>Eenheid</t>
  </si>
  <si>
    <t>Aantal J1</t>
  </si>
  <si>
    <t>Aantal J2</t>
  </si>
  <si>
    <t>Aantal J3</t>
  </si>
  <si>
    <t>Bruto prijs/eenheid excl. BTW</t>
  </si>
  <si>
    <t>Korting %</t>
  </si>
  <si>
    <t>Netto prijs</t>
  </si>
  <si>
    <t>TCO J1-J3 excl. BTW</t>
  </si>
  <si>
    <t>Optiejaar 1 en 2 excl. BTW</t>
  </si>
  <si>
    <t>Merk/type/artikelnummer</t>
  </si>
  <si>
    <t>Toelichting inschrijver</t>
  </si>
  <si>
    <t>H01</t>
  </si>
  <si>
    <t>Wireless monitoring device-set</t>
  </si>
  <si>
    <t>Herbruikbare device-set incl. noodzakelijke sensorhardware voor continue vitale monitoring.</t>
  </si>
  <si>
    <t>per device</t>
  </si>
  <si>
    <t>H02</t>
  </si>
  <si>
    <t>Device management gateway/receiver</t>
  </si>
  <si>
    <t>Onboarding, communicatie en doorzetten meetwaarden per afdeling/locatie.</t>
  </si>
  <si>
    <t>per afdeling</t>
  </si>
  <si>
    <t>H03</t>
  </si>
  <si>
    <t>Centrale monitoring werkplek/display</t>
  </si>
  <si>
    <t>Werkplekken/displays voor afdeling en/of centrale monitoring.</t>
  </si>
  <si>
    <t>per werkplek</t>
  </si>
  <si>
    <t>H04</t>
  </si>
  <si>
    <t>Oplaad-/opslagstation devices</t>
  </si>
  <si>
    <t>Benodigde stations gebaseerd op benodigde devices incl. spare.</t>
  </si>
  <si>
    <t>per station</t>
  </si>
  <si>
    <t>H05</t>
  </si>
  <si>
    <t>Herbruikbare accessoires startpakket</t>
  </si>
  <si>
    <t>Banden, houders, laadkabels of andere herbruikbare accessoires per device.</t>
  </si>
  <si>
    <t>H06</t>
  </si>
  <si>
    <t>Test-/acceptatieomgeving</t>
  </si>
  <si>
    <t>Benodigd voor acceptatie, validatie en beheer zonder productieomgeving te verstoren.</t>
  </si>
  <si>
    <t>eenmalig</t>
  </si>
  <si>
    <t>H07</t>
  </si>
  <si>
    <t>Overige noodzakelijke hardware</t>
  </si>
  <si>
    <t>Alle overige noodzakelijke hardware die niet elders is opgenomen.</t>
  </si>
  <si>
    <t>post</t>
  </si>
  <si>
    <t>Subtotaal initiële kosten</t>
  </si>
  <si>
    <t>Optiejaren 1/2, niet in gunningsprijs</t>
  </si>
  <si>
    <t>2 Implementatie &amp; integratie</t>
  </si>
  <si>
    <t>Eenmalige implementatie-, integratie- en adoptiekosten voor de casuïstiek visualisatie, opschaling en architectuur.</t>
  </si>
  <si>
    <t>Aantal</t>
  </si>
  <si>
    <t>Telt mee in gunning</t>
  </si>
  <si>
    <t>Opmerking / afbakening</t>
  </si>
  <si>
    <t>I01</t>
  </si>
  <si>
    <t>Projectmanagement implementatie eerste afdeling</t>
  </si>
  <si>
    <t>Voorbereiding, planning, kick-off, governance, implementatieplan.</t>
  </si>
  <si>
    <t>Ja</t>
  </si>
  <si>
    <t>I02</t>
  </si>
  <si>
    <t>Uitrol- en opschalingsplan meerdere afdelingen</t>
  </si>
  <si>
    <t>Casus 2: opschalen van eerste afdeling naar meerdere afdelingen en later mogelijk thuis.</t>
  </si>
  <si>
    <t>I03</t>
  </si>
  <si>
    <t>Configuratie monitoringparameters, alarmen en rollen</t>
  </si>
  <si>
    <t>Visualisatie en alarmopvolging op de afdeling en centrale monitoring.</t>
  </si>
  <si>
    <t>I04</t>
  </si>
  <si>
    <t>Training zorgprofessionals</t>
  </si>
  <si>
    <t>Interpreteren trendgegevens en acteren op alarmen.</t>
  </si>
  <si>
    <t>I05</t>
  </si>
  <si>
    <t>Training MIT/functioneel beheer</t>
  </si>
  <si>
    <t>Beheer, troubleshooting, device management en eerste lijn support.</t>
  </si>
  <si>
    <t>I06</t>
  </si>
  <si>
    <t>Validatie, acceptatie en POC/testfase</t>
  </si>
  <si>
    <t>Ondersteuning bij acceptatie, verificatie en overdracht naar beheer.</t>
  </si>
  <si>
    <t>I07</t>
  </si>
  <si>
    <t>Koppeling Epic order/device onboarding</t>
  </si>
  <si>
    <t>Epic als bron voor patiënt/order en te meten vitale parameters.</t>
  </si>
  <si>
    <t>koppeling</t>
  </si>
  <si>
    <t>I08</t>
  </si>
  <si>
    <t>Koppeling meetwaarden naar MUMC+ integratieplatform</t>
  </si>
  <si>
    <t>HL7/FHIR/API via centraal integratieplatform; incl. logging/test/overdracht.</t>
  </si>
  <si>
    <t>I09</t>
  </si>
  <si>
    <t>Dashboard/visualisatie/performance setup</t>
  </si>
  <si>
    <t>Op afdeling en op afstand; inclusief basis performance-indicatoren.</t>
  </si>
  <si>
    <t>I10</t>
  </si>
  <si>
    <t>Privacy, security en verwerkersdocumentatie</t>
  </si>
  <si>
    <t>Ondersteuning verwerkersovereenkomst, technische maatregelen en documentatie.</t>
  </si>
  <si>
    <t>I11</t>
  </si>
  <si>
    <t>Exitstrategie en data-export plan</t>
  </si>
  <si>
    <t>Voorkomen lock-in en borgen overdracht bij einde overeenkomst.</t>
  </si>
  <si>
    <t>I12</t>
  </si>
  <si>
    <t>Overige kostenpost</t>
  </si>
  <si>
    <t xml:space="preserve">Geef uw eigen overige kosten op die nog niet zijn opgenomen in deze lijst. </t>
  </si>
  <si>
    <t xml:space="preserve">ntb. </t>
  </si>
  <si>
    <t>Subtotaal implementatie/integratie</t>
  </si>
  <si>
    <t>Optioneel / niet in gunning</t>
  </si>
  <si>
    <t>3 Licentie &amp; onderhoud</t>
  </si>
  <si>
    <t>Terugkerende licentie-, onderhouds-, support- en servicekosten per jaar. Prijzen niet indexeren.</t>
  </si>
  <si>
    <t xml:space="preserve">Toelichting </t>
  </si>
  <si>
    <t>Tariefbasis</t>
  </si>
  <si>
    <t>Prijs J1</t>
  </si>
  <si>
    <t>Prijs J2</t>
  </si>
  <si>
    <t>Prijs J3</t>
  </si>
  <si>
    <t>Aantal optiejaar 1</t>
  </si>
  <si>
    <t>Prijs optiejaar 1</t>
  </si>
  <si>
    <t>Aantal optiejaar 2</t>
  </si>
  <si>
    <t xml:space="preserve">Prijs optiejaar 2 </t>
  </si>
  <si>
    <t xml:space="preserve">Totaalprijs optiejaren </t>
  </si>
  <si>
    <t>L01</t>
  </si>
  <si>
    <t>Platform/SaaS basislicentie</t>
  </si>
  <si>
    <t>Centrale applicatie, beheerportaal, device management en basisfunctionaliteit.</t>
  </si>
  <si>
    <t>per jaar</t>
  </si>
  <si>
    <t>vast</t>
  </si>
  <si>
    <t>L02</t>
  </si>
  <si>
    <t>Licentie per actief gemonitord bed</t>
  </si>
  <si>
    <t>Gebruiksrecht per actief bed in het groeipad.</t>
  </si>
  <si>
    <t>bed/jaar</t>
  </si>
  <si>
    <t>bedden</t>
  </si>
  <si>
    <t>L03</t>
  </si>
  <si>
    <t>Licentie per device</t>
  </si>
  <si>
    <t>Gebruiksrecht per device incl. spare.</t>
  </si>
  <si>
    <t>device/jaar</t>
  </si>
  <si>
    <t>devices</t>
  </si>
  <si>
    <t>L04</t>
  </si>
  <si>
    <t>Dashboard/control room licentie</t>
  </si>
  <si>
    <t>Visualisatie op afdeling en op afstand, inclusief rollen/autorisaties.</t>
  </si>
  <si>
    <t>L05</t>
  </si>
  <si>
    <t>Onderhoud/SLA devices</t>
  </si>
  <si>
    <t>Preventief/correctief onderhoud, vervanging, support en updates binnen scope.</t>
  </si>
  <si>
    <t>L06</t>
  </si>
  <si>
    <t>Hosting, connectiviteit en dataverwerking</t>
  </si>
  <si>
    <t>Cloud/hosting/connectiviteit/beveiliging voor de dienst.</t>
  </si>
  <si>
    <t>L07</t>
  </si>
  <si>
    <t>Functioneel beheer/support pakket</t>
  </si>
  <si>
    <t>Servicedesk, rapportages, service management en periodieke evaluatie.</t>
  </si>
  <si>
    <t>L08</t>
  </si>
  <si>
    <t>Jaarlijkse training/adoptie refresh</t>
  </si>
  <si>
    <t>Herhalingstraining, nieuwe gebruikers en optimalisatie alarmopvolging.</t>
  </si>
  <si>
    <t>L09</t>
  </si>
  <si>
    <t>Updates/upgrades binnen scope</t>
  </si>
  <si>
    <t>Functionele updates binnen overeengekomen scope; indien inbegrepen prijs 0.</t>
  </si>
  <si>
    <t>L10</t>
  </si>
  <si>
    <t>Overige terugkerende kosten</t>
  </si>
  <si>
    <t>Alle overige jaarlijkse kosten die noodzakelijk zijn.</t>
  </si>
  <si>
    <t>Subtotaal licentie/onderhoud</t>
  </si>
  <si>
    <t>Optiejaar 1/2, niet in gunningsprijs</t>
  </si>
  <si>
    <t>Verbruiks- en vervangingskosten. Uitgangspunt: herbruikbare devices; disposables alleen indien noodzakelijk.</t>
  </si>
  <si>
    <t>Verbruiksbasis</t>
  </si>
  <si>
    <t xml:space="preserve">Prijs optiejaar 1 </t>
  </si>
  <si>
    <t>Totaalprijs optiejaren excl. BTW</t>
  </si>
  <si>
    <t>V01</t>
  </si>
  <si>
    <t>Disposable sensor/patch</t>
  </si>
  <si>
    <t>Alleen indien noodzakelijk voor monitoring; anders 0 invullen.</t>
  </si>
  <si>
    <t>per patiëntdag</t>
  </si>
  <si>
    <t>patiëntdagen</t>
  </si>
  <si>
    <t>V02</t>
  </si>
  <si>
    <t>Elektrode/batterij/verbruiksset</t>
  </si>
  <si>
    <t>Verbruiksmateriaal dat nodig is voor reguliere inzet.</t>
  </si>
  <si>
    <t>V03</t>
  </si>
  <si>
    <t>Herbruikbare band/strap vervanging</t>
  </si>
  <si>
    <t>Indicatief: vervanging per device per jaar of alternatief toelichten.</t>
  </si>
  <si>
    <t>V04</t>
  </si>
  <si>
    <t>Reiniging/desinfectie gerelateerd verbruik</t>
  </si>
  <si>
    <t>Verbruik per patiëntdag of devicewissel dat leverancier noodzakelijk acht.</t>
  </si>
  <si>
    <t>V05</t>
  </si>
  <si>
    <t>Patiëntmateriaal / instructiekaart / labels</t>
  </si>
  <si>
    <t>Materiaal dat bij uitgifte aan patiënt noodzakelijk is.</t>
  </si>
  <si>
    <t>V06</t>
  </si>
  <si>
    <t>Overige verbruiksartikelen</t>
  </si>
  <si>
    <t>Alle overige verbruikskosten die noodzakelijk zijn voor normale exploitatie.</t>
  </si>
  <si>
    <t>post/jaar</t>
  </si>
  <si>
    <t>Subtotaal verbruik</t>
  </si>
  <si>
    <t>Optionele uitbreidingen / herzieningsclausule. Niet meegenomen in de gunningsprijs, wel prijsreferentie voor latere afname.</t>
  </si>
  <si>
    <t>Optie / uitbreiding</t>
  </si>
  <si>
    <t>Trigger / casus</t>
  </si>
  <si>
    <t>Indicatief aantal</t>
  </si>
  <si>
    <t>Indicatieve waarde excl. BTW</t>
  </si>
  <si>
    <t>Opmerking / randvoorwaarde</t>
  </si>
  <si>
    <t>O01</t>
  </si>
  <si>
    <t>Extra wireless monitoring device-set</t>
  </si>
  <si>
    <t>Opschaling boven rekenaantallen of vervanging buiten scope.</t>
  </si>
  <si>
    <t>Nee</t>
  </si>
  <si>
    <t>O02</t>
  </si>
  <si>
    <t>Extra licentie actief bed</t>
  </si>
  <si>
    <t>Aanvullende afdeling/bedden buiten groeipad.</t>
  </si>
  <si>
    <t>O03</t>
  </si>
  <si>
    <t>Extra afdeling implementeren</t>
  </si>
  <si>
    <t>Opschalen naar aanvullende afdeling of locatie.</t>
  </si>
  <si>
    <t>O04</t>
  </si>
  <si>
    <t>Thuis-/virtuele afdeling connectiviteitspakket</t>
  </si>
  <si>
    <t>Monitoring buiten fysieke muren MUMC+.</t>
  </si>
  <si>
    <t>per patiënt/jaar</t>
  </si>
  <si>
    <t>O05</t>
  </si>
  <si>
    <t>Extra parameter/device input</t>
  </si>
  <si>
    <t>Toevoegen data input of metingen van andere devices.</t>
  </si>
  <si>
    <t>per koppeling</t>
  </si>
  <si>
    <t>O06</t>
  </si>
  <si>
    <t>Exitondersteuning / datamigratie</t>
  </si>
  <si>
    <t>Beëindiging overeenkomst of overgang naar nieuwe leverancier.</t>
  </si>
  <si>
    <t>per dag</t>
  </si>
  <si>
    <t>O07</t>
  </si>
  <si>
    <t>Aansluiten gelieerde organisatie</t>
  </si>
  <si>
    <t>Annadal Kliniek / St. Jans Gasthuis of vergelijkbaar.</t>
  </si>
  <si>
    <t>per organisatie</t>
  </si>
  <si>
    <t>O08</t>
  </si>
  <si>
    <t>Extra dashboard/control-room werkplek</t>
  </si>
  <si>
    <t>Centrale monitoring / control room uitbreiding.</t>
  </si>
  <si>
    <t>O09</t>
  </si>
  <si>
    <t>AI/advanced analytics module</t>
  </si>
  <si>
    <t>Toekomstscenario: AI/gebruiksgemak/alarmmoeheid.</t>
  </si>
  <si>
    <t>per module/jaar</t>
  </si>
  <si>
    <t>O10</t>
  </si>
  <si>
    <t xml:space="preserve">Overige kosten herziening </t>
  </si>
  <si>
    <t xml:space="preserve">Geef hier uw overige kosten op voor de post herziening </t>
  </si>
  <si>
    <t>Indicatieve optiewaarde</t>
  </si>
  <si>
    <t>Automatische samenvatting van de financiële inschrijving. Dit is het gunningsbedrag.</t>
  </si>
  <si>
    <t>Onderdeel</t>
  </si>
  <si>
    <t>Type kosten</t>
  </si>
  <si>
    <t>Bedrag excl. BTW</t>
  </si>
  <si>
    <t>1. Initiële hardware-/startkosten</t>
  </si>
  <si>
    <t>Eenmalig</t>
  </si>
  <si>
    <t>Tabblad 1 Initiele kosten</t>
  </si>
  <si>
    <t>2. Implementatie, integratie en training</t>
  </si>
  <si>
    <t>Tabblad 2 Implementatie integratie</t>
  </si>
  <si>
    <t>3. Licentie, onderhoud, service en support</t>
  </si>
  <si>
    <t>Terugkerend</t>
  </si>
  <si>
    <t>Tabblad 3 Licentie onderhoud</t>
  </si>
  <si>
    <t>4. Verbruik en vervanging</t>
  </si>
  <si>
    <t>Verbruik</t>
  </si>
  <si>
    <t>Tabblad 4 Verbruik</t>
  </si>
  <si>
    <t>Inschrijfprijs / gunningsprijs</t>
  </si>
  <si>
    <t>TCO jaar 1 t/m 3</t>
  </si>
  <si>
    <t>Hier wordt op gegund</t>
  </si>
  <si>
    <t>BTW indicatief</t>
  </si>
  <si>
    <t>Informatief</t>
  </si>
  <si>
    <t>Niet onderdeel van beoordeling</t>
  </si>
  <si>
    <t>Totaal incl. BTW indicatief</t>
  </si>
  <si>
    <t>Niet in gunningsprijs / optionele referentieprijzen</t>
  </si>
  <si>
    <t>Type</t>
  </si>
  <si>
    <t>Optiejaar 1 &amp; 2 initiële hardware</t>
  </si>
  <si>
    <t>Optiejaar</t>
  </si>
  <si>
    <t>Tabblad 1</t>
  </si>
  <si>
    <t>Optiejaar 1 &amp; 2 licentie/onderhoud</t>
  </si>
  <si>
    <t>Tabblad 3</t>
  </si>
  <si>
    <t>Optiejaar 1 &amp; 2 verbruik</t>
  </si>
  <si>
    <t>Tabblad 4</t>
  </si>
  <si>
    <t>Expliciete opties/herziening</t>
  </si>
  <si>
    <t>Optioneel</t>
  </si>
  <si>
    <t>Tabblad 5</t>
  </si>
  <si>
    <t>Totale optionele waarde</t>
  </si>
  <si>
    <t>Niet in gunningsberekening</t>
  </si>
  <si>
    <t>Alleen prijsreferentie</t>
  </si>
  <si>
    <t>Interne check</t>
  </si>
  <si>
    <t>Norm</t>
  </si>
  <si>
    <t>Status</t>
  </si>
  <si>
    <t>Ontbrekende verplichte prijsvelden</t>
  </si>
  <si>
    <t>0</t>
  </si>
  <si>
    <t>Negatieve bedragen</t>
  </si>
  <si>
    <t>Kortingen buiten 0%-100%</t>
  </si>
  <si>
    <t>Totaalprijs groter dan 0</t>
  </si>
  <si>
    <t>Controleblad</t>
  </si>
  <si>
    <t>Zie tab Controle</t>
  </si>
  <si>
    <t>Betaling indexering</t>
  </si>
  <si>
    <t>Betalingscondities en indexering. Bedragen zijn afgeleid van het prijzenblad.</t>
  </si>
  <si>
    <t>Betalingstermijnen eenmalige kosten</t>
  </si>
  <si>
    <t>Percentage</t>
  </si>
  <si>
    <t>Betalingstermijn</t>
  </si>
  <si>
    <t>1e termijn bij opdrachtverstrekking</t>
  </si>
  <si>
    <t>30 dagen na factuurdatum</t>
  </si>
  <si>
    <t xml:space="preserve">2e termijn na succesvolle oplevering eerste oplossingen </t>
  </si>
  <si>
    <t>3e termijn na acceptatie/overdracht productie</t>
  </si>
  <si>
    <t>Totaal eenmalige kosten</t>
  </si>
  <si>
    <t>Jaarlijkse kosten</t>
  </si>
  <si>
    <t>Licentie/onderhoud/service</t>
  </si>
  <si>
    <t>Totaal jaarlijkse kosten</t>
  </si>
  <si>
    <t>Jaarlijks vooraf, tenzij overeenkomst anders bepaalt</t>
  </si>
  <si>
    <t>Afspraak</t>
  </si>
  <si>
    <t>Inschrijver vult in</t>
  </si>
  <si>
    <t>Geen indexering verwerkt</t>
  </si>
  <si>
    <t>n.v.t.</t>
  </si>
  <si>
    <t>Prijzen prijspeil inschrijving.</t>
  </si>
  <si>
    <t>Geen automatische aanpassing in prijzenblad</t>
  </si>
  <si>
    <t>Indexatie uitsluitend conform overeenkomst.</t>
  </si>
  <si>
    <t>Vanaf jaar 3</t>
  </si>
  <si>
    <t>Conform overeengekomen indexeringsbepaling</t>
  </si>
  <si>
    <t>niet inprijzen</t>
  </si>
  <si>
    <t>Inschrijver vult niet-geïndexeerde bedragen in.</t>
  </si>
  <si>
    <t xml:space="preserve">Optiejaar 1 &amp; 2 </t>
  </si>
  <si>
    <t>Conform overeenkomst bij lichten optie</t>
  </si>
  <si>
    <t>niet in gunning</t>
  </si>
  <si>
    <t>Niet onderdeel van gunningsprijs.</t>
  </si>
  <si>
    <t>Automatische controles op volledigheid en plausibiliteit.</t>
  </si>
  <si>
    <t>Uitkomst</t>
  </si>
  <si>
    <t>Ontbrekende verplichte bruto prijsvelden</t>
  </si>
  <si>
    <t>Negatieve bedragen in inputvelden</t>
  </si>
  <si>
    <t>Inschrijfprijs groter dan 0</t>
  </si>
  <si>
    <t>Alle gunningsonderdelen hebben bedrag</t>
  </si>
  <si>
    <t>Optionele prijzen apart zichtbaar</t>
  </si>
  <si>
    <t>Geel gemarkeerde velden ingevuld/toegelicht</t>
  </si>
  <si>
    <t>Handmatige eindcontrole</t>
  </si>
  <si>
    <t>Te controleren</t>
  </si>
  <si>
    <t>Merk/type/artikelnummer ingevuld waar relevant</t>
  </si>
  <si>
    <t>Bijlagen/brochures toegevoegd waar relevant</t>
  </si>
  <si>
    <t>Bronnen</t>
  </si>
  <si>
    <t>Bronnen en ontwerpkeuzes die zijn gebruikt voor dit prijzenblad.</t>
  </si>
  <si>
    <t>Bron/document</t>
  </si>
  <si>
    <t>Gebruikte informatie</t>
  </si>
  <si>
    <t>Vertaling naar prijzenblad</t>
  </si>
  <si>
    <t>Opmerking</t>
  </si>
  <si>
    <t>Project Initiatie Formulier Continue Monitoring</t>
  </si>
  <si>
    <t>Scope: continue draadloze monitoring vitale parameters in kliniek en thuis; start met 44 bedden en doorgroei naar 280-300 bedden, incl. 50 virtuele bedden.</t>
  </si>
  <si>
    <t>Groeipad en rekenaantallen in tab Uitgangspunten.</t>
  </si>
  <si>
    <t>Aantallen zijn vergelijkingsaantallen, geen minimumafname.</t>
  </si>
  <si>
    <t>Aanbestedingsleidraad Continue Monitoring</t>
  </si>
  <si>
    <t>Openbare Europese aanbesteding, beste prijs-kwaliteitverhouding, financiële inschrijving als bijlage.</t>
  </si>
  <si>
    <t>Inschrijfprijs = TCO jaar 1 t/m 4; opties separaat zichtbaar.</t>
  </si>
  <si>
    <t>Contractduur 4 jaar + optiejaar.</t>
  </si>
  <si>
    <t>Casussen.docx</t>
  </si>
  <si>
    <t>Casus 1 visualisatie/dashboard, casus 2 opschaling, casus 3 toekomstscenario's, casus 4 architectuur/integratie.</t>
  </si>
  <si>
    <t>Separate prijscomponenten voor dashboard, training, integraties, OpenEHR/RSO-opties en opschaling.</t>
  </si>
  <si>
    <t>Kwalitatieve casussen zijn vertaald naar prijscategorieën.</t>
  </si>
  <si>
    <t>PVE monitoren in de kliniek.xlsx</t>
  </si>
  <si>
    <t>PVE met technische, monitoring- en ICT-eisen, waaronder architectuur/koppelingen en implementatie.</t>
  </si>
  <si>
    <t>Prijsregels voor integratie, implementatie, licenties, support, verbruik en opties.</t>
  </si>
  <si>
    <t>PVE blijft leidend voor inhoudelijke eisen.</t>
  </si>
  <si>
    <t>Voorbeeld prijzenblad neurochirurgische boorzaagsystemen</t>
  </si>
  <si>
    <t>Structuur met voorblad, instructie, initiële kosten, instandhouding, disposables, inschrijfprijs, betaling/indexering.</t>
  </si>
  <si>
    <t>Structuur hergebruikt maar inhoud aangepast aan Continue Monitoring.</t>
  </si>
  <si>
    <t>Oud onderwerp is niet inhoudelijk overgenomen.</t>
  </si>
  <si>
    <t>Ontwerpkeuze</t>
  </si>
  <si>
    <t>Mandatory versus optional</t>
  </si>
  <si>
    <t>Gunningsprijs telt alleen noodzakelijke kosten jaar 1-4; opties en optiejaar apart.</t>
  </si>
  <si>
    <t>Beperkt strategisch laag inschrijven op kernonderdelen.</t>
  </si>
  <si>
    <t>TCO over groeipad</t>
  </si>
  <si>
    <t>Prijsmodel volgt verwachte fasering in plaats van één statisch aantal.</t>
  </si>
  <si>
    <t>Vergelijkbaar, transparant en proportioneel.</t>
  </si>
  <si>
    <t>Disposables zichtbaar ondanks duurzaamheidsuitgangspunt</t>
  </si>
  <si>
    <t>Leverancier moet noodzakelijke verbruikskosten expliciet prijzen.</t>
  </si>
  <si>
    <t>Voorkomt verborgen kosten en maakt herbruikbaarheid zichtbaar.</t>
  </si>
  <si>
    <t>Controlesheet</t>
  </si>
  <si>
    <t>Automatische checks op ontbrekende/negatieve prijsvelden.</t>
  </si>
  <si>
    <t>Handmatige eindcontrole blijft nodig.</t>
  </si>
  <si>
    <t>Definitief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</si>
</sst>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\€\ #,##0.00;[Red]\-\€\ #,##0.00;\€\ \-"/>
  </numFmts>
  <fonts count="9">
    <font>
      <sz val="11"/>
      <name val="Carlito"/>
    </font>
    <font>
      <b/>
      <sz val="16"/>
      <color rgb="FFFFFFFF"/>
      <name val="Carlito"/>
    </font>
    <font>
      <b/>
      <sz val="10"/>
      <color rgb="FFFFFFFF"/>
      <name val="Carlito"/>
    </font>
    <font>
      <i/>
      <sz val="10"/>
      <color rgb="FF666666"/>
      <name val="Carlito"/>
    </font>
    <font>
      <b/>
      <sz val="10"/>
      <name val="Carlito"/>
    </font>
    <font>
      <sz val="10"/>
      <name val="Carlito"/>
    </font>
    <font>
      <sz val="11"/>
      <name val="Carlito"/>
    </font>
    <font>
      <b/>
      <i/>
      <sz val="10"/>
      <color rgb="FFFFFFFF"/>
      <name val="Carlito"/>
    </font>
    <font>
      <sz val="10"/>
      <color theme="1"/>
      <name val="Carlito"/>
    </font>
  </fonts>
  <fills count="1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3F8"/>
      </patternFill>
    </fill>
    <fill>
      <patternFill patternType="solid">
        <fgColor rgb="FF0F766E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66">
    <xf numFmtId="0" fontId="0" fillId="0" borderId="0" xfId="0"/>
    <xf numFmtId="0" fontId="2" fillId="4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5" borderId="0" xfId="1" applyFont="1" applyFill="1" applyAlignment="1">
      <alignment vertical="center"/>
    </xf>
    <xf numFmtId="0" fontId="5" fillId="0" borderId="0" xfId="1" applyFont="1" applyAlignment="1">
      <alignment vertical="center" wrapText="1"/>
    </xf>
    <xf numFmtId="3" fontId="5" fillId="6" borderId="0" xfId="1" applyNumberFormat="1" applyFont="1" applyFill="1" applyAlignment="1">
      <alignment vertical="center" wrapText="1"/>
    </xf>
    <xf numFmtId="164" fontId="5" fillId="5" borderId="0" xfId="1" applyNumberFormat="1" applyFont="1" applyFill="1" applyAlignment="1">
      <alignment vertical="center" wrapText="1"/>
    </xf>
    <xf numFmtId="10" fontId="5" fillId="5" borderId="0" xfId="1" applyNumberFormat="1" applyFont="1" applyFill="1" applyAlignment="1">
      <alignment vertical="center" wrapText="1"/>
    </xf>
    <xf numFmtId="164" fontId="5" fillId="6" borderId="0" xfId="1" applyNumberFormat="1" applyFont="1" applyFill="1" applyAlignment="1">
      <alignment vertical="center" wrapText="1"/>
    </xf>
    <xf numFmtId="0" fontId="5" fillId="5" borderId="0" xfId="1" applyFont="1" applyFill="1" applyAlignment="1">
      <alignment vertical="center" wrapText="1"/>
    </xf>
    <xf numFmtId="10" fontId="5" fillId="0" borderId="0" xfId="1" applyNumberFormat="1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0" fontId="5" fillId="6" borderId="0" xfId="1" applyFont="1" applyFill="1" applyAlignment="1">
      <alignment vertical="center" wrapText="1"/>
    </xf>
    <xf numFmtId="0" fontId="5" fillId="9" borderId="0" xfId="1" applyFont="1" applyFill="1" applyAlignment="1">
      <alignment vertical="center"/>
    </xf>
    <xf numFmtId="0" fontId="0" fillId="9" borderId="0" xfId="0" applyFill="1"/>
    <xf numFmtId="0" fontId="2" fillId="10" borderId="0" xfId="1" applyFont="1" applyFill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7" fillId="10" borderId="3" xfId="1" applyFont="1" applyFill="1" applyBorder="1" applyAlignment="1">
      <alignment horizontal="center" vertical="center" wrapText="1"/>
    </xf>
    <xf numFmtId="0" fontId="7" fillId="10" borderId="4" xfId="1" applyFont="1" applyFill="1" applyBorder="1" applyAlignment="1">
      <alignment horizontal="center" vertical="center" wrapText="1"/>
    </xf>
    <xf numFmtId="0" fontId="7" fillId="10" borderId="5" xfId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3" fontId="5" fillId="6" borderId="2" xfId="1" applyNumberFormat="1" applyFont="1" applyFill="1" applyBorder="1" applyAlignment="1">
      <alignment vertical="center"/>
    </xf>
    <xf numFmtId="10" fontId="5" fillId="0" borderId="2" xfId="1" applyNumberFormat="1" applyFont="1" applyBorder="1" applyAlignment="1">
      <alignment vertical="center"/>
    </xf>
    <xf numFmtId="10" fontId="5" fillId="5" borderId="2" xfId="1" applyNumberFormat="1" applyFont="1" applyFill="1" applyBorder="1" applyAlignment="1">
      <alignment vertical="center"/>
    </xf>
    <xf numFmtId="0" fontId="7" fillId="10" borderId="0" xfId="1" applyFont="1" applyFill="1" applyAlignment="1">
      <alignment horizontal="center" vertical="center" wrapText="1"/>
    </xf>
    <xf numFmtId="0" fontId="5" fillId="9" borderId="0" xfId="1" applyFont="1" applyFill="1" applyAlignment="1">
      <alignment vertical="center" wrapText="1"/>
    </xf>
    <xf numFmtId="0" fontId="5" fillId="11" borderId="0" xfId="1" applyFont="1" applyFill="1" applyAlignment="1">
      <alignment vertical="center" wrapText="1"/>
    </xf>
    <xf numFmtId="164" fontId="5" fillId="6" borderId="2" xfId="1" applyNumberFormat="1" applyFont="1" applyFill="1" applyBorder="1" applyAlignment="1">
      <alignment vertical="center" wrapText="1"/>
    </xf>
    <xf numFmtId="0" fontId="4" fillId="7" borderId="2" xfId="1" applyFont="1" applyFill="1" applyBorder="1" applyAlignment="1">
      <alignment vertical="center" wrapText="1"/>
    </xf>
    <xf numFmtId="164" fontId="4" fillId="7" borderId="2" xfId="1" applyNumberFormat="1" applyFont="1" applyFill="1" applyBorder="1" applyAlignment="1">
      <alignment vertical="center" wrapText="1"/>
    </xf>
    <xf numFmtId="164" fontId="5" fillId="9" borderId="0" xfId="1" applyNumberFormat="1" applyFont="1" applyFill="1" applyAlignment="1">
      <alignment vertical="center" wrapText="1"/>
    </xf>
    <xf numFmtId="164" fontId="2" fillId="10" borderId="0" xfId="1" applyNumberFormat="1" applyFont="1" applyFill="1" applyAlignment="1">
      <alignment horizontal="center" vertical="center" wrapText="1"/>
    </xf>
    <xf numFmtId="0" fontId="4" fillId="8" borderId="2" xfId="1" applyFont="1" applyFill="1" applyBorder="1" applyAlignment="1">
      <alignment vertical="center" wrapText="1"/>
    </xf>
    <xf numFmtId="164" fontId="4" fillId="8" borderId="2" xfId="1" applyNumberFormat="1" applyFont="1" applyFill="1" applyBorder="1" applyAlignment="1">
      <alignment vertical="center" wrapText="1"/>
    </xf>
    <xf numFmtId="0" fontId="5" fillId="9" borderId="1" xfId="1" applyFont="1" applyFill="1" applyBorder="1" applyAlignment="1">
      <alignment vertical="center" wrapText="1"/>
    </xf>
    <xf numFmtId="0" fontId="5" fillId="9" borderId="0" xfId="1" applyFont="1" applyFill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6" borderId="0" xfId="1" applyFont="1" applyFill="1" applyAlignment="1">
      <alignment vertical="center" wrapText="1"/>
    </xf>
    <xf numFmtId="10" fontId="5" fillId="9" borderId="2" xfId="1" applyNumberFormat="1" applyFont="1" applyFill="1" applyBorder="1" applyAlignment="1">
      <alignment vertical="center"/>
    </xf>
    <xf numFmtId="0" fontId="5" fillId="11" borderId="0" xfId="1" applyFont="1" applyFill="1" applyAlignment="1">
      <alignment horizontal="center" vertical="center" wrapText="1"/>
    </xf>
    <xf numFmtId="3" fontId="5" fillId="6" borderId="0" xfId="1" applyNumberFormat="1" applyFont="1" applyFill="1" applyAlignment="1">
      <alignment horizontal="center" vertical="center" wrapText="1"/>
    </xf>
    <xf numFmtId="164" fontId="8" fillId="6" borderId="11" xfId="1" applyNumberFormat="1" applyFont="1" applyFill="1" applyBorder="1" applyAlignment="1">
      <alignment vertical="center" wrapText="1"/>
    </xf>
    <xf numFmtId="44" fontId="5" fillId="6" borderId="0" xfId="2" applyFont="1" applyFill="1" applyAlignment="1">
      <alignment vertical="center" wrapText="1"/>
    </xf>
    <xf numFmtId="44" fontId="5" fillId="5" borderId="0" xfId="2" applyFont="1" applyFill="1" applyAlignment="1">
      <alignment vertical="center" wrapText="1"/>
    </xf>
    <xf numFmtId="164" fontId="5" fillId="5" borderId="0" xfId="1" applyNumberFormat="1" applyFont="1" applyFill="1" applyAlignment="1">
      <alignment horizontal="center" vertical="center" wrapText="1"/>
    </xf>
    <xf numFmtId="0" fontId="0" fillId="6" borderId="0" xfId="1" applyFont="1" applyFill="1" applyAlignment="1">
      <alignment vertical="center" wrapText="1"/>
    </xf>
    <xf numFmtId="164" fontId="0" fillId="6" borderId="0" xfId="1" applyNumberFormat="1" applyFont="1" applyFill="1" applyAlignment="1">
      <alignment vertical="center" wrapText="1"/>
    </xf>
    <xf numFmtId="164" fontId="5" fillId="12" borderId="1" xfId="1" applyNumberFormat="1" applyFont="1" applyFill="1" applyBorder="1" applyAlignment="1">
      <alignment vertical="center" wrapText="1"/>
    </xf>
    <xf numFmtId="44" fontId="5" fillId="9" borderId="0" xfId="2" applyFont="1" applyFill="1" applyAlignment="1">
      <alignment vertical="center" wrapText="1"/>
    </xf>
    <xf numFmtId="3" fontId="5" fillId="12" borderId="1" xfId="1" applyNumberFormat="1" applyFont="1" applyFill="1" applyBorder="1" applyAlignment="1">
      <alignment vertical="center" wrapText="1"/>
    </xf>
    <xf numFmtId="44" fontId="5" fillId="13" borderId="0" xfId="2" applyFont="1" applyFill="1" applyAlignment="1">
      <alignment vertical="center" wrapText="1"/>
    </xf>
    <xf numFmtId="44" fontId="5" fillId="12" borderId="0" xfId="2" applyFont="1" applyFill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 wrapText="1"/>
    </xf>
  </cellXfs>
  <cellStyles count="3">
    <cellStyle name="Normal" xfId="1"/>
    <cellStyle name="Standaard" xfId="0" builtinId="0"/>
    <cellStyle name="Valuta" xfId="2" builtinId="4"/>
  </cellStyles>
  <dxfs count="31"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rlito"/>
        <scheme val="none"/>
      </font>
      <numFmt numFmtId="164" formatCode="\€\ #,##0.00;[Red]\-\€\ #,##0.00;\€\ \-"/>
      <fill>
        <patternFill patternType="solid">
          <fgColor indexed="64"/>
          <bgColor rgb="FFE7E6E6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rlito"/>
        <scheme val="none"/>
      </font>
      <fill>
        <patternFill patternType="solid">
          <fgColor indexed="64"/>
          <bgColor rgb="FFFFF2CC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rlito"/>
        <scheme val="none"/>
      </font>
      <numFmt numFmtId="3" formatCode="#,##0"/>
      <fill>
        <patternFill patternType="solid">
          <fgColor indexed="64"/>
          <bgColor rgb="FFE7E6E6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rlito"/>
        <scheme val="none"/>
      </font>
      <numFmt numFmtId="164" formatCode="\€\ #,##0.00;[Red]\-\€\ #,##0.00;\€\ \-"/>
      <fill>
        <patternFill patternType="solid">
          <fgColor indexed="64"/>
          <bgColor rgb="FFE7E6E6"/>
        </patternFill>
      </fill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rlito"/>
        <scheme val="none"/>
      </font>
      <fill>
        <patternFill patternType="solid">
          <fgColor indexed="64"/>
          <bgColor rgb="FFE7E6E6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rlito"/>
        <scheme val="none"/>
      </font>
      <fill>
        <patternFill patternType="solid">
          <fgColor indexed="64"/>
          <bgColor rgb="FFFFF2CC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rlito"/>
        <scheme val="none"/>
      </font>
      <numFmt numFmtId="3" formatCode="#,##0"/>
      <fill>
        <patternFill patternType="solid">
          <fgColor indexed="64"/>
          <bgColor rgb="FFE7E6E6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rlito"/>
        <scheme val="none"/>
      </font>
      <numFmt numFmtId="164" formatCode="\€\ #,##0.00;[Red]\-\€\ #,##0.00;\€\ \-"/>
      <fill>
        <patternFill patternType="solid">
          <fgColor indexed="64"/>
          <bgColor rgb="FFE7E6E6"/>
        </patternFill>
      </fill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5"/>
        </patternFill>
      </fill>
    </dxf>
    <dxf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5"/>
        </patternFill>
      </fill>
    </dxf>
    <dxf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blInitieleKosten" displayName="TblInitieleKosten" ref="A4:P12" headerRowDxfId="30">
  <tableColumns count="16">
    <tableColumn id="1" name="Code" dataDxfId="29"/>
    <tableColumn id="2" name="Prijscomponent"/>
    <tableColumn id="3" name="Toelichting / casuskoppeling"/>
    <tableColumn id="4" name="Eenheid"/>
    <tableColumn id="5" name="Aantal J1"/>
    <tableColumn id="6" name="Aantal J2"/>
    <tableColumn id="7" name="Aantal J3"/>
    <tableColumn id="8" name="Optiejaar 1"/>
    <tableColumn id="9" name="Optiejaar 2"/>
    <tableColumn id="10" name="Bruto prijs/eenheid excl. BTW"/>
    <tableColumn id="11" name="Korting %"/>
    <tableColumn id="12" name="Netto prijs"/>
    <tableColumn id="13" name="TCO J1-J3 excl. BTW">
      <calculatedColumnFormula>SUM(E5:G5)*N(L5)</calculatedColumnFormula>
    </tableColumn>
    <tableColumn id="14" name="Optiejaar 1 en 2 excl. BTW">
      <calculatedColumnFormula>(H5+I5)*N(L5)</calculatedColumnFormula>
    </tableColumn>
    <tableColumn id="15" name="Merk/type/artikelnummer"/>
    <tableColumn id="16" name="Toelichting inschrijv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Implementatie" displayName="TblImplementatie" ref="A4:L16" headerRowDxfId="28">
  <tableColumns count="12">
    <tableColumn id="1" name="Code" dataDxfId="27"/>
    <tableColumn id="2" name="Prijscomponent"/>
    <tableColumn id="3" name="Toelichting / casuskoppeling"/>
    <tableColumn id="4" name="Eenheid"/>
    <tableColumn id="5" name="Aantal"/>
    <tableColumn id="6" name="Bruto prijs/eenheid excl. BTW"/>
    <tableColumn id="7" name="Korting %"/>
    <tableColumn id="8" name="Netto prijs"/>
    <tableColumn id="9" name="TCO J1-J3 excl. BTW"/>
    <tableColumn id="10" name="Telt mee in gunning"/>
    <tableColumn id="11" name="Opmerking / afbakening"/>
    <tableColumn id="12" name="Toelichting inschrijv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LicentieOnderhoud" displayName="TblLicentieOnderhoud" ref="A4:R15" headerRowDxfId="26">
  <tableColumns count="18">
    <tableColumn id="1" name="Code" dataDxfId="25"/>
    <tableColumn id="2" name="Prijscomponent"/>
    <tableColumn id="3" name="Toelichting "/>
    <tableColumn id="4" name="Eenheid" dataDxfId="24"/>
    <tableColumn id="5" name="Tariefbasis" dataDxfId="23"/>
    <tableColumn id="6" name="Aantal J1" dataDxfId="22"/>
    <tableColumn id="7" name="Prijs J1"/>
    <tableColumn id="8" name="Aantal J2"/>
    <tableColumn id="9" name="Prijs J2"/>
    <tableColumn id="10" name="Aantal J3"/>
    <tableColumn id="11" name="Prijs J3"/>
    <tableColumn id="18" name="TCO J1-J3 excl. BTW" dataDxfId="21" dataCellStyle="Normal">
      <calculatedColumnFormula>SUM(F5*N(G5),H5*N(I5),J5*N(K5))</calculatedColumnFormula>
    </tableColumn>
    <tableColumn id="12" name="Aantal optiejaar 1"/>
    <tableColumn id="13" name="Prijs optiejaar 1" dataCellStyle="Valuta"/>
    <tableColumn id="20" name="Aantal optiejaar 2" dataDxfId="20" dataCellStyle="Normal">
      <calculatedColumnFormula>Uitgangspunten!F14</calculatedColumnFormula>
    </tableColumn>
    <tableColumn id="15" name="Prijs optiejaar 2 " dataDxfId="19" dataCellStyle="Valuta"/>
    <tableColumn id="22" name="Totaalprijs optiejaren " dataDxfId="18" dataCellStyle="Valuta">
      <calculatedColumnFormula>SUM(TblLicentieOnderhoud[[#This Row],[Aantal optiejaar 1]]*TblLicentieOnderhoud[[#This Row],[Prijs optiejaar 1]]+TblLicentieOnderhoud[[#This Row],[Aantal optiejaar 2]]*TblLicentieOnderhoud[[#This Row],[Prijs optiejaar 2 ]])</calculatedColumnFormula>
    </tableColumn>
    <tableColumn id="16" name="Toelichting inschrijv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blVerbruik" displayName="TblVerbruik" ref="A4:R10" headerRowDxfId="17">
  <tableColumns count="18">
    <tableColumn id="1" name="Code" dataDxfId="16"/>
    <tableColumn id="2" name="Prijscomponent"/>
    <tableColumn id="3" name="Toelichting / casuskoppeling"/>
    <tableColumn id="4" name="Eenheid"/>
    <tableColumn id="5" name="Verbruiksbasis"/>
    <tableColumn id="6" name="Aantal J1" dataDxfId="15"/>
    <tableColumn id="7" name="Prijs J1" dataDxfId="14"/>
    <tableColumn id="8" name="Aantal J2" dataDxfId="13"/>
    <tableColumn id="9" name="Prijs J2" dataDxfId="12"/>
    <tableColumn id="10" name="Aantal J3" dataDxfId="11"/>
    <tableColumn id="11" name="Prijs J3" dataDxfId="10"/>
    <tableColumn id="17" name="TCO J1-J3 excl. BTW" dataDxfId="9" dataCellStyle="Normal">
      <calculatedColumnFormula>SUM(F5*N(G5),H5*N(I5),J5*N(K5))</calculatedColumnFormula>
    </tableColumn>
    <tableColumn id="12" name="Aantal optiejaar 1" dataDxfId="8"/>
    <tableColumn id="13" name="Prijs optiejaar 1 " dataCellStyle="Valuta"/>
    <tableColumn id="14" name="Aantal optiejaar 2" dataDxfId="7" dataCellStyle="Normal"/>
    <tableColumn id="15" name="Prijs optiejaar 2 " dataDxfId="6" dataCellStyle="Valuta"/>
    <tableColumn id="18" name="Totaalprijs optiejaren excl. BTW" dataDxfId="5" dataCellStyle="Normal">
      <calculatedColumnFormula>TblVerbruik[[#This Row],[Aantal optiejaar 1]]*TblVerbruik[[#This Row],[Prijs optiejaar 1 ]]+TblVerbruik[[#This Row],[Aantal optiejaar 2]]*TblVerbruik[[#This Row],[Prijs optiejaar 2 ]]</calculatedColumnFormula>
    </tableColumn>
    <tableColumn id="16" name="Toelichting inschrijv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blOpties" displayName="TblOpties" ref="A4:L15" headerRowDxfId="4">
  <tableColumns count="12">
    <tableColumn id="1" name="Code"/>
    <tableColumn id="2" name="Optie / uitbreiding"/>
    <tableColumn id="3" name="Trigger / casus"/>
    <tableColumn id="4" name="Eenheid"/>
    <tableColumn id="5" name="Bruto prijs/eenheid excl. BTW"/>
    <tableColumn id="6" name="Korting %"/>
    <tableColumn id="7" name="Netto prijs"/>
    <tableColumn id="8" name="Indicatief aantal"/>
    <tableColumn id="9" name="Indicatieve waarde excl. BTW"/>
    <tableColumn id="10" name="Telt mee in gunning"/>
    <tableColumn id="11" name="Opmerking / randvoorwaarde"/>
    <tableColumn id="12" name="Toelichting inschrijv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workbookViewId="0">
      <selection activeCell="B6" sqref="B6"/>
    </sheetView>
  </sheetViews>
  <sheetFormatPr defaultRowHeight="14.25"/>
  <cols>
    <col min="1" max="1" width="22" customWidth="1"/>
    <col min="2" max="2" width="35" customWidth="1"/>
    <col min="3" max="4" width="42" customWidth="1"/>
  </cols>
  <sheetData>
    <row r="1" spans="1:27" ht="27.95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7" ht="36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7">
      <c r="A3" s="2" t="s">
        <v>2</v>
      </c>
      <c r="B3" s="26" t="s">
        <v>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7">
      <c r="A4" s="2" t="s">
        <v>4</v>
      </c>
      <c r="B4" s="26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7">
      <c r="A5" s="2" t="s">
        <v>6</v>
      </c>
      <c r="B5" s="26" t="s">
        <v>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7">
      <c r="A6" s="2" t="s">
        <v>8</v>
      </c>
      <c r="B6" s="26" t="s">
        <v>452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7">
      <c r="A7" s="2" t="s">
        <v>9</v>
      </c>
      <c r="B7" s="26" t="s">
        <v>10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7">
      <c r="A8" s="2" t="s">
        <v>11</v>
      </c>
      <c r="B8" s="4"/>
      <c r="C8" s="14" t="s">
        <v>12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7">
      <c r="A9" s="2" t="s">
        <v>13</v>
      </c>
      <c r="B9" s="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7">
      <c r="A10" s="2" t="s">
        <v>14</v>
      </c>
      <c r="B10" s="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7" ht="15" thickBo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7" ht="36" customHeight="1">
      <c r="A12" s="23" t="s">
        <v>15</v>
      </c>
      <c r="B12" s="24" t="s">
        <v>16</v>
      </c>
      <c r="C12" s="24" t="s">
        <v>17</v>
      </c>
      <c r="D12" s="25" t="s">
        <v>18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>
      <c r="A13" s="18" t="s">
        <v>19</v>
      </c>
      <c r="B13" s="17" t="s">
        <v>20</v>
      </c>
      <c r="C13" s="17" t="s">
        <v>21</v>
      </c>
      <c r="D13" s="19" t="s">
        <v>22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>
      <c r="A14" s="18" t="s">
        <v>23</v>
      </c>
      <c r="B14" s="17" t="s">
        <v>24</v>
      </c>
      <c r="C14" s="17" t="s">
        <v>25</v>
      </c>
      <c r="D14" s="19" t="s">
        <v>26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>
      <c r="A15" s="18" t="s">
        <v>27</v>
      </c>
      <c r="B15" s="17" t="s">
        <v>28</v>
      </c>
      <c r="C15" s="17" t="s">
        <v>29</v>
      </c>
      <c r="D15" s="19" t="s">
        <v>30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>
      <c r="A16" s="18" t="s">
        <v>31</v>
      </c>
      <c r="B16" s="17" t="s">
        <v>32</v>
      </c>
      <c r="C16" s="17" t="s">
        <v>33</v>
      </c>
      <c r="D16" s="19" t="s">
        <v>34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>
      <c r="A17" s="18" t="s">
        <v>35</v>
      </c>
      <c r="B17" s="17" t="s">
        <v>36</v>
      </c>
      <c r="C17" s="17" t="s">
        <v>37</v>
      </c>
      <c r="D17" s="19" t="s">
        <v>38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5" thickBot="1">
      <c r="A18" s="20" t="s">
        <v>39</v>
      </c>
      <c r="B18" s="21" t="s">
        <v>40</v>
      </c>
      <c r="C18" s="21" t="s">
        <v>41</v>
      </c>
      <c r="D18" s="22" t="s">
        <v>42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5" customForma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27" s="15" customForma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7" s="15" customForma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7" s="15" customForma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7" s="15" customForma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7" s="15" customForma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7" s="15" customForma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7" s="15" customForma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7" s="15" customForma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7" s="15" customForma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7" s="15" customForma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27" s="15" customForma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7" s="15" customForma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7" s="15" customForma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15" customForma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5" customForma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15" customForma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15" customForma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15" customForma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15" customForma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15" customForma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15" customForma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15" customForma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15" customForma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15" customForma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15" customForma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15" customForma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15" customForma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15" customForma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15" customForma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15" customForma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15" customForma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15" customForma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15" customForma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15" customForma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15" customForma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15" customForma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15" customForma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15" customForma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15" customForma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15" customForma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15" customForma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15" customForma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15" customForma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s="15" customForma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s="15" customForma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15" customForma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s="15" customForma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s="15" customForma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s="15" customForma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s="15" customForma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15" customForma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s="15" customForma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s="15" customForma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15" customForma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</sheetData>
  <mergeCells count="4">
    <mergeCell ref="A1:P1"/>
    <mergeCell ref="A2:P2"/>
    <mergeCell ref="Q2:Z2"/>
    <mergeCell ref="Q1:Z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opLeftCell="A25" workbookViewId="0">
      <selection activeCell="B40" sqref="B40:B41"/>
    </sheetView>
  </sheetViews>
  <sheetFormatPr defaultRowHeight="14.25"/>
  <cols>
    <col min="1" max="1" width="40" customWidth="1"/>
    <col min="2" max="5" width="28" customWidth="1"/>
  </cols>
  <sheetData>
    <row r="1" spans="1:16" ht="27.95" customHeight="1">
      <c r="A1" s="64" t="s">
        <v>372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6" customHeight="1">
      <c r="A2" s="65" t="s">
        <v>373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15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6" customHeight="1">
      <c r="A4" s="16" t="s">
        <v>374</v>
      </c>
      <c r="B4" s="16" t="s">
        <v>375</v>
      </c>
      <c r="C4" s="16" t="s">
        <v>328</v>
      </c>
      <c r="D4" s="16" t="s">
        <v>376</v>
      </c>
      <c r="E4" s="3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5" t="s">
        <v>377</v>
      </c>
      <c r="B5" s="11">
        <v>0.1</v>
      </c>
      <c r="C5" s="12">
        <f>(Inschrijfprijs!C5+Inschrijfprijs!C6)*B5</f>
        <v>0</v>
      </c>
      <c r="D5" s="5" t="s">
        <v>378</v>
      </c>
      <c r="E5" s="3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5.5">
      <c r="A6" s="5" t="s">
        <v>379</v>
      </c>
      <c r="B6" s="11">
        <v>0.25</v>
      </c>
      <c r="C6" s="12">
        <f>(Inschrijfprijs!C5+Inschrijfprijs!C6)*B6</f>
        <v>0</v>
      </c>
      <c r="D6" s="5" t="s">
        <v>378</v>
      </c>
      <c r="E6" s="3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>
      <c r="A7" s="5" t="s">
        <v>380</v>
      </c>
      <c r="B7" s="11">
        <v>0.65</v>
      </c>
      <c r="C7" s="12">
        <f>(Inschrijfprijs!C5+Inschrijfprijs!C6)*B7</f>
        <v>0</v>
      </c>
      <c r="D7" s="5" t="s">
        <v>378</v>
      </c>
      <c r="E7" s="3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>
      <c r="A8" s="5" t="s">
        <v>381</v>
      </c>
      <c r="B8" s="11">
        <v>1</v>
      </c>
      <c r="C8" s="12">
        <f>SUM(C5:C7)</f>
        <v>0</v>
      </c>
      <c r="D8" s="5"/>
      <c r="E8" s="3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15" customFormat="1">
      <c r="A9" s="33"/>
      <c r="B9" s="33"/>
      <c r="C9" s="33"/>
      <c r="D9" s="33"/>
      <c r="E9" s="3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15" customFormat="1">
      <c r="A10" s="33"/>
      <c r="B10" s="33"/>
      <c r="C10" s="33"/>
      <c r="D10" s="33"/>
      <c r="E10" s="3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36" customHeight="1">
      <c r="A11" s="16" t="s">
        <v>382</v>
      </c>
      <c r="B11" s="16" t="s">
        <v>103</v>
      </c>
      <c r="C11" s="16" t="s">
        <v>104</v>
      </c>
      <c r="D11" s="16" t="s">
        <v>105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</row>
    <row r="12" spans="1:16">
      <c r="A12" s="5" t="s">
        <v>383</v>
      </c>
      <c r="B12" s="63">
        <f>SUMPRODUCT('3 Licentie &amp; onderhoud'!F5:F15,('3 Licentie &amp; onderhoud'!G5:G15))</f>
        <v>0</v>
      </c>
      <c r="C12" s="63">
        <f>SUMPRODUCT('3 Licentie &amp; onderhoud'!H5:H15,('3 Licentie &amp; onderhoud'!I5:I15))</f>
        <v>0</v>
      </c>
      <c r="D12" s="63">
        <f>SUMPRODUCT('3 Licentie &amp; onderhoud'!J5:J15,('3 Licentie &amp; onderhoud'!K5:K15))</f>
        <v>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1:16">
      <c r="A13" s="5" t="s">
        <v>338</v>
      </c>
      <c r="B13" s="12">
        <f>SUMPRODUCT('4 Verbruik'!F5:F10,('4 Verbruik'!G5:G10))</f>
        <v>0</v>
      </c>
      <c r="C13" s="12">
        <f>SUMPRODUCT('4 Verbruik'!H5:H10,('4 Verbruik'!I5:I10))</f>
        <v>0</v>
      </c>
      <c r="D13" s="12">
        <f>SUMPRODUCT('4 Verbruik'!J5:J10,('4 Verbruik'!K5:K10))</f>
        <v>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</row>
    <row r="14" spans="1:16">
      <c r="A14" s="5" t="s">
        <v>384</v>
      </c>
      <c r="B14" s="12">
        <f>SUM(B12:B13)</f>
        <v>0</v>
      </c>
      <c r="C14" s="12">
        <f>SUM(C12:C13)</f>
        <v>0</v>
      </c>
      <c r="D14" s="12">
        <f>SUM(D12:D13)</f>
        <v>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</row>
    <row r="15" spans="1:16" ht="25.5">
      <c r="A15" s="5" t="s">
        <v>376</v>
      </c>
      <c r="B15" s="5" t="s">
        <v>385</v>
      </c>
      <c r="C15" s="5"/>
      <c r="D15" s="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1:16">
      <c r="A16" s="5"/>
      <c r="B16" s="33"/>
      <c r="C16" s="33"/>
      <c r="D16" s="33"/>
      <c r="E16" s="3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>
      <c r="A17" s="5"/>
      <c r="B17" s="33"/>
      <c r="C17" s="33"/>
      <c r="D17" s="33"/>
      <c r="E17" s="3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ht="36" customHeight="1">
      <c r="A18" s="16" t="s">
        <v>35</v>
      </c>
      <c r="B18" s="16" t="s">
        <v>386</v>
      </c>
      <c r="C18" s="16" t="s">
        <v>387</v>
      </c>
      <c r="D18" s="16" t="s">
        <v>47</v>
      </c>
      <c r="E18" s="3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>
      <c r="A19" s="5" t="s">
        <v>103</v>
      </c>
      <c r="B19" s="5" t="s">
        <v>388</v>
      </c>
      <c r="C19" s="5" t="s">
        <v>389</v>
      </c>
      <c r="D19" s="5" t="s">
        <v>390</v>
      </c>
      <c r="E19" s="3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ht="25.5">
      <c r="A20" s="5" t="s">
        <v>104</v>
      </c>
      <c r="B20" s="5" t="s">
        <v>391</v>
      </c>
      <c r="C20" s="5" t="s">
        <v>389</v>
      </c>
      <c r="D20" s="5" t="s">
        <v>392</v>
      </c>
      <c r="E20" s="3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ht="25.5">
      <c r="A21" s="5" t="s">
        <v>393</v>
      </c>
      <c r="B21" s="5" t="s">
        <v>394</v>
      </c>
      <c r="C21" s="5" t="s">
        <v>395</v>
      </c>
      <c r="D21" s="5" t="s">
        <v>396</v>
      </c>
      <c r="E21" s="3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ht="25.5">
      <c r="A22" s="5" t="s">
        <v>397</v>
      </c>
      <c r="B22" s="5" t="s">
        <v>398</v>
      </c>
      <c r="C22" s="5" t="s">
        <v>399</v>
      </c>
      <c r="D22" s="5" t="s">
        <v>400</v>
      </c>
      <c r="E22" s="3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15" customForma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s="15" customForma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15" customForma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s="15" customForma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s="15" customForma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15" customForma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s="15" customForma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15" customForma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15" customForma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s="15" customForma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15" customForma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5" customForma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15" customForma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15" customForma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15" customForma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15" customForma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15" customForma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15" customForma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15" customForma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15" customForma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15" customForma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15" customForma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15" customForma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15" customForma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15" customForma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15" customForma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15" customForma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>
      <c r="A50" s="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>
      <c r="A51" s="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>
      <c r="A52" s="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>
      <c r="A53" s="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>
      <c r="A54" s="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>
      <c r="A55" s="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>
      <c r="A57" s="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>
      <c r="A58" s="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>
      <c r="A59" s="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>
      <c r="A60" s="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>
      <c r="A61" s="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>
      <c r="A62" s="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>
      <c r="A63" s="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>
      <c r="A64" s="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>
      <c r="A65" s="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>
      <c r="A66" s="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>
      <c r="A67" s="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>
      <c r="A68" s="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>
      <c r="A69" s="3"/>
      <c r="B69" s="14"/>
      <c r="C69" s="14"/>
      <c r="D69" s="1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</sheetData>
  <mergeCells count="2">
    <mergeCell ref="A1:P1"/>
    <mergeCell ref="A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workbookViewId="0">
      <selection activeCell="B5" sqref="B5"/>
    </sheetView>
  </sheetViews>
  <sheetFormatPr defaultRowHeight="14.25"/>
  <cols>
    <col min="1" max="1" width="48" customWidth="1"/>
    <col min="2" max="4" width="24" customWidth="1"/>
    <col min="17" max="26" width="9" style="15"/>
  </cols>
  <sheetData>
    <row r="1" spans="1:16" ht="27.95" customHeight="1">
      <c r="A1" s="64" t="s">
        <v>93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6" customHeight="1">
      <c r="A2" s="65" t="s">
        <v>401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15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6" customHeight="1">
      <c r="A4" s="16" t="s">
        <v>93</v>
      </c>
      <c r="B4" s="16" t="s">
        <v>402</v>
      </c>
      <c r="C4" s="16" t="s">
        <v>363</v>
      </c>
      <c r="D4" s="16" t="s">
        <v>364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5" t="s">
        <v>403</v>
      </c>
      <c r="B5" s="56">
        <f>COUNTBLANK('1 Initiele kosten'!J5:J11)+COUNTBLANK('2 Implementatie &amp; integratie'!F5:F16)+COUNTBLANK('3 Licentie &amp; onderhoud'!G5:G14)+COUNTBLANK('3 Licentie &amp; onderhoud'!I5:I14)+COUNTBLANK('3 Licentie &amp; onderhoud'!K5:K14)+COUNTBLANK('3 Licentie &amp; onderhoud'!N5:N14)+COUNTBLANK('3 Licentie &amp; onderhoud'!P5:P14)+COUNTBLANK('4 Verbruik'!G5:G10)+COUNTBLANK('4 Verbruik'!I5:I10)+COUNTBLANK('4 Verbruik'!K5:K10)+COUNTBLANK('4 Verbruik'!N5:N10)</f>
        <v>0</v>
      </c>
      <c r="C5" s="13" t="s">
        <v>366</v>
      </c>
      <c r="D5" s="13" t="str">
        <f>IF(B5=0,"OK","Niet OK")</f>
        <v>OK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>
      <c r="A6" s="5" t="s">
        <v>404</v>
      </c>
      <c r="B6" s="56">
        <f>COUNTIF('1 Initiele kosten'!J5:J12,"&lt;0")+COUNTIF('2 Implementatie &amp; integratie'!F5:F16,"&lt;0")+COUNTIF('3 Licentie &amp; onderhoud'!G5:N15,"&lt;0")+COUNTIF('4 Verbruik'!G5:N10,"&lt;0")+COUNTIF('5 Opties herziening'!E5:E15,"&lt;0")</f>
        <v>0</v>
      </c>
      <c r="C6" s="13" t="s">
        <v>366</v>
      </c>
      <c r="D6" s="13" t="str">
        <f>IF(B6=0,"OK","Niet OK")</f>
        <v>OK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>
      <c r="A7" s="5" t="s">
        <v>368</v>
      </c>
      <c r="B7" s="56">
        <f>COUNTIF('1 Initiele kosten'!K5:K12,"&lt;0")+COUNTIF('1 Initiele kosten'!K5:K12,"&gt;1")+COUNTIF('2 Implementatie &amp; integratie'!G5:G16,"&lt;0")+COUNTIF('2 Implementatie &amp; integratie'!G5:G16,"&gt;1")+COUNTIF('5 Opties herziening'!F5:F15,"&lt;0")+COUNTIF('5 Opties herziening'!F5:F15,"&gt;1")</f>
        <v>0</v>
      </c>
      <c r="C7" s="13" t="s">
        <v>366</v>
      </c>
      <c r="D7" s="13" t="str">
        <f>IF(B7=0,"OK","Niet OK")</f>
        <v>OK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>
      <c r="A8" s="5" t="s">
        <v>405</v>
      </c>
      <c r="B8" s="13" t="b">
        <f>Inschrijfprijs!C9&gt;0</f>
        <v>0</v>
      </c>
      <c r="C8" s="13" t="s">
        <v>168</v>
      </c>
      <c r="D8" s="13" t="str">
        <f>IF(B8=TRUE,"OK","Niet OK")</f>
        <v>Niet OK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>
      <c r="A9" s="5" t="s">
        <v>406</v>
      </c>
      <c r="B9" s="13" t="b">
        <f>AND(Inschrijfprijs!C5&gt;=0,Inschrijfprijs!C6&gt;=0,Inschrijfprijs!C7&gt;=0,Inschrijfprijs!C8&gt;=0)</f>
        <v>1</v>
      </c>
      <c r="C9" s="13" t="s">
        <v>168</v>
      </c>
      <c r="D9" s="13" t="str">
        <f>IF(B9=TRUE,"OK","Niet OK")</f>
        <v>OK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>
      <c r="A10" s="5" t="s">
        <v>407</v>
      </c>
      <c r="B10" s="13" t="b">
        <f>'5 Opties herziening'!I16&gt;=0</f>
        <v>1</v>
      </c>
      <c r="C10" s="13" t="s">
        <v>168</v>
      </c>
      <c r="D10" s="13" t="str">
        <f>IF(B10=TRUE,"OK","Niet OK")</f>
        <v>OK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>
      <c r="A11" s="5" t="s">
        <v>408</v>
      </c>
      <c r="B11" s="5" t="s">
        <v>409</v>
      </c>
      <c r="C11" s="5" t="s">
        <v>168</v>
      </c>
      <c r="D11" s="5" t="s">
        <v>410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>
      <c r="A12" s="5" t="s">
        <v>411</v>
      </c>
      <c r="B12" s="5" t="s">
        <v>409</v>
      </c>
      <c r="C12" s="5" t="s">
        <v>168</v>
      </c>
      <c r="D12" s="5" t="s">
        <v>410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>
      <c r="A13" s="5" t="s">
        <v>412</v>
      </c>
      <c r="B13" s="5" t="s">
        <v>409</v>
      </c>
      <c r="C13" s="5" t="s">
        <v>168</v>
      </c>
      <c r="D13" s="5" t="s">
        <v>410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>
      <c r="A77" s="1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</sheetData>
  <mergeCells count="2">
    <mergeCell ref="A1:P1"/>
    <mergeCell ref="A2:P2"/>
  </mergeCells>
  <conditionalFormatting sqref="D5:D13">
    <cfRule type="expression" dxfId="1" priority="1">
      <formula>D5="OK"</formula>
    </cfRule>
    <cfRule type="expression" dxfId="0" priority="2">
      <formula>D5="Niet OK"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sqref="A1:P1"/>
    </sheetView>
  </sheetViews>
  <sheetFormatPr defaultRowHeight="14.25"/>
  <cols>
    <col min="1" max="1" width="42" customWidth="1"/>
    <col min="2" max="4" width="60" customWidth="1"/>
  </cols>
  <sheetData>
    <row r="1" spans="1:16" ht="27.95" customHeight="1">
      <c r="A1" s="64" t="s">
        <v>413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6" customHeight="1">
      <c r="A2" s="65" t="s">
        <v>414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6" customHeight="1">
      <c r="A4" s="1" t="s">
        <v>415</v>
      </c>
      <c r="B4" s="1" t="s">
        <v>416</v>
      </c>
      <c r="C4" s="1" t="s">
        <v>417</v>
      </c>
      <c r="D4" s="1" t="s">
        <v>418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5.5">
      <c r="A5" s="5" t="s">
        <v>419</v>
      </c>
      <c r="B5" s="5" t="s">
        <v>420</v>
      </c>
      <c r="C5" s="5" t="s">
        <v>421</v>
      </c>
      <c r="D5" s="5" t="s">
        <v>422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25.5">
      <c r="A6" s="5" t="s">
        <v>423</v>
      </c>
      <c r="B6" s="5" t="s">
        <v>424</v>
      </c>
      <c r="C6" s="5" t="s">
        <v>425</v>
      </c>
      <c r="D6" s="5" t="s">
        <v>426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5.5">
      <c r="A7" s="5" t="s">
        <v>427</v>
      </c>
      <c r="B7" s="5" t="s">
        <v>428</v>
      </c>
      <c r="C7" s="5" t="s">
        <v>429</v>
      </c>
      <c r="D7" s="5" t="s">
        <v>430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25.5">
      <c r="A8" s="5" t="s">
        <v>431</v>
      </c>
      <c r="B8" s="5" t="s">
        <v>432</v>
      </c>
      <c r="C8" s="5" t="s">
        <v>433</v>
      </c>
      <c r="D8" s="5" t="s">
        <v>434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5.5">
      <c r="A9" s="5" t="s">
        <v>435</v>
      </c>
      <c r="B9" s="5" t="s">
        <v>436</v>
      </c>
      <c r="C9" s="5" t="s">
        <v>437</v>
      </c>
      <c r="D9" s="5" t="s">
        <v>438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5.5">
      <c r="A10" s="5" t="s">
        <v>439</v>
      </c>
      <c r="B10" s="5" t="s">
        <v>440</v>
      </c>
      <c r="C10" s="5" t="s">
        <v>441</v>
      </c>
      <c r="D10" s="5" t="s">
        <v>442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5" t="s">
        <v>439</v>
      </c>
      <c r="B11" s="5" t="s">
        <v>443</v>
      </c>
      <c r="C11" s="5" t="s">
        <v>444</v>
      </c>
      <c r="D11" s="5" t="s">
        <v>445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5" t="s">
        <v>439</v>
      </c>
      <c r="B12" s="5" t="s">
        <v>446</v>
      </c>
      <c r="C12" s="5" t="s">
        <v>447</v>
      </c>
      <c r="D12" s="5" t="s">
        <v>448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5" t="s">
        <v>439</v>
      </c>
      <c r="B13" s="5" t="s">
        <v>449</v>
      </c>
      <c r="C13" s="5" t="s">
        <v>450</v>
      </c>
      <c r="D13" s="5" t="s">
        <v>451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</sheetData>
  <mergeCells count="2">
    <mergeCell ref="A1:P1"/>
    <mergeCell ref="A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opLeftCell="A19" workbookViewId="0">
      <selection activeCell="B30" sqref="B30"/>
    </sheetView>
  </sheetViews>
  <sheetFormatPr defaultRowHeight="14.25"/>
  <cols>
    <col min="1" max="1" width="17.375" style="47" customWidth="1"/>
    <col min="2" max="2" width="60.125" customWidth="1"/>
    <col min="3" max="3" width="62.75" customWidth="1"/>
  </cols>
  <sheetData>
    <row r="1" spans="1:26" ht="27.95" customHeight="1">
      <c r="A1" s="64" t="s">
        <v>43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36" customHeight="1">
      <c r="A2" s="65" t="s">
        <v>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15" customFormat="1">
      <c r="A3" s="4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36" customHeight="1">
      <c r="A4" s="16" t="s">
        <v>45</v>
      </c>
      <c r="B4" s="16" t="s">
        <v>46</v>
      </c>
      <c r="C4" s="16" t="s">
        <v>47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5.5">
      <c r="A5" s="44">
        <v>1</v>
      </c>
      <c r="B5" s="17" t="s">
        <v>48</v>
      </c>
      <c r="C5" s="17" t="s">
        <v>49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>
      <c r="A6" s="44">
        <v>2</v>
      </c>
      <c r="B6" s="17" t="s">
        <v>50</v>
      </c>
      <c r="C6" s="17" t="s">
        <v>51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5.5">
      <c r="A7" s="44">
        <v>3</v>
      </c>
      <c r="B7" s="17" t="s">
        <v>52</v>
      </c>
      <c r="C7" s="17" t="s">
        <v>53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5.5">
      <c r="A8" s="44">
        <v>4</v>
      </c>
      <c r="B8" s="17" t="s">
        <v>54</v>
      </c>
      <c r="C8" s="17" t="s">
        <v>55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>
      <c r="A9" s="44">
        <v>5</v>
      </c>
      <c r="B9" s="17" t="s">
        <v>56</v>
      </c>
      <c r="C9" s="17" t="s">
        <v>57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5.5">
      <c r="A10" s="44">
        <v>6</v>
      </c>
      <c r="B10" s="17" t="s">
        <v>58</v>
      </c>
      <c r="C10" s="17" t="s">
        <v>59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>
      <c r="A11" s="44">
        <v>7</v>
      </c>
      <c r="B11" s="17" t="s">
        <v>60</v>
      </c>
      <c r="C11" s="17" t="s">
        <v>61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5.5">
      <c r="A12" s="44">
        <v>8</v>
      </c>
      <c r="B12" s="17" t="s">
        <v>62</v>
      </c>
      <c r="C12" s="17" t="s">
        <v>63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5.5">
      <c r="A13" s="44">
        <v>9</v>
      </c>
      <c r="B13" s="17" t="s">
        <v>64</v>
      </c>
      <c r="C13" s="17" t="s">
        <v>65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5.5">
      <c r="A14" s="44">
        <v>10</v>
      </c>
      <c r="B14" s="17" t="s">
        <v>66</v>
      </c>
      <c r="C14" s="17" t="s">
        <v>67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>
      <c r="A15" s="44">
        <v>11</v>
      </c>
      <c r="B15" s="17" t="s">
        <v>68</v>
      </c>
      <c r="C15" s="17" t="s">
        <v>69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44">
        <v>12</v>
      </c>
      <c r="B16" s="17" t="s">
        <v>70</v>
      </c>
      <c r="C16" s="17" t="s">
        <v>71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5" customFormat="1">
      <c r="A17" s="45"/>
      <c r="B17" s="42"/>
      <c r="C17" s="4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26" s="15" customFormat="1">
      <c r="A18" s="45"/>
      <c r="B18" s="42"/>
      <c r="C18" s="42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26" ht="36" customHeight="1">
      <c r="A19" s="16" t="s">
        <v>72</v>
      </c>
      <c r="B19" s="16" t="s">
        <v>73</v>
      </c>
      <c r="C19" s="16" t="s">
        <v>74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44" t="s">
        <v>0</v>
      </c>
      <c r="B20" s="17" t="s">
        <v>75</v>
      </c>
      <c r="C20" s="17" t="s">
        <v>76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44" t="s">
        <v>77</v>
      </c>
      <c r="B21" s="27" t="s">
        <v>78</v>
      </c>
      <c r="C21" s="27" t="s">
        <v>79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15" customFormat="1">
      <c r="A22" s="44" t="s">
        <v>80</v>
      </c>
      <c r="B22" s="27" t="s">
        <v>81</v>
      </c>
      <c r="C22" s="27" t="s">
        <v>76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6" s="15" customFormat="1" ht="25.5">
      <c r="A23" s="44" t="s">
        <v>82</v>
      </c>
      <c r="B23" s="27" t="s">
        <v>83</v>
      </c>
      <c r="C23" s="27" t="s">
        <v>76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6" s="15" customFormat="1">
      <c r="A24" s="44" t="s">
        <v>84</v>
      </c>
      <c r="B24" s="27" t="s">
        <v>85</v>
      </c>
      <c r="C24" s="27" t="s">
        <v>76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6" s="15" customFormat="1">
      <c r="A25" s="44" t="s">
        <v>86</v>
      </c>
      <c r="B25" s="27" t="s">
        <v>87</v>
      </c>
      <c r="C25" s="27" t="s">
        <v>76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6" s="15" customFormat="1">
      <c r="A26" s="44" t="s">
        <v>88</v>
      </c>
      <c r="B26" s="27" t="s">
        <v>89</v>
      </c>
      <c r="C26" s="27" t="s">
        <v>76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6" s="15" customFormat="1">
      <c r="A27" s="44" t="s">
        <v>90</v>
      </c>
      <c r="B27" s="27" t="s">
        <v>91</v>
      </c>
      <c r="C27" s="27" t="s">
        <v>92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6" s="15" customFormat="1">
      <c r="A28" s="44" t="s">
        <v>93</v>
      </c>
      <c r="B28" s="27" t="s">
        <v>94</v>
      </c>
      <c r="C28" s="27" t="s">
        <v>95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6" s="15" customFormat="1">
      <c r="A29" s="4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26" s="15" customFormat="1">
      <c r="A30" s="4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6" s="15" customFormat="1">
      <c r="A31" s="4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6" s="15" customFormat="1">
      <c r="A32" s="4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15" customFormat="1">
      <c r="A33" s="4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5" customFormat="1">
      <c r="A34" s="4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15" customFormat="1">
      <c r="A35" s="4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15" customFormat="1">
      <c r="A36" s="4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15" customFormat="1">
      <c r="A37" s="4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15" customFormat="1">
      <c r="A38" s="4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15" customFormat="1">
      <c r="A39" s="4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15" customFormat="1">
      <c r="A40" s="4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15" customFormat="1">
      <c r="A41" s="4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15" customFormat="1">
      <c r="A42" s="4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15" customFormat="1">
      <c r="A43" s="4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15" customFormat="1">
      <c r="A44" s="4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15" customFormat="1">
      <c r="A45" s="4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15" customFormat="1">
      <c r="A46" s="4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15" customFormat="1">
      <c r="A47" s="4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15" customFormat="1">
      <c r="A48" s="4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15" customFormat="1">
      <c r="A49" s="4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15" customFormat="1">
      <c r="A50" s="4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15" customFormat="1">
      <c r="A51" s="4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15" customFormat="1">
      <c r="A52" s="4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15" customFormat="1">
      <c r="A53" s="4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15" customFormat="1">
      <c r="A54" s="4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15" customFormat="1">
      <c r="A55" s="4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15" customFormat="1">
      <c r="A56" s="4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15" customFormat="1">
      <c r="A57" s="4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15" customFormat="1">
      <c r="A58" s="4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15" customFormat="1">
      <c r="A59" s="4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15" customFormat="1">
      <c r="A60" s="4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15" customFormat="1">
      <c r="A61" s="4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15" customFormat="1">
      <c r="A62" s="4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s="15" customFormat="1">
      <c r="A63" s="4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s="15" customFormat="1">
      <c r="A64" s="4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15" customFormat="1">
      <c r="A65" s="4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s="15" customFormat="1">
      <c r="A66" s="4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s="15" customFormat="1">
      <c r="A67" s="4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s="15" customFormat="1">
      <c r="A68" s="4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s="15" customFormat="1">
      <c r="A69" s="4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15" customFormat="1">
      <c r="A70" s="4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s="15" customFormat="1">
      <c r="A71" s="4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s="15" customFormat="1">
      <c r="A72" s="4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15" customFormat="1">
      <c r="A73" s="4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s="15" customFormat="1">
      <c r="A74" s="4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s="15" customFormat="1">
      <c r="A75" s="4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s="15" customFormat="1">
      <c r="A76" s="4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>
      <c r="A77" s="4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A78" s="4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>
      <c r="A79" s="4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>
      <c r="A80" s="4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</sheetData>
  <mergeCells count="4">
    <mergeCell ref="A1:P1"/>
    <mergeCell ref="A2:P2"/>
    <mergeCell ref="Q2:Z2"/>
    <mergeCell ref="Q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tabSelected="1" topLeftCell="A4" workbookViewId="0">
      <selection activeCell="G21" sqref="G21"/>
    </sheetView>
  </sheetViews>
  <sheetFormatPr defaultRowHeight="14.25"/>
  <cols>
    <col min="1" max="1" width="35" customWidth="1"/>
    <col min="2" max="6" width="18" customWidth="1"/>
  </cols>
  <sheetData>
    <row r="1" spans="1:26" ht="27.95" customHeight="1">
      <c r="A1" s="64" t="s">
        <v>77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36" customHeight="1">
      <c r="A2" s="65" t="s">
        <v>96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15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36" customHeight="1">
      <c r="A4" s="16" t="s">
        <v>97</v>
      </c>
      <c r="B4" s="16" t="s">
        <v>16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>
      <c r="A5" s="3" t="s">
        <v>98</v>
      </c>
      <c r="B5" s="27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>
      <c r="A6" s="3" t="s">
        <v>99</v>
      </c>
      <c r="B6" s="27">
        <v>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>
      <c r="A7" s="3" t="s">
        <v>100</v>
      </c>
      <c r="B7" s="49">
        <v>0.95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>
      <c r="A8" s="3" t="s">
        <v>101</v>
      </c>
      <c r="B8" s="49">
        <v>0.05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>
      <c r="A9" s="3" t="s">
        <v>102</v>
      </c>
      <c r="B9" s="31">
        <v>0.21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5" customForma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26" s="15" customForma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26" ht="36" customHeight="1">
      <c r="A12" s="16" t="s">
        <v>97</v>
      </c>
      <c r="B12" s="32" t="s">
        <v>103</v>
      </c>
      <c r="C12" s="32" t="s">
        <v>104</v>
      </c>
      <c r="D12" s="32" t="s">
        <v>105</v>
      </c>
      <c r="E12" s="32" t="s">
        <v>106</v>
      </c>
      <c r="F12" s="32" t="s">
        <v>107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5.5">
      <c r="A13" s="48" t="s">
        <v>108</v>
      </c>
      <c r="B13" s="28">
        <v>44</v>
      </c>
      <c r="C13" s="28">
        <v>160</v>
      </c>
      <c r="D13" s="28">
        <v>280</v>
      </c>
      <c r="E13" s="28">
        <v>280</v>
      </c>
      <c r="F13" s="28">
        <v>280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>
      <c r="A14" s="2" t="s">
        <v>109</v>
      </c>
      <c r="B14" s="28">
        <v>1</v>
      </c>
      <c r="C14" s="28">
        <v>3</v>
      </c>
      <c r="D14" s="28">
        <v>7</v>
      </c>
      <c r="E14" s="28">
        <v>7</v>
      </c>
      <c r="F14" s="28">
        <v>7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>
      <c r="A15" s="2" t="s">
        <v>110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2" t="s">
        <v>111</v>
      </c>
      <c r="B16" s="29">
        <f>ROUNDUP(B13*(1+$B$8),0)</f>
        <v>47</v>
      </c>
      <c r="C16" s="29">
        <f>ROUNDUP(C13*(1+$B$8),0)</f>
        <v>168</v>
      </c>
      <c r="D16" s="29">
        <f>ROUNDUP(D13*(1+$B$8),0)</f>
        <v>294</v>
      </c>
      <c r="E16" s="29">
        <f>ROUNDUP(E13*(1+$B$8),0)</f>
        <v>294</v>
      </c>
      <c r="F16" s="29">
        <f>ROUNDUP(F13*(1+$B$8),0)</f>
        <v>294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>
      <c r="A17" s="2" t="s">
        <v>112</v>
      </c>
      <c r="B17" s="29">
        <f>B16</f>
        <v>47</v>
      </c>
      <c r="C17" s="29">
        <f>MAX(0,C16-B16)</f>
        <v>121</v>
      </c>
      <c r="D17" s="29">
        <f>MAX(0,D16-C16)</f>
        <v>126</v>
      </c>
      <c r="E17" s="29">
        <f>MAX(0,E16-D16)</f>
        <v>0</v>
      </c>
      <c r="F17" s="29">
        <f>MAX(0,F16-E16)</f>
        <v>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>
      <c r="A18" s="2" t="s">
        <v>113</v>
      </c>
      <c r="B18" s="29">
        <f>ROUND(B13*365*$B$7,0)</f>
        <v>15257</v>
      </c>
      <c r="C18" s="29">
        <f>ROUND(C13*365*$B$7,0)</f>
        <v>55480</v>
      </c>
      <c r="D18" s="29">
        <f>ROUND(D13*365*$B$7,0)</f>
        <v>97090</v>
      </c>
      <c r="E18" s="29">
        <f>ROUND(E13*365*$B$7,0)</f>
        <v>97090</v>
      </c>
      <c r="F18" s="29">
        <f>ROUND(F13*365*$B$7,0)</f>
        <v>97090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" customHeight="1">
      <c r="A19" s="2" t="s">
        <v>114</v>
      </c>
      <c r="B19" s="30">
        <v>1</v>
      </c>
      <c r="C19" s="30">
        <v>1</v>
      </c>
      <c r="D19" s="30">
        <v>1</v>
      </c>
      <c r="E19" s="30">
        <v>0</v>
      </c>
      <c r="F19" s="30">
        <v>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s="15" customForma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6" s="15" customForma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6" s="15" customForma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6" s="15" customForma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6" s="15" customForma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6" s="15" customForma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26" s="15" customForma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6" s="15" customForma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6" s="15" customForma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6" s="15" customForma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26" s="15" customForma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6" s="15" customForma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6" s="15" customForma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15" customForma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5" customForma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15" customForma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15" customForma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15" customForma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15" customForma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15" customForma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15" customForma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15" customForma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15" customForma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15" customForma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15" customForma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15" customForma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15" customForma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15" customForma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15" customForma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15" customForma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15" customForma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15" customForma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15" customForma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15" customForma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15" customForma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15" customForma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15" customForma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15" customForma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15" customForma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15" customForma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15" customForma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15" customForma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15" customForma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s="15" customForma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s="15" customForma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15" customForma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s="15" customForma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s="15" customForma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s="15" customForma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s="15" customForma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15" customForma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s="15" customForma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s="15" customForma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15" customForma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s="15" customForma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s="15" customForma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s="15" customForma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s="15" customForma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s="15" customForma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s="15" customForma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s="15" customForma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</sheetData>
  <mergeCells count="4">
    <mergeCell ref="A1:P1"/>
    <mergeCell ref="A2:P2"/>
    <mergeCell ref="Q2:Z2"/>
    <mergeCell ref="Q1: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opLeftCell="D1" workbookViewId="0">
      <selection activeCell="J3" sqref="J3"/>
    </sheetView>
  </sheetViews>
  <sheetFormatPr defaultRowHeight="14.25"/>
  <cols>
    <col min="1" max="1" width="10" customWidth="1"/>
    <col min="2" max="2" width="32" customWidth="1"/>
    <col min="3" max="3" width="48" customWidth="1"/>
    <col min="4" max="9" width="14" customWidth="1"/>
    <col min="10" max="14" width="18" customWidth="1"/>
    <col min="15" max="16" width="30" customWidth="1"/>
    <col min="17" max="26" width="9" style="15"/>
  </cols>
  <sheetData>
    <row r="1" spans="1:16" ht="27.95" customHeight="1">
      <c r="A1" s="64" t="s">
        <v>115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6" customHeight="1">
      <c r="A2" s="65" t="s">
        <v>116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15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6" customHeight="1">
      <c r="A4" s="16" t="s">
        <v>117</v>
      </c>
      <c r="B4" s="16" t="s">
        <v>118</v>
      </c>
      <c r="C4" s="16" t="s">
        <v>119</v>
      </c>
      <c r="D4" s="16" t="s">
        <v>120</v>
      </c>
      <c r="E4" s="16" t="s">
        <v>121</v>
      </c>
      <c r="F4" s="16" t="s">
        <v>122</v>
      </c>
      <c r="G4" s="16" t="s">
        <v>123</v>
      </c>
      <c r="H4" s="16" t="s">
        <v>106</v>
      </c>
      <c r="I4" s="16" t="s">
        <v>107</v>
      </c>
      <c r="J4" s="16" t="s">
        <v>124</v>
      </c>
      <c r="K4" s="16" t="s">
        <v>125</v>
      </c>
      <c r="L4" s="16" t="s">
        <v>126</v>
      </c>
      <c r="M4" s="16" t="s">
        <v>127</v>
      </c>
      <c r="N4" s="16" t="s">
        <v>128</v>
      </c>
      <c r="O4" s="16" t="s">
        <v>129</v>
      </c>
      <c r="P4" s="16" t="s">
        <v>130</v>
      </c>
    </row>
    <row r="5" spans="1:16" ht="25.5">
      <c r="A5" s="50" t="s">
        <v>131</v>
      </c>
      <c r="B5" s="34" t="s">
        <v>132</v>
      </c>
      <c r="C5" s="34" t="s">
        <v>133</v>
      </c>
      <c r="D5" s="34" t="s">
        <v>134</v>
      </c>
      <c r="E5" s="6">
        <f>Uitgangspunten!B17</f>
        <v>47</v>
      </c>
      <c r="F5" s="6">
        <f>Uitgangspunten!C17</f>
        <v>121</v>
      </c>
      <c r="G5" s="6">
        <f>Uitgangspunten!D17</f>
        <v>126</v>
      </c>
      <c r="H5" s="6">
        <f>Uitgangspunten!E17</f>
        <v>0</v>
      </c>
      <c r="I5" s="6">
        <f>Uitgangspunten!F17</f>
        <v>0</v>
      </c>
      <c r="J5" s="54">
        <v>0</v>
      </c>
      <c r="K5" s="8">
        <v>0</v>
      </c>
      <c r="L5" s="9">
        <f>IF(J5="","",J5*(1-K5))</f>
        <v>0</v>
      </c>
      <c r="M5" s="9">
        <f>SUM(E5:G5)*N(L5)</f>
        <v>0</v>
      </c>
      <c r="N5" s="9">
        <f>(H5+I5)*N(L5)</f>
        <v>0</v>
      </c>
      <c r="O5" s="10"/>
      <c r="P5" s="10"/>
    </row>
    <row r="6" spans="1:16" ht="25.5">
      <c r="A6" s="46" t="s">
        <v>135</v>
      </c>
      <c r="B6" s="5" t="s">
        <v>136</v>
      </c>
      <c r="C6" s="5" t="s">
        <v>137</v>
      </c>
      <c r="D6" s="5" t="s">
        <v>138</v>
      </c>
      <c r="E6" s="6">
        <f>Uitgangspunten!B14</f>
        <v>1</v>
      </c>
      <c r="F6" s="6">
        <f>MAX(0,Uitgangspunten!C14-Uitgangspunten!B14)</f>
        <v>2</v>
      </c>
      <c r="G6" s="6">
        <f>MAX(0,Uitgangspunten!D14-Uitgangspunten!C14)</f>
        <v>4</v>
      </c>
      <c r="H6" s="6">
        <f>MAX(0,Uitgangspunten!E14-Uitgangspunten!D14)</f>
        <v>0</v>
      </c>
      <c r="I6" s="6">
        <f>MAX(0,Uitgangspunten!F14-Uitgangspunten!E14)</f>
        <v>0</v>
      </c>
      <c r="J6" s="54">
        <v>0</v>
      </c>
      <c r="K6" s="8">
        <v>0</v>
      </c>
      <c r="L6" s="9">
        <f t="shared" ref="L6:L11" si="0">IF(J6="","",J6*(1-K6))</f>
        <v>0</v>
      </c>
      <c r="M6" s="9">
        <f>SUM(E6:G6)*N(L6)</f>
        <v>0</v>
      </c>
      <c r="N6" s="9">
        <f t="shared" ref="N6:N11" si="1">(H6+I6)*N(L6)</f>
        <v>0</v>
      </c>
      <c r="O6" s="10"/>
      <c r="P6" s="10"/>
    </row>
    <row r="7" spans="1:16">
      <c r="A7" s="50" t="s">
        <v>139</v>
      </c>
      <c r="B7" s="34" t="s">
        <v>140</v>
      </c>
      <c r="C7" s="34" t="s">
        <v>141</v>
      </c>
      <c r="D7" s="34" t="s">
        <v>142</v>
      </c>
      <c r="E7" s="6">
        <v>2</v>
      </c>
      <c r="F7" s="6">
        <v>1</v>
      </c>
      <c r="G7" s="6">
        <v>1</v>
      </c>
      <c r="H7" s="6">
        <v>2</v>
      </c>
      <c r="I7" s="6">
        <v>0</v>
      </c>
      <c r="J7" s="54">
        <v>0</v>
      </c>
      <c r="K7" s="8">
        <v>0</v>
      </c>
      <c r="L7" s="9">
        <f t="shared" si="0"/>
        <v>0</v>
      </c>
      <c r="M7" s="9">
        <f t="shared" ref="M7:M11" si="2">SUM(E7:G7)*N(L7)</f>
        <v>0</v>
      </c>
      <c r="N7" s="9">
        <f t="shared" si="1"/>
        <v>0</v>
      </c>
      <c r="O7" s="10"/>
      <c r="P7" s="10"/>
    </row>
    <row r="8" spans="1:16" ht="25.5">
      <c r="A8" s="46" t="s">
        <v>143</v>
      </c>
      <c r="B8" s="5" t="s">
        <v>144</v>
      </c>
      <c r="C8" s="5" t="s">
        <v>145</v>
      </c>
      <c r="D8" s="5" t="s">
        <v>146</v>
      </c>
      <c r="E8" s="6">
        <f>ROUNDUP(Uitgangspunten!B16/20,0)</f>
        <v>3</v>
      </c>
      <c r="F8" s="6">
        <f>MAX(0,ROUNDUP(Uitgangspunten!C16/20,0)-ROUNDUP(Uitgangspunten!B16/20,0))</f>
        <v>6</v>
      </c>
      <c r="G8" s="6">
        <f>MAX(0,ROUNDUP(Uitgangspunten!D16/20,0)-ROUNDUP(Uitgangspunten!C16/20,0))</f>
        <v>6</v>
      </c>
      <c r="H8" s="6">
        <f>MAX(0,ROUNDUP(Uitgangspunten!E16/20,0)-ROUNDUP(Uitgangspunten!D16/20,0))</f>
        <v>0</v>
      </c>
      <c r="I8" s="6">
        <f>MAX(0,ROUNDUP(Uitgangspunten!F16/20,0)-ROUNDUP(Uitgangspunten!E16/20,0))</f>
        <v>0</v>
      </c>
      <c r="J8" s="54">
        <v>0</v>
      </c>
      <c r="K8" s="8">
        <v>0</v>
      </c>
      <c r="L8" s="9">
        <f t="shared" si="0"/>
        <v>0</v>
      </c>
      <c r="M8" s="9">
        <f t="shared" si="2"/>
        <v>0</v>
      </c>
      <c r="N8" s="9">
        <f t="shared" si="1"/>
        <v>0</v>
      </c>
      <c r="O8" s="10"/>
      <c r="P8" s="10"/>
    </row>
    <row r="9" spans="1:16" ht="25.5">
      <c r="A9" s="50" t="s">
        <v>147</v>
      </c>
      <c r="B9" s="34" t="s">
        <v>148</v>
      </c>
      <c r="C9" s="34" t="s">
        <v>149</v>
      </c>
      <c r="D9" s="34" t="s">
        <v>134</v>
      </c>
      <c r="E9" s="6">
        <f>Uitgangspunten!B17</f>
        <v>47</v>
      </c>
      <c r="F9" s="6">
        <f>Uitgangspunten!C17</f>
        <v>121</v>
      </c>
      <c r="G9" s="6">
        <f>Uitgangspunten!D17</f>
        <v>126</v>
      </c>
      <c r="H9" s="6">
        <f>Uitgangspunten!E17</f>
        <v>0</v>
      </c>
      <c r="I9" s="6">
        <f>Uitgangspunten!F17</f>
        <v>0</v>
      </c>
      <c r="J9" s="54">
        <v>0</v>
      </c>
      <c r="K9" s="8">
        <v>0</v>
      </c>
      <c r="L9" s="9">
        <f t="shared" si="0"/>
        <v>0</v>
      </c>
      <c r="M9" s="9">
        <f t="shared" si="2"/>
        <v>0</v>
      </c>
      <c r="N9" s="9">
        <f t="shared" si="1"/>
        <v>0</v>
      </c>
      <c r="O9" s="10"/>
      <c r="P9" s="10"/>
    </row>
    <row r="10" spans="1:16" ht="25.5">
      <c r="A10" s="46" t="s">
        <v>150</v>
      </c>
      <c r="B10" s="5" t="s">
        <v>151</v>
      </c>
      <c r="C10" s="5" t="s">
        <v>152</v>
      </c>
      <c r="D10" s="5" t="s">
        <v>153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54">
        <v>0</v>
      </c>
      <c r="K10" s="8">
        <v>0</v>
      </c>
      <c r="L10" s="9">
        <f t="shared" si="0"/>
        <v>0</v>
      </c>
      <c r="M10" s="9">
        <f t="shared" si="2"/>
        <v>0</v>
      </c>
      <c r="N10" s="9">
        <f t="shared" si="1"/>
        <v>0</v>
      </c>
      <c r="O10" s="10"/>
      <c r="P10" s="10"/>
    </row>
    <row r="11" spans="1:16" ht="25.5">
      <c r="A11" s="50" t="s">
        <v>154</v>
      </c>
      <c r="B11" s="34" t="s">
        <v>155</v>
      </c>
      <c r="C11" s="34" t="s">
        <v>156</v>
      </c>
      <c r="D11" s="34" t="s">
        <v>157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54">
        <v>0</v>
      </c>
      <c r="K11" s="8">
        <v>0</v>
      </c>
      <c r="L11" s="9">
        <f t="shared" si="0"/>
        <v>0</v>
      </c>
      <c r="M11" s="9">
        <f t="shared" si="2"/>
        <v>0</v>
      </c>
      <c r="N11" s="9">
        <f t="shared" si="1"/>
        <v>0</v>
      </c>
      <c r="O11" s="10"/>
      <c r="P11" s="10"/>
    </row>
    <row r="12" spans="1:16">
      <c r="A12" s="4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9"/>
      <c r="M12" s="9">
        <f>SUM(E12:G12)*N(L12)</f>
        <v>0</v>
      </c>
      <c r="N12" s="9">
        <f>(H12+I12)*N(L12)</f>
        <v>0</v>
      </c>
      <c r="O12" s="33"/>
      <c r="P12" s="33"/>
    </row>
    <row r="13" spans="1:16" ht="25.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9" t="s">
        <v>158</v>
      </c>
      <c r="M13" s="57">
        <f>SUM(M5:M12)</f>
        <v>0</v>
      </c>
      <c r="N13" s="9"/>
      <c r="O13" s="33"/>
      <c r="P13" s="33"/>
    </row>
    <row r="14" spans="1:16" ht="25.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9" t="s">
        <v>159</v>
      </c>
      <c r="M14" s="9"/>
      <c r="N14" s="57">
        <f>SUM(N5:N12)</f>
        <v>0</v>
      </c>
      <c r="O14" s="33"/>
      <c r="P14" s="33"/>
    </row>
    <row r="15" spans="1:1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14"/>
      <c r="M80" s="14"/>
      <c r="N80" s="14"/>
      <c r="O80" s="3"/>
      <c r="P80" s="3"/>
    </row>
  </sheetData>
  <mergeCells count="2">
    <mergeCell ref="A1:P1"/>
    <mergeCell ref="A2:P2"/>
  </mergeCells>
  <pageMargins left="0.7" right="0.7" top="0.75" bottom="0.75" header="0.3" footer="0.3"/>
  <ignoredErrors>
    <ignoredError sqref="M10:M11 M7" formulaRange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opLeftCell="E3" workbookViewId="0">
      <selection activeCell="G4" sqref="G4"/>
    </sheetView>
  </sheetViews>
  <sheetFormatPr defaultRowHeight="14.25"/>
  <cols>
    <col min="1" max="1" width="10" customWidth="1"/>
    <col min="2" max="2" width="34" customWidth="1"/>
    <col min="3" max="3" width="56" customWidth="1"/>
    <col min="4" max="5" width="12" customWidth="1"/>
    <col min="6" max="9" width="18" customWidth="1"/>
    <col min="10" max="10" width="16" customWidth="1"/>
    <col min="11" max="12" width="35" customWidth="1"/>
    <col min="17" max="26" width="9" style="15"/>
  </cols>
  <sheetData>
    <row r="1" spans="1:16" ht="27.95" customHeight="1">
      <c r="A1" s="64" t="s">
        <v>160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6" customHeight="1">
      <c r="A2" s="65" t="s">
        <v>161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15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6" customHeight="1">
      <c r="A4" s="16" t="s">
        <v>117</v>
      </c>
      <c r="B4" s="16" t="s">
        <v>118</v>
      </c>
      <c r="C4" s="16" t="s">
        <v>119</v>
      </c>
      <c r="D4" s="16" t="s">
        <v>120</v>
      </c>
      <c r="E4" s="16" t="s">
        <v>162</v>
      </c>
      <c r="F4" s="16" t="s">
        <v>124</v>
      </c>
      <c r="G4" s="16" t="s">
        <v>125</v>
      </c>
      <c r="H4" s="16" t="s">
        <v>126</v>
      </c>
      <c r="I4" s="16" t="s">
        <v>127</v>
      </c>
      <c r="J4" s="16" t="s">
        <v>163</v>
      </c>
      <c r="K4" s="16" t="s">
        <v>164</v>
      </c>
      <c r="L4" s="16" t="s">
        <v>130</v>
      </c>
      <c r="M4" s="14"/>
      <c r="N4" s="14"/>
      <c r="O4" s="14"/>
      <c r="P4" s="14"/>
    </row>
    <row r="5" spans="1:16" ht="25.5">
      <c r="A5" s="50" t="s">
        <v>165</v>
      </c>
      <c r="B5" s="34" t="s">
        <v>166</v>
      </c>
      <c r="C5" s="34" t="s">
        <v>167</v>
      </c>
      <c r="D5" s="34" t="s">
        <v>157</v>
      </c>
      <c r="E5" s="34">
        <v>1</v>
      </c>
      <c r="F5" s="7">
        <v>0</v>
      </c>
      <c r="G5" s="8">
        <v>0</v>
      </c>
      <c r="H5" s="9">
        <f t="shared" ref="H5:H16" si="0">IF(F5="","",F5*(1-G5))</f>
        <v>0</v>
      </c>
      <c r="I5" s="9">
        <f t="shared" ref="I5:I16" si="1">IF(J5="Ja",E5*N(H5),0)</f>
        <v>0</v>
      </c>
      <c r="J5" s="34" t="s">
        <v>168</v>
      </c>
      <c r="K5" s="10"/>
      <c r="L5" s="10"/>
      <c r="M5" s="14"/>
      <c r="N5" s="14"/>
      <c r="O5" s="14"/>
      <c r="P5" s="14"/>
    </row>
    <row r="6" spans="1:16" ht="25.5">
      <c r="A6" s="46" t="s">
        <v>169</v>
      </c>
      <c r="B6" s="5" t="s">
        <v>170</v>
      </c>
      <c r="C6" s="5" t="s">
        <v>171</v>
      </c>
      <c r="D6" s="5" t="s">
        <v>157</v>
      </c>
      <c r="E6" s="5">
        <v>1</v>
      </c>
      <c r="F6" s="7">
        <v>0</v>
      </c>
      <c r="G6" s="8">
        <v>0</v>
      </c>
      <c r="H6" s="9">
        <f t="shared" si="0"/>
        <v>0</v>
      </c>
      <c r="I6" s="9">
        <f t="shared" si="1"/>
        <v>0</v>
      </c>
      <c r="J6" s="5" t="s">
        <v>168</v>
      </c>
      <c r="K6" s="10"/>
      <c r="L6" s="10"/>
      <c r="M6" s="14"/>
      <c r="N6" s="14"/>
      <c r="O6" s="14"/>
      <c r="P6" s="14"/>
    </row>
    <row r="7" spans="1:16" ht="25.5">
      <c r="A7" s="50" t="s">
        <v>172</v>
      </c>
      <c r="B7" s="34" t="s">
        <v>173</v>
      </c>
      <c r="C7" s="34" t="s">
        <v>174</v>
      </c>
      <c r="D7" s="34" t="s">
        <v>157</v>
      </c>
      <c r="E7" s="34">
        <v>1</v>
      </c>
      <c r="F7" s="7">
        <v>0</v>
      </c>
      <c r="G7" s="8">
        <v>0</v>
      </c>
      <c r="H7" s="9">
        <f t="shared" si="0"/>
        <v>0</v>
      </c>
      <c r="I7" s="9">
        <f t="shared" si="1"/>
        <v>0</v>
      </c>
      <c r="J7" s="34" t="s">
        <v>168</v>
      </c>
      <c r="K7" s="10"/>
      <c r="L7" s="10"/>
      <c r="M7" s="14"/>
      <c r="N7" s="14"/>
      <c r="O7" s="14"/>
      <c r="P7" s="14"/>
    </row>
    <row r="8" spans="1:16">
      <c r="A8" s="46" t="s">
        <v>175</v>
      </c>
      <c r="B8" s="5" t="s">
        <v>176</v>
      </c>
      <c r="C8" s="5" t="s">
        <v>177</v>
      </c>
      <c r="D8" s="5" t="s">
        <v>157</v>
      </c>
      <c r="E8" s="5">
        <v>1</v>
      </c>
      <c r="F8" s="7">
        <v>0</v>
      </c>
      <c r="G8" s="8">
        <v>0</v>
      </c>
      <c r="H8" s="9">
        <f t="shared" si="0"/>
        <v>0</v>
      </c>
      <c r="I8" s="9">
        <f t="shared" si="1"/>
        <v>0</v>
      </c>
      <c r="J8" s="5" t="s">
        <v>168</v>
      </c>
      <c r="K8" s="10"/>
      <c r="L8" s="10"/>
      <c r="M8" s="14"/>
      <c r="N8" s="14"/>
      <c r="O8" s="14"/>
      <c r="P8" s="14"/>
    </row>
    <row r="9" spans="1:16">
      <c r="A9" s="50" t="s">
        <v>178</v>
      </c>
      <c r="B9" s="34" t="s">
        <v>179</v>
      </c>
      <c r="C9" s="34" t="s">
        <v>180</v>
      </c>
      <c r="D9" s="34" t="s">
        <v>157</v>
      </c>
      <c r="E9" s="34">
        <v>1</v>
      </c>
      <c r="F9" s="7">
        <v>0</v>
      </c>
      <c r="G9" s="8">
        <v>0</v>
      </c>
      <c r="H9" s="9">
        <f t="shared" si="0"/>
        <v>0</v>
      </c>
      <c r="I9" s="9">
        <f t="shared" si="1"/>
        <v>0</v>
      </c>
      <c r="J9" s="34" t="s">
        <v>168</v>
      </c>
      <c r="K9" s="10"/>
      <c r="L9" s="10"/>
      <c r="M9" s="14"/>
      <c r="N9" s="14"/>
      <c r="O9" s="14"/>
      <c r="P9" s="14"/>
    </row>
    <row r="10" spans="1:16">
      <c r="A10" s="46" t="s">
        <v>181</v>
      </c>
      <c r="B10" s="5" t="s">
        <v>182</v>
      </c>
      <c r="C10" s="5" t="s">
        <v>183</v>
      </c>
      <c r="D10" s="5" t="s">
        <v>157</v>
      </c>
      <c r="E10" s="5">
        <v>1</v>
      </c>
      <c r="F10" s="7">
        <v>0</v>
      </c>
      <c r="G10" s="8">
        <v>0</v>
      </c>
      <c r="H10" s="9">
        <f t="shared" si="0"/>
        <v>0</v>
      </c>
      <c r="I10" s="9">
        <f t="shared" si="1"/>
        <v>0</v>
      </c>
      <c r="J10" s="5" t="s">
        <v>168</v>
      </c>
      <c r="K10" s="10"/>
      <c r="L10" s="10"/>
      <c r="M10" s="14"/>
      <c r="N10" s="14"/>
      <c r="O10" s="14"/>
      <c r="P10" s="14"/>
    </row>
    <row r="11" spans="1:16">
      <c r="A11" s="50" t="s">
        <v>184</v>
      </c>
      <c r="B11" s="34" t="s">
        <v>185</v>
      </c>
      <c r="C11" s="34" t="s">
        <v>186</v>
      </c>
      <c r="D11" s="34" t="s">
        <v>187</v>
      </c>
      <c r="E11" s="34">
        <v>1</v>
      </c>
      <c r="F11" s="7">
        <v>0</v>
      </c>
      <c r="G11" s="8">
        <v>0</v>
      </c>
      <c r="H11" s="9">
        <f t="shared" si="0"/>
        <v>0</v>
      </c>
      <c r="I11" s="9">
        <f t="shared" si="1"/>
        <v>0</v>
      </c>
      <c r="J11" s="34" t="s">
        <v>168</v>
      </c>
      <c r="K11" s="10"/>
      <c r="L11" s="10"/>
      <c r="M11" s="14"/>
      <c r="N11" s="14"/>
      <c r="O11" s="14"/>
      <c r="P11" s="14"/>
    </row>
    <row r="12" spans="1:16" ht="25.5">
      <c r="A12" s="46" t="s">
        <v>188</v>
      </c>
      <c r="B12" s="5" t="s">
        <v>189</v>
      </c>
      <c r="C12" s="5" t="s">
        <v>190</v>
      </c>
      <c r="D12" s="5" t="s">
        <v>187</v>
      </c>
      <c r="E12" s="5">
        <v>1</v>
      </c>
      <c r="F12" s="7">
        <v>0</v>
      </c>
      <c r="G12" s="8">
        <v>0</v>
      </c>
      <c r="H12" s="9">
        <f t="shared" si="0"/>
        <v>0</v>
      </c>
      <c r="I12" s="9">
        <f t="shared" si="1"/>
        <v>0</v>
      </c>
      <c r="J12" s="5" t="s">
        <v>168</v>
      </c>
      <c r="K12" s="10"/>
      <c r="L12" s="10"/>
      <c r="M12" s="14"/>
      <c r="N12" s="14"/>
      <c r="O12" s="14"/>
      <c r="P12" s="14"/>
    </row>
    <row r="13" spans="1:16">
      <c r="A13" s="50" t="s">
        <v>191</v>
      </c>
      <c r="B13" s="34" t="s">
        <v>192</v>
      </c>
      <c r="C13" s="34" t="s">
        <v>193</v>
      </c>
      <c r="D13" s="34" t="s">
        <v>157</v>
      </c>
      <c r="E13" s="34">
        <v>1</v>
      </c>
      <c r="F13" s="7">
        <v>0</v>
      </c>
      <c r="G13" s="8">
        <v>0</v>
      </c>
      <c r="H13" s="9">
        <f t="shared" si="0"/>
        <v>0</v>
      </c>
      <c r="I13" s="9">
        <f t="shared" si="1"/>
        <v>0</v>
      </c>
      <c r="J13" s="34" t="s">
        <v>168</v>
      </c>
      <c r="K13" s="10"/>
      <c r="L13" s="10"/>
      <c r="M13" s="14"/>
      <c r="N13" s="14"/>
      <c r="O13" s="14"/>
      <c r="P13" s="14"/>
    </row>
    <row r="14" spans="1:16" ht="25.5">
      <c r="A14" s="46" t="s">
        <v>194</v>
      </c>
      <c r="B14" s="5" t="s">
        <v>195</v>
      </c>
      <c r="C14" s="5" t="s">
        <v>196</v>
      </c>
      <c r="D14" s="5" t="s">
        <v>157</v>
      </c>
      <c r="E14" s="5">
        <v>1</v>
      </c>
      <c r="F14" s="7">
        <v>0</v>
      </c>
      <c r="G14" s="8">
        <v>0</v>
      </c>
      <c r="H14" s="9">
        <f t="shared" si="0"/>
        <v>0</v>
      </c>
      <c r="I14" s="9">
        <f t="shared" si="1"/>
        <v>0</v>
      </c>
      <c r="J14" s="5" t="s">
        <v>168</v>
      </c>
      <c r="K14" s="10"/>
      <c r="L14" s="10"/>
      <c r="M14" s="14"/>
      <c r="N14" s="14"/>
      <c r="O14" s="14"/>
      <c r="P14" s="14"/>
    </row>
    <row r="15" spans="1:16">
      <c r="A15" s="50" t="s">
        <v>197</v>
      </c>
      <c r="B15" s="34" t="s">
        <v>198</v>
      </c>
      <c r="C15" s="34" t="s">
        <v>199</v>
      </c>
      <c r="D15" s="34" t="s">
        <v>157</v>
      </c>
      <c r="E15" s="34">
        <v>1</v>
      </c>
      <c r="F15" s="7">
        <v>0</v>
      </c>
      <c r="G15" s="8">
        <v>0</v>
      </c>
      <c r="H15" s="9">
        <f t="shared" si="0"/>
        <v>0</v>
      </c>
      <c r="I15" s="9">
        <f t="shared" si="1"/>
        <v>0</v>
      </c>
      <c r="J15" s="34" t="s">
        <v>168</v>
      </c>
      <c r="K15" s="10"/>
      <c r="L15" s="10"/>
      <c r="M15" s="14"/>
      <c r="N15" s="14"/>
      <c r="O15" s="14"/>
      <c r="P15" s="14"/>
    </row>
    <row r="16" spans="1:16">
      <c r="A16" s="46" t="s">
        <v>200</v>
      </c>
      <c r="B16" s="5" t="s">
        <v>201</v>
      </c>
      <c r="C16" s="5" t="s">
        <v>202</v>
      </c>
      <c r="D16" s="5" t="s">
        <v>203</v>
      </c>
      <c r="E16" s="10">
        <v>1</v>
      </c>
      <c r="F16" s="7">
        <v>0</v>
      </c>
      <c r="G16" s="8">
        <v>0</v>
      </c>
      <c r="H16" s="9">
        <f t="shared" si="0"/>
        <v>0</v>
      </c>
      <c r="I16" s="9">
        <f t="shared" si="1"/>
        <v>0</v>
      </c>
      <c r="J16" s="5" t="s">
        <v>168</v>
      </c>
      <c r="K16" s="10"/>
      <c r="L16" s="10"/>
      <c r="M16" s="14"/>
      <c r="N16" s="14"/>
      <c r="O16" s="14"/>
      <c r="P16" s="14"/>
    </row>
    <row r="17" spans="1:16">
      <c r="A17" s="33"/>
      <c r="B17" s="33"/>
      <c r="C17" s="33"/>
      <c r="D17" s="33"/>
      <c r="E17" s="33"/>
      <c r="F17" s="33"/>
      <c r="G17" s="33"/>
      <c r="H17" s="9"/>
      <c r="I17" s="9"/>
      <c r="J17" s="33"/>
      <c r="K17" s="33"/>
      <c r="L17" s="33"/>
      <c r="M17" s="14"/>
      <c r="N17" s="14"/>
      <c r="O17" s="14"/>
      <c r="P17" s="14"/>
    </row>
    <row r="18" spans="1:16" ht="38.25">
      <c r="A18" s="33"/>
      <c r="B18" s="33"/>
      <c r="C18" s="33"/>
      <c r="D18" s="33"/>
      <c r="E18" s="33"/>
      <c r="F18" s="33"/>
      <c r="G18" s="33"/>
      <c r="H18" s="9" t="s">
        <v>204</v>
      </c>
      <c r="I18" s="9">
        <f>SUM(I5:I16)</f>
        <v>0</v>
      </c>
      <c r="J18" s="33"/>
      <c r="K18" s="33"/>
      <c r="L18" s="33"/>
      <c r="M18" s="14"/>
      <c r="N18" s="14"/>
      <c r="O18" s="14"/>
      <c r="P18" s="14"/>
    </row>
    <row r="19" spans="1:16" ht="25.5">
      <c r="A19" s="33"/>
      <c r="B19" s="33"/>
      <c r="C19" s="33"/>
      <c r="D19" s="33"/>
      <c r="E19" s="33"/>
      <c r="F19" s="33"/>
      <c r="G19" s="33"/>
      <c r="H19" s="9" t="s">
        <v>205</v>
      </c>
      <c r="I19" s="9">
        <f>SUMPRODUCT((J5:J16="Nee")*E5:E16*N(H5:H16))</f>
        <v>0</v>
      </c>
      <c r="J19" s="33"/>
      <c r="K19" s="33"/>
      <c r="L19" s="33"/>
      <c r="M19" s="14"/>
      <c r="N19" s="14"/>
      <c r="O19" s="14"/>
      <c r="P19" s="14"/>
    </row>
    <row r="20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>
      <c r="A76" s="14"/>
      <c r="B76" s="14"/>
      <c r="C76" s="14"/>
      <c r="D76" s="14"/>
      <c r="E76" s="14"/>
      <c r="F76" s="14"/>
      <c r="G76" s="14"/>
      <c r="H76" s="14"/>
      <c r="I76" s="14"/>
      <c r="J76" s="3"/>
      <c r="K76" s="3"/>
      <c r="L76" s="3"/>
      <c r="M76" s="3"/>
      <c r="N76" s="3"/>
      <c r="O76" s="3"/>
      <c r="P76" s="3"/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</sheetData>
  <mergeCells count="2">
    <mergeCell ref="A1:P1"/>
    <mergeCell ref="A2:P2"/>
  </mergeCells>
  <dataValidations count="1">
    <dataValidation type="list" sqref="J5:J16">
      <formula1>"Ja,Nee"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0"/>
  <sheetViews>
    <sheetView topLeftCell="A4" workbookViewId="0">
      <selection activeCell="C22" sqref="C22"/>
    </sheetView>
  </sheetViews>
  <sheetFormatPr defaultRowHeight="14.25"/>
  <cols>
    <col min="1" max="1" width="10" customWidth="1"/>
    <col min="2" max="2" width="34" customWidth="1"/>
    <col min="3" max="3" width="54" customWidth="1"/>
    <col min="4" max="16" width="16" customWidth="1"/>
    <col min="17" max="17" width="16.125" customWidth="1"/>
    <col min="18" max="18" width="35" customWidth="1"/>
    <col min="19" max="28" width="9" style="15"/>
  </cols>
  <sheetData>
    <row r="1" spans="1:18" ht="27.95" customHeight="1">
      <c r="A1" s="64" t="s">
        <v>206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36" customHeight="1">
      <c r="A2" s="65" t="s">
        <v>207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s="15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36" customHeight="1">
      <c r="A4" s="16" t="s">
        <v>117</v>
      </c>
      <c r="B4" s="16" t="s">
        <v>118</v>
      </c>
      <c r="C4" s="16" t="s">
        <v>208</v>
      </c>
      <c r="D4" s="16" t="s">
        <v>120</v>
      </c>
      <c r="E4" s="16" t="s">
        <v>209</v>
      </c>
      <c r="F4" s="16" t="s">
        <v>121</v>
      </c>
      <c r="G4" s="16" t="s">
        <v>210</v>
      </c>
      <c r="H4" s="16" t="s">
        <v>122</v>
      </c>
      <c r="I4" s="16" t="s">
        <v>211</v>
      </c>
      <c r="J4" s="16" t="s">
        <v>123</v>
      </c>
      <c r="K4" s="16" t="s">
        <v>212</v>
      </c>
      <c r="L4" s="16" t="s">
        <v>127</v>
      </c>
      <c r="M4" s="16" t="s">
        <v>213</v>
      </c>
      <c r="N4" s="16" t="s">
        <v>214</v>
      </c>
      <c r="O4" s="16" t="s">
        <v>215</v>
      </c>
      <c r="P4" s="16" t="s">
        <v>216</v>
      </c>
      <c r="Q4" s="16" t="s">
        <v>217</v>
      </c>
      <c r="R4" s="16" t="s">
        <v>130</v>
      </c>
    </row>
    <row r="5" spans="1:18" ht="25.5">
      <c r="A5" s="50" t="s">
        <v>218</v>
      </c>
      <c r="B5" s="34" t="s">
        <v>219</v>
      </c>
      <c r="C5" s="34" t="s">
        <v>220</v>
      </c>
      <c r="D5" s="50" t="s">
        <v>221</v>
      </c>
      <c r="E5" s="50" t="s">
        <v>222</v>
      </c>
      <c r="F5" s="51">
        <v>1</v>
      </c>
      <c r="G5" s="7">
        <v>0</v>
      </c>
      <c r="H5" s="6">
        <v>1</v>
      </c>
      <c r="I5" s="7">
        <v>0</v>
      </c>
      <c r="J5" s="6">
        <v>1</v>
      </c>
      <c r="K5" s="7">
        <v>0</v>
      </c>
      <c r="L5" s="9">
        <f t="shared" ref="L5:L14" si="0">SUM(F5*N(G5),H5*N(I5),J5*N(K5))</f>
        <v>0</v>
      </c>
      <c r="M5" s="6">
        <v>1</v>
      </c>
      <c r="N5" s="54">
        <v>0</v>
      </c>
      <c r="O5" s="6">
        <f>Uitgangspunten!F14</f>
        <v>7</v>
      </c>
      <c r="P5" s="54">
        <v>0</v>
      </c>
      <c r="Q5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5" s="10"/>
    </row>
    <row r="6" spans="1:18">
      <c r="A6" s="46" t="s">
        <v>223</v>
      </c>
      <c r="B6" s="5" t="s">
        <v>224</v>
      </c>
      <c r="C6" s="5" t="s">
        <v>225</v>
      </c>
      <c r="D6" s="46" t="s">
        <v>226</v>
      </c>
      <c r="E6" s="46" t="s">
        <v>227</v>
      </c>
      <c r="F6" s="51">
        <f>Uitgangspunten!B13</f>
        <v>44</v>
      </c>
      <c r="G6" s="7">
        <v>0</v>
      </c>
      <c r="H6" s="6">
        <f>Uitgangspunten!C13</f>
        <v>160</v>
      </c>
      <c r="I6" s="7">
        <v>0</v>
      </c>
      <c r="J6" s="6">
        <f>Uitgangspunten!D13</f>
        <v>280</v>
      </c>
      <c r="K6" s="7">
        <v>0</v>
      </c>
      <c r="L6" s="9">
        <f t="shared" si="0"/>
        <v>0</v>
      </c>
      <c r="M6" s="6">
        <f>Uitgangspunten!E13</f>
        <v>280</v>
      </c>
      <c r="N6" s="54">
        <v>0</v>
      </c>
      <c r="O6" s="6">
        <f>Uitgangspunten!F13</f>
        <v>280</v>
      </c>
      <c r="P6" s="54">
        <v>0</v>
      </c>
      <c r="Q6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6" s="10"/>
    </row>
    <row r="7" spans="1:18">
      <c r="A7" s="50" t="s">
        <v>228</v>
      </c>
      <c r="B7" s="34" t="s">
        <v>229</v>
      </c>
      <c r="C7" s="34" t="s">
        <v>230</v>
      </c>
      <c r="D7" s="50" t="s">
        <v>231</v>
      </c>
      <c r="E7" s="50" t="s">
        <v>232</v>
      </c>
      <c r="F7" s="51">
        <f>Uitgangspunten!B16</f>
        <v>47</v>
      </c>
      <c r="G7" s="7">
        <v>0</v>
      </c>
      <c r="H7" s="6">
        <f>Uitgangspunten!C16</f>
        <v>168</v>
      </c>
      <c r="I7" s="7">
        <v>0</v>
      </c>
      <c r="J7" s="6">
        <f>Uitgangspunten!D16</f>
        <v>294</v>
      </c>
      <c r="K7" s="7">
        <v>0</v>
      </c>
      <c r="L7" s="9">
        <f t="shared" si="0"/>
        <v>0</v>
      </c>
      <c r="M7" s="6">
        <f>Uitgangspunten!E16</f>
        <v>294</v>
      </c>
      <c r="N7" s="54">
        <v>0</v>
      </c>
      <c r="O7" s="6">
        <f>Uitgangspunten!F16</f>
        <v>294</v>
      </c>
      <c r="P7" s="54">
        <v>0</v>
      </c>
      <c r="Q7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7" s="10"/>
    </row>
    <row r="8" spans="1:18">
      <c r="A8" s="46" t="s">
        <v>233</v>
      </c>
      <c r="B8" s="5" t="s">
        <v>234</v>
      </c>
      <c r="C8" s="5" t="s">
        <v>235</v>
      </c>
      <c r="D8" s="46" t="s">
        <v>221</v>
      </c>
      <c r="E8" s="46" t="s">
        <v>222</v>
      </c>
      <c r="F8" s="51">
        <v>1</v>
      </c>
      <c r="G8" s="7">
        <v>0</v>
      </c>
      <c r="H8" s="6">
        <v>1</v>
      </c>
      <c r="I8" s="7">
        <v>0</v>
      </c>
      <c r="J8" s="6">
        <v>1</v>
      </c>
      <c r="K8" s="7">
        <v>0</v>
      </c>
      <c r="L8" s="9">
        <f t="shared" si="0"/>
        <v>0</v>
      </c>
      <c r="M8" s="6">
        <v>1</v>
      </c>
      <c r="N8" s="54">
        <v>0</v>
      </c>
      <c r="O8" s="6">
        <v>1</v>
      </c>
      <c r="P8" s="54">
        <v>0</v>
      </c>
      <c r="Q8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8" s="10"/>
    </row>
    <row r="9" spans="1:18" ht="25.5">
      <c r="A9" s="50" t="s">
        <v>236</v>
      </c>
      <c r="B9" s="34" t="s">
        <v>237</v>
      </c>
      <c r="C9" s="34" t="s">
        <v>238</v>
      </c>
      <c r="D9" s="50" t="s">
        <v>231</v>
      </c>
      <c r="E9" s="50" t="s">
        <v>232</v>
      </c>
      <c r="F9" s="51">
        <f>Uitgangspunten!B16</f>
        <v>47</v>
      </c>
      <c r="G9" s="7">
        <v>0</v>
      </c>
      <c r="H9" s="6">
        <f>Uitgangspunten!C16</f>
        <v>168</v>
      </c>
      <c r="I9" s="7">
        <v>0</v>
      </c>
      <c r="J9" s="6">
        <f>Uitgangspunten!D16</f>
        <v>294</v>
      </c>
      <c r="K9" s="7">
        <v>0</v>
      </c>
      <c r="L9" s="9">
        <f t="shared" si="0"/>
        <v>0</v>
      </c>
      <c r="M9" s="6">
        <f>Uitgangspunten!E16</f>
        <v>294</v>
      </c>
      <c r="N9" s="54">
        <v>0</v>
      </c>
      <c r="O9" s="6">
        <f>Uitgangspunten!F16</f>
        <v>294</v>
      </c>
      <c r="P9" s="54">
        <v>0</v>
      </c>
      <c r="Q9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9" s="10"/>
    </row>
    <row r="10" spans="1:18">
      <c r="A10" s="46" t="s">
        <v>239</v>
      </c>
      <c r="B10" s="5" t="s">
        <v>240</v>
      </c>
      <c r="C10" s="5" t="s">
        <v>241</v>
      </c>
      <c r="D10" s="46" t="s">
        <v>226</v>
      </c>
      <c r="E10" s="46" t="s">
        <v>227</v>
      </c>
      <c r="F10" s="51">
        <f>Uitgangspunten!B16</f>
        <v>47</v>
      </c>
      <c r="G10" s="7">
        <v>0</v>
      </c>
      <c r="H10" s="6">
        <f>Uitgangspunten!C16</f>
        <v>168</v>
      </c>
      <c r="I10" s="7">
        <v>0</v>
      </c>
      <c r="J10" s="6">
        <f>Uitgangspunten!D16</f>
        <v>294</v>
      </c>
      <c r="K10" s="7">
        <v>0</v>
      </c>
      <c r="L10" s="9">
        <f t="shared" si="0"/>
        <v>0</v>
      </c>
      <c r="M10" s="6">
        <f>Uitgangspunten!E16</f>
        <v>294</v>
      </c>
      <c r="N10" s="54">
        <v>0</v>
      </c>
      <c r="O10" s="6">
        <f>Uitgangspunten!F16</f>
        <v>294</v>
      </c>
      <c r="P10" s="54">
        <v>0</v>
      </c>
      <c r="Q10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10" s="10"/>
    </row>
    <row r="11" spans="1:18">
      <c r="A11" s="50" t="s">
        <v>242</v>
      </c>
      <c r="B11" s="34" t="s">
        <v>243</v>
      </c>
      <c r="C11" s="34" t="s">
        <v>244</v>
      </c>
      <c r="D11" s="50" t="s">
        <v>221</v>
      </c>
      <c r="E11" s="50" t="s">
        <v>222</v>
      </c>
      <c r="F11" s="51">
        <f>Uitgangspunten!B13</f>
        <v>44</v>
      </c>
      <c r="G11" s="7">
        <v>0</v>
      </c>
      <c r="H11" s="6">
        <f>Uitgangspunten!C13</f>
        <v>160</v>
      </c>
      <c r="I11" s="7">
        <v>0</v>
      </c>
      <c r="J11" s="6">
        <f>Uitgangspunten!D13</f>
        <v>280</v>
      </c>
      <c r="K11" s="7">
        <v>0</v>
      </c>
      <c r="L11" s="9">
        <f t="shared" si="0"/>
        <v>0</v>
      </c>
      <c r="M11" s="6">
        <f>Uitgangspunten!E13</f>
        <v>280</v>
      </c>
      <c r="N11" s="54">
        <v>0</v>
      </c>
      <c r="O11" s="6">
        <f>Uitgangspunten!F13</f>
        <v>280</v>
      </c>
      <c r="P11" s="54">
        <v>0</v>
      </c>
      <c r="Q11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11" s="10"/>
    </row>
    <row r="12" spans="1:18">
      <c r="A12" s="46" t="s">
        <v>245</v>
      </c>
      <c r="B12" s="5" t="s">
        <v>246</v>
      </c>
      <c r="C12" s="5" t="s">
        <v>247</v>
      </c>
      <c r="D12" s="46" t="s">
        <v>221</v>
      </c>
      <c r="E12" s="46" t="s">
        <v>222</v>
      </c>
      <c r="F12" s="51">
        <v>1</v>
      </c>
      <c r="G12" s="7">
        <v>0</v>
      </c>
      <c r="H12" s="6">
        <v>1</v>
      </c>
      <c r="I12" s="7">
        <v>0</v>
      </c>
      <c r="J12" s="6">
        <v>1</v>
      </c>
      <c r="K12" s="7">
        <v>0</v>
      </c>
      <c r="L12" s="9">
        <f t="shared" si="0"/>
        <v>0</v>
      </c>
      <c r="M12" s="6">
        <v>1</v>
      </c>
      <c r="N12" s="54">
        <v>0</v>
      </c>
      <c r="O12" s="6">
        <v>1</v>
      </c>
      <c r="P12" s="54">
        <v>0</v>
      </c>
      <c r="Q12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12" s="10"/>
    </row>
    <row r="13" spans="1:18" ht="25.5">
      <c r="A13" s="50" t="s">
        <v>248</v>
      </c>
      <c r="B13" s="34" t="s">
        <v>249</v>
      </c>
      <c r="C13" s="34" t="s">
        <v>250</v>
      </c>
      <c r="D13" s="50" t="s">
        <v>221</v>
      </c>
      <c r="E13" s="50" t="s">
        <v>222</v>
      </c>
      <c r="F13" s="51">
        <v>1</v>
      </c>
      <c r="G13" s="7">
        <v>0</v>
      </c>
      <c r="H13" s="6">
        <v>1</v>
      </c>
      <c r="I13" s="7">
        <v>0</v>
      </c>
      <c r="J13" s="6">
        <v>1</v>
      </c>
      <c r="K13" s="7">
        <v>0</v>
      </c>
      <c r="L13" s="9">
        <f t="shared" si="0"/>
        <v>0</v>
      </c>
      <c r="M13" s="6">
        <v>1</v>
      </c>
      <c r="N13" s="54">
        <v>0</v>
      </c>
      <c r="O13" s="6">
        <v>1</v>
      </c>
      <c r="P13" s="54">
        <v>0</v>
      </c>
      <c r="Q13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13" s="10"/>
    </row>
    <row r="14" spans="1:18">
      <c r="A14" s="46" t="s">
        <v>251</v>
      </c>
      <c r="B14" s="5" t="s">
        <v>252</v>
      </c>
      <c r="C14" s="5" t="s">
        <v>253</v>
      </c>
      <c r="D14" s="46" t="s">
        <v>221</v>
      </c>
      <c r="E14" s="46" t="s">
        <v>222</v>
      </c>
      <c r="F14" s="51">
        <v>1</v>
      </c>
      <c r="G14" s="7">
        <v>0</v>
      </c>
      <c r="H14" s="6">
        <v>1</v>
      </c>
      <c r="I14" s="7">
        <v>0</v>
      </c>
      <c r="J14" s="6">
        <v>1</v>
      </c>
      <c r="K14" s="7">
        <v>0</v>
      </c>
      <c r="L14" s="9">
        <f t="shared" si="0"/>
        <v>0</v>
      </c>
      <c r="M14" s="6">
        <v>1</v>
      </c>
      <c r="N14" s="54">
        <v>0</v>
      </c>
      <c r="O14" s="6">
        <v>1</v>
      </c>
      <c r="P14" s="54">
        <v>0</v>
      </c>
      <c r="Q14" s="53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14" s="10"/>
    </row>
    <row r="15" spans="1:18">
      <c r="A15" s="43"/>
      <c r="B15" s="33"/>
      <c r="C15" s="33"/>
      <c r="D15" s="43"/>
      <c r="E15" s="43"/>
      <c r="F15" s="43"/>
      <c r="G15" s="33"/>
      <c r="H15" s="33"/>
      <c r="I15" s="33"/>
      <c r="J15" s="33"/>
      <c r="K15" s="33"/>
      <c r="L15" s="58">
        <f>SUM(F15*N(G15),H15*N(I15),J15*N(K15))</f>
        <v>0</v>
      </c>
      <c r="M15" s="33"/>
      <c r="N15" s="59"/>
      <c r="O15" s="60">
        <f>Uitgangspunten!F24</f>
        <v>0</v>
      </c>
      <c r="P15" s="61"/>
      <c r="Q15" s="62">
        <f>SUM(TblLicentieOnderhoud[[#This Row],[Aantal optiejaar 1]]*TblLicentieOnderhoud[[#This Row],[Prijs optiejaar 1]]+TblLicentieOnderhoud[[#This Row],[Aantal optiejaar 2]]*TblLicentieOnderhoud[[#This Row],[Prijs optiejaar 2 ]])</f>
        <v>0</v>
      </c>
      <c r="R15" s="15"/>
    </row>
    <row r="16" spans="1:18" ht="25.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 t="s">
        <v>254</v>
      </c>
      <c r="L16" s="52">
        <f>SUM(L5:L15)</f>
        <v>0</v>
      </c>
      <c r="M16" s="33"/>
      <c r="N16" s="33"/>
      <c r="O16" s="33"/>
      <c r="P16" s="15"/>
      <c r="Q16" s="15"/>
      <c r="R16" s="15"/>
    </row>
    <row r="17" spans="1:18" ht="25.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 t="s">
        <v>255</v>
      </c>
      <c r="L17" s="33"/>
      <c r="M17" s="52">
        <f>SUM(TblLicentieOnderhoud[[Totaalprijs optiejaren ]])</f>
        <v>0</v>
      </c>
      <c r="N17" s="33"/>
      <c r="O17" s="33"/>
      <c r="P17" s="15"/>
      <c r="Q17" s="15"/>
      <c r="R17" s="15"/>
    </row>
    <row r="18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8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1:18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1:18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1:18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1:18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1:18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</sheetData>
  <mergeCells count="2">
    <mergeCell ref="A1:R1"/>
    <mergeCell ref="A2:R2"/>
  </mergeCells>
  <pageMargins left="0.7" right="0.7" top="0.75" bottom="0.75" header="0.3" footer="0.3"/>
  <ignoredErrors>
    <ignoredError sqref="O8:O14 O6" calculatedColumn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opLeftCell="B2" workbookViewId="0">
      <selection activeCell="K11" sqref="K11"/>
    </sheetView>
  </sheetViews>
  <sheetFormatPr defaultRowHeight="14.25"/>
  <cols>
    <col min="1" max="1" width="10" customWidth="1"/>
    <col min="2" max="2" width="34" customWidth="1"/>
    <col min="3" max="3" width="56" customWidth="1"/>
    <col min="4" max="17" width="16" customWidth="1"/>
    <col min="18" max="18" width="35" customWidth="1"/>
    <col min="19" max="28" width="9" style="15"/>
  </cols>
  <sheetData>
    <row r="1" spans="1:28" ht="27.95" customHeight="1">
      <c r="A1" s="64" t="s">
        <v>86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8" ht="36" customHeight="1">
      <c r="A2" s="65" t="s">
        <v>256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8" s="15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28" ht="36" customHeight="1">
      <c r="A4" s="16" t="s">
        <v>117</v>
      </c>
      <c r="B4" s="16" t="s">
        <v>118</v>
      </c>
      <c r="C4" s="16" t="s">
        <v>119</v>
      </c>
      <c r="D4" s="16" t="s">
        <v>120</v>
      </c>
      <c r="E4" s="16" t="s">
        <v>257</v>
      </c>
      <c r="F4" s="16" t="s">
        <v>121</v>
      </c>
      <c r="G4" s="16" t="s">
        <v>210</v>
      </c>
      <c r="H4" s="16" t="s">
        <v>122</v>
      </c>
      <c r="I4" s="16" t="s">
        <v>211</v>
      </c>
      <c r="J4" s="16" t="s">
        <v>123</v>
      </c>
      <c r="K4" s="16" t="s">
        <v>212</v>
      </c>
      <c r="L4" s="16" t="s">
        <v>127</v>
      </c>
      <c r="M4" s="16" t="s">
        <v>213</v>
      </c>
      <c r="N4" s="16" t="s">
        <v>258</v>
      </c>
      <c r="O4" s="16" t="s">
        <v>215</v>
      </c>
      <c r="P4" s="16" t="s">
        <v>216</v>
      </c>
      <c r="Q4" s="16" t="s">
        <v>259</v>
      </c>
      <c r="R4" s="16" t="s">
        <v>130</v>
      </c>
    </row>
    <row r="5" spans="1:28">
      <c r="A5" s="50" t="s">
        <v>260</v>
      </c>
      <c r="B5" s="34" t="s">
        <v>261</v>
      </c>
      <c r="C5" s="34" t="s">
        <v>262</v>
      </c>
      <c r="D5" s="34" t="s">
        <v>263</v>
      </c>
      <c r="E5" s="34" t="s">
        <v>264</v>
      </c>
      <c r="F5" s="51">
        <f>Uitgangspunten!B18</f>
        <v>15257</v>
      </c>
      <c r="G5" s="55">
        <v>0</v>
      </c>
      <c r="H5" s="51">
        <f>Uitgangspunten!C18</f>
        <v>55480</v>
      </c>
      <c r="I5" s="55">
        <v>0</v>
      </c>
      <c r="J5" s="51">
        <f>Uitgangspunten!D18</f>
        <v>97090</v>
      </c>
      <c r="K5" s="55">
        <v>0</v>
      </c>
      <c r="L5" s="9">
        <f t="shared" ref="L5:L10" si="0">SUM(F5*N(G5),H5*N(I5),J5*N(K5))</f>
        <v>0</v>
      </c>
      <c r="M5" s="51">
        <f>Uitgangspunten!E18</f>
        <v>97090</v>
      </c>
      <c r="N5" s="54">
        <v>0</v>
      </c>
      <c r="O5" s="51">
        <f>Uitgangspunten!F18</f>
        <v>97090</v>
      </c>
      <c r="P5" s="54">
        <v>0</v>
      </c>
      <c r="Q5" s="9">
        <f>TblVerbruik[[#This Row],[Aantal optiejaar 1]]*TblVerbruik[[#This Row],[Prijs optiejaar 1 ]]+TblVerbruik[[#This Row],[Aantal optiejaar 2]]*TblVerbruik[[#This Row],[Prijs optiejaar 2 ]]</f>
        <v>0</v>
      </c>
      <c r="R5" s="10"/>
    </row>
    <row r="6" spans="1:28">
      <c r="A6" s="46" t="s">
        <v>265</v>
      </c>
      <c r="B6" s="5" t="s">
        <v>266</v>
      </c>
      <c r="C6" s="5" t="s">
        <v>267</v>
      </c>
      <c r="D6" s="5" t="s">
        <v>263</v>
      </c>
      <c r="E6" s="5" t="s">
        <v>264</v>
      </c>
      <c r="F6" s="51">
        <f>Uitgangspunten!B18</f>
        <v>15257</v>
      </c>
      <c r="G6" s="55">
        <v>0</v>
      </c>
      <c r="H6" s="51">
        <f>Uitgangspunten!C18</f>
        <v>55480</v>
      </c>
      <c r="I6" s="55">
        <v>0</v>
      </c>
      <c r="J6" s="51">
        <f>Uitgangspunten!D18</f>
        <v>97090</v>
      </c>
      <c r="K6" s="55">
        <v>0</v>
      </c>
      <c r="L6" s="9">
        <f t="shared" si="0"/>
        <v>0</v>
      </c>
      <c r="M6" s="51">
        <f>Uitgangspunten!E18</f>
        <v>97090</v>
      </c>
      <c r="N6" s="54">
        <v>0</v>
      </c>
      <c r="O6" s="51">
        <f>Uitgangspunten!F18</f>
        <v>97090</v>
      </c>
      <c r="P6" s="54">
        <v>0</v>
      </c>
      <c r="Q6" s="9">
        <f>TblVerbruik[[#This Row],[Aantal optiejaar 1]]*TblVerbruik[[#This Row],[Prijs optiejaar 1 ]]+TblVerbruik[[#This Row],[Aantal optiejaar 2]]*TblVerbruik[[#This Row],[Prijs optiejaar 2 ]]</f>
        <v>0</v>
      </c>
      <c r="R6" s="10"/>
    </row>
    <row r="7" spans="1:28">
      <c r="A7" s="50" t="s">
        <v>268</v>
      </c>
      <c r="B7" s="34" t="s">
        <v>269</v>
      </c>
      <c r="C7" s="34" t="s">
        <v>270</v>
      </c>
      <c r="D7" s="34" t="s">
        <v>231</v>
      </c>
      <c r="E7" s="34" t="s">
        <v>232</v>
      </c>
      <c r="F7" s="51">
        <f>Uitgangspunten!B16</f>
        <v>47</v>
      </c>
      <c r="G7" s="55">
        <v>0</v>
      </c>
      <c r="H7" s="51">
        <f>Uitgangspunten!C16</f>
        <v>168</v>
      </c>
      <c r="I7" s="55">
        <v>0</v>
      </c>
      <c r="J7" s="51">
        <f>Uitgangspunten!D16</f>
        <v>294</v>
      </c>
      <c r="K7" s="55">
        <v>0</v>
      </c>
      <c r="L7" s="9">
        <f t="shared" si="0"/>
        <v>0</v>
      </c>
      <c r="M7" s="51">
        <f>Uitgangspunten!E16</f>
        <v>294</v>
      </c>
      <c r="N7" s="54">
        <v>0</v>
      </c>
      <c r="O7" s="51">
        <f>Uitgangspunten!F16</f>
        <v>294</v>
      </c>
      <c r="P7" s="54">
        <v>0</v>
      </c>
      <c r="Q7" s="9">
        <f>TblVerbruik[[#This Row],[Aantal optiejaar 1]]*TblVerbruik[[#This Row],[Prijs optiejaar 1 ]]+TblVerbruik[[#This Row],[Aantal optiejaar 2]]*TblVerbruik[[#This Row],[Prijs optiejaar 2 ]]</f>
        <v>0</v>
      </c>
      <c r="R7" s="10"/>
    </row>
    <row r="8" spans="1:28">
      <c r="A8" s="46" t="s">
        <v>271</v>
      </c>
      <c r="B8" s="5" t="s">
        <v>272</v>
      </c>
      <c r="C8" s="5" t="s">
        <v>273</v>
      </c>
      <c r="D8" s="5" t="s">
        <v>263</v>
      </c>
      <c r="E8" s="5" t="s">
        <v>264</v>
      </c>
      <c r="F8" s="51">
        <f>Uitgangspunten!B18</f>
        <v>15257</v>
      </c>
      <c r="G8" s="55">
        <v>0</v>
      </c>
      <c r="H8" s="51">
        <f>Uitgangspunten!C18</f>
        <v>55480</v>
      </c>
      <c r="I8" s="55">
        <v>0</v>
      </c>
      <c r="J8" s="51">
        <f>Uitgangspunten!D18</f>
        <v>97090</v>
      </c>
      <c r="K8" s="55">
        <v>0</v>
      </c>
      <c r="L8" s="9">
        <f t="shared" si="0"/>
        <v>0</v>
      </c>
      <c r="M8" s="51">
        <f>Uitgangspunten!E18</f>
        <v>97090</v>
      </c>
      <c r="N8" s="54">
        <v>0</v>
      </c>
      <c r="O8" s="51">
        <f>Uitgangspunten!F18</f>
        <v>97090</v>
      </c>
      <c r="P8" s="54">
        <v>0</v>
      </c>
      <c r="Q8" s="9">
        <f>TblVerbruik[[#This Row],[Aantal optiejaar 1]]*TblVerbruik[[#This Row],[Prijs optiejaar 1 ]]+TblVerbruik[[#This Row],[Aantal optiejaar 2]]*TblVerbruik[[#This Row],[Prijs optiejaar 2 ]]</f>
        <v>0</v>
      </c>
      <c r="R8" s="10"/>
    </row>
    <row r="9" spans="1:28">
      <c r="A9" s="50" t="s">
        <v>274</v>
      </c>
      <c r="B9" s="34" t="s">
        <v>275</v>
      </c>
      <c r="C9" s="34" t="s">
        <v>276</v>
      </c>
      <c r="D9" s="34" t="s">
        <v>263</v>
      </c>
      <c r="E9" s="34" t="s">
        <v>264</v>
      </c>
      <c r="F9" s="51">
        <f>Uitgangspunten!B18</f>
        <v>15257</v>
      </c>
      <c r="G9" s="55">
        <v>0</v>
      </c>
      <c r="H9" s="51">
        <f>Uitgangspunten!C18</f>
        <v>55480</v>
      </c>
      <c r="I9" s="55">
        <v>0</v>
      </c>
      <c r="J9" s="51">
        <f>Uitgangspunten!D18</f>
        <v>97090</v>
      </c>
      <c r="K9" s="55">
        <v>0</v>
      </c>
      <c r="L9" s="9">
        <f t="shared" si="0"/>
        <v>0</v>
      </c>
      <c r="M9" s="51">
        <f>Uitgangspunten!E18</f>
        <v>97090</v>
      </c>
      <c r="N9" s="54">
        <v>0</v>
      </c>
      <c r="O9" s="51">
        <f>Uitgangspunten!F18</f>
        <v>97090</v>
      </c>
      <c r="P9" s="54">
        <v>0</v>
      </c>
      <c r="Q9" s="9">
        <f>TblVerbruik[[#This Row],[Aantal optiejaar 1]]*TblVerbruik[[#This Row],[Prijs optiejaar 1 ]]+TblVerbruik[[#This Row],[Aantal optiejaar 2]]*TblVerbruik[[#This Row],[Prijs optiejaar 2 ]]</f>
        <v>0</v>
      </c>
      <c r="R9" s="10"/>
    </row>
    <row r="10" spans="1:28">
      <c r="A10" s="46" t="s">
        <v>277</v>
      </c>
      <c r="B10" s="5" t="s">
        <v>278</v>
      </c>
      <c r="C10" s="5" t="s">
        <v>279</v>
      </c>
      <c r="D10" s="5" t="s">
        <v>280</v>
      </c>
      <c r="E10" s="5" t="s">
        <v>222</v>
      </c>
      <c r="F10" s="51">
        <v>1</v>
      </c>
      <c r="G10" s="55">
        <v>0</v>
      </c>
      <c r="H10" s="51">
        <v>1</v>
      </c>
      <c r="I10" s="55">
        <v>0</v>
      </c>
      <c r="J10" s="51">
        <v>1</v>
      </c>
      <c r="K10" s="55">
        <v>0</v>
      </c>
      <c r="L10" s="9">
        <f t="shared" si="0"/>
        <v>0</v>
      </c>
      <c r="M10" s="51">
        <v>1</v>
      </c>
      <c r="N10" s="54">
        <v>0</v>
      </c>
      <c r="O10" s="51">
        <v>1</v>
      </c>
      <c r="P10" s="54">
        <v>0</v>
      </c>
      <c r="Q10" s="9">
        <f>TblVerbruik[[#This Row],[Aantal optiejaar 1]]*TblVerbruik[[#This Row],[Prijs optiejaar 1 ]]+TblVerbruik[[#This Row],[Aantal optiejaar 2]]*TblVerbruik[[#This Row],[Prijs optiejaar 2 ]]</f>
        <v>0</v>
      </c>
      <c r="R10" s="10"/>
    </row>
    <row r="11" spans="1:28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15"/>
      <c r="Q11" s="15"/>
      <c r="R11" s="15"/>
      <c r="AA11"/>
      <c r="AB11"/>
    </row>
    <row r="12" spans="1:28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 t="s">
        <v>281</v>
      </c>
      <c r="L12" s="52">
        <f>SUM(TblVerbruik[TCO J1-J3 excl. BTW])</f>
        <v>0</v>
      </c>
      <c r="M12" s="33"/>
      <c r="N12" s="33"/>
      <c r="O12" s="33"/>
      <c r="P12" s="15"/>
      <c r="Q12" s="15"/>
      <c r="R12" s="15"/>
      <c r="AA12"/>
      <c r="AB12"/>
    </row>
    <row r="13" spans="1:28" ht="25.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 t="s">
        <v>255</v>
      </c>
      <c r="Q13" s="52">
        <f>SUM(TblVerbruik[Totaalprijs optiejaren excl. BTW])</f>
        <v>0</v>
      </c>
      <c r="R13" s="15"/>
      <c r="AA13"/>
      <c r="AB13"/>
    </row>
    <row r="14" spans="1:2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2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2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8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1:18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1:18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1:18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1:18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1:18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1:18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</sheetData>
  <mergeCells count="2">
    <mergeCell ref="A1:R1"/>
    <mergeCell ref="A2:R2"/>
  </mergeCells>
  <pageMargins left="0.7" right="0.7" top="0.75" bottom="0.75" header="0.3" footer="0.3"/>
  <ignoredErrors>
    <ignoredError sqref="F7 M7 H7 O7 J7" formula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opLeftCell="C2" workbookViewId="0">
      <selection activeCell="F15" sqref="F15"/>
    </sheetView>
  </sheetViews>
  <sheetFormatPr defaultRowHeight="14.25"/>
  <cols>
    <col min="1" max="1" width="10" customWidth="1"/>
    <col min="2" max="2" width="38" customWidth="1"/>
    <col min="3" max="3" width="48" customWidth="1"/>
    <col min="4" max="9" width="18" customWidth="1"/>
    <col min="10" max="10" width="16" customWidth="1"/>
    <col min="11" max="12" width="35" customWidth="1"/>
    <col min="17" max="26" width="9" style="15"/>
  </cols>
  <sheetData>
    <row r="1" spans="1:16" ht="27.95" customHeight="1">
      <c r="A1" s="64" t="s">
        <v>88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6" customHeight="1">
      <c r="A2" s="65" t="s">
        <v>282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15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6" customHeight="1">
      <c r="A4" s="16" t="s">
        <v>117</v>
      </c>
      <c r="B4" s="16" t="s">
        <v>283</v>
      </c>
      <c r="C4" s="16" t="s">
        <v>284</v>
      </c>
      <c r="D4" s="16" t="s">
        <v>120</v>
      </c>
      <c r="E4" s="16" t="s">
        <v>124</v>
      </c>
      <c r="F4" s="16" t="s">
        <v>125</v>
      </c>
      <c r="G4" s="16" t="s">
        <v>126</v>
      </c>
      <c r="H4" s="16" t="s">
        <v>285</v>
      </c>
      <c r="I4" s="16" t="s">
        <v>286</v>
      </c>
      <c r="J4" s="16" t="s">
        <v>163</v>
      </c>
      <c r="K4" s="16" t="s">
        <v>287</v>
      </c>
      <c r="L4" s="16" t="s">
        <v>130</v>
      </c>
      <c r="M4" s="14"/>
      <c r="N4" s="14"/>
      <c r="O4" s="14"/>
      <c r="P4" s="14"/>
    </row>
    <row r="5" spans="1:16">
      <c r="A5" s="34" t="s">
        <v>288</v>
      </c>
      <c r="B5" s="34" t="s">
        <v>289</v>
      </c>
      <c r="C5" s="34" t="s">
        <v>290</v>
      </c>
      <c r="D5" s="34" t="s">
        <v>134</v>
      </c>
      <c r="E5" s="7">
        <v>0</v>
      </c>
      <c r="F5" s="8">
        <v>0</v>
      </c>
      <c r="G5" s="9">
        <f t="shared" ref="G5:G14" si="0">IF(E5="","",E5*(1-F5))</f>
        <v>0</v>
      </c>
      <c r="H5" s="6">
        <v>1</v>
      </c>
      <c r="I5" s="9">
        <f t="shared" ref="I5:I14" si="1">H5*N(G5)</f>
        <v>0</v>
      </c>
      <c r="J5" s="34" t="s">
        <v>291</v>
      </c>
      <c r="K5" s="10"/>
      <c r="L5" s="10"/>
      <c r="M5" s="14"/>
      <c r="N5" s="14"/>
      <c r="O5" s="14"/>
      <c r="P5" s="14"/>
    </row>
    <row r="6" spans="1:16">
      <c r="A6" s="5" t="s">
        <v>292</v>
      </c>
      <c r="B6" s="5" t="s">
        <v>293</v>
      </c>
      <c r="C6" s="5" t="s">
        <v>294</v>
      </c>
      <c r="D6" s="5" t="s">
        <v>226</v>
      </c>
      <c r="E6" s="7">
        <v>0</v>
      </c>
      <c r="F6" s="8">
        <v>0</v>
      </c>
      <c r="G6" s="9">
        <f t="shared" si="0"/>
        <v>0</v>
      </c>
      <c r="H6" s="6">
        <v>1</v>
      </c>
      <c r="I6" s="9">
        <f t="shared" si="1"/>
        <v>0</v>
      </c>
      <c r="J6" s="5" t="s">
        <v>291</v>
      </c>
      <c r="K6" s="10"/>
      <c r="L6" s="10"/>
      <c r="M6" s="14"/>
      <c r="N6" s="14"/>
      <c r="O6" s="14"/>
      <c r="P6" s="14"/>
    </row>
    <row r="7" spans="1:16">
      <c r="A7" s="34" t="s">
        <v>295</v>
      </c>
      <c r="B7" s="34" t="s">
        <v>296</v>
      </c>
      <c r="C7" s="34" t="s">
        <v>297</v>
      </c>
      <c r="D7" s="34" t="s">
        <v>138</v>
      </c>
      <c r="E7" s="7">
        <v>0</v>
      </c>
      <c r="F7" s="8">
        <v>0</v>
      </c>
      <c r="G7" s="9">
        <f t="shared" si="0"/>
        <v>0</v>
      </c>
      <c r="H7" s="6">
        <v>1</v>
      </c>
      <c r="I7" s="9">
        <f t="shared" si="1"/>
        <v>0</v>
      </c>
      <c r="J7" s="34" t="s">
        <v>291</v>
      </c>
      <c r="K7" s="10"/>
      <c r="L7" s="10"/>
      <c r="M7" s="14"/>
      <c r="N7" s="14"/>
      <c r="O7" s="14"/>
      <c r="P7" s="14"/>
    </row>
    <row r="8" spans="1:16">
      <c r="A8" s="5" t="s">
        <v>298</v>
      </c>
      <c r="B8" s="5" t="s">
        <v>299</v>
      </c>
      <c r="C8" s="5" t="s">
        <v>300</v>
      </c>
      <c r="D8" s="5" t="s">
        <v>301</v>
      </c>
      <c r="E8" s="7">
        <v>0</v>
      </c>
      <c r="F8" s="8">
        <v>0</v>
      </c>
      <c r="G8" s="9">
        <f t="shared" si="0"/>
        <v>0</v>
      </c>
      <c r="H8" s="6">
        <v>50</v>
      </c>
      <c r="I8" s="9">
        <f t="shared" si="1"/>
        <v>0</v>
      </c>
      <c r="J8" s="5" t="s">
        <v>291</v>
      </c>
      <c r="K8" s="10"/>
      <c r="L8" s="10"/>
      <c r="M8" s="14"/>
      <c r="N8" s="14"/>
      <c r="O8" s="14"/>
      <c r="P8" s="14"/>
    </row>
    <row r="9" spans="1:16">
      <c r="A9" s="34" t="s">
        <v>302</v>
      </c>
      <c r="B9" s="34" t="s">
        <v>303</v>
      </c>
      <c r="C9" s="34" t="s">
        <v>304</v>
      </c>
      <c r="D9" s="34" t="s">
        <v>305</v>
      </c>
      <c r="E9" s="7">
        <v>0</v>
      </c>
      <c r="F9" s="8">
        <v>0</v>
      </c>
      <c r="G9" s="9">
        <f t="shared" si="0"/>
        <v>0</v>
      </c>
      <c r="H9" s="6">
        <v>1</v>
      </c>
      <c r="I9" s="9">
        <f t="shared" si="1"/>
        <v>0</v>
      </c>
      <c r="J9" s="34" t="s">
        <v>291</v>
      </c>
      <c r="K9" s="10"/>
      <c r="L9" s="10"/>
      <c r="M9" s="14"/>
      <c r="N9" s="14"/>
      <c r="O9" s="14"/>
      <c r="P9" s="14"/>
    </row>
    <row r="10" spans="1:16">
      <c r="A10" s="5" t="s">
        <v>306</v>
      </c>
      <c r="B10" s="5" t="s">
        <v>307</v>
      </c>
      <c r="C10" s="5" t="s">
        <v>308</v>
      </c>
      <c r="D10" s="5" t="s">
        <v>309</v>
      </c>
      <c r="E10" s="7">
        <v>0</v>
      </c>
      <c r="F10" s="8">
        <v>0</v>
      </c>
      <c r="G10" s="9">
        <f t="shared" si="0"/>
        <v>0</v>
      </c>
      <c r="H10" s="6">
        <v>1</v>
      </c>
      <c r="I10" s="9">
        <f t="shared" si="1"/>
        <v>0</v>
      </c>
      <c r="J10" s="5" t="s">
        <v>291</v>
      </c>
      <c r="K10" s="10"/>
      <c r="L10" s="10"/>
      <c r="M10" s="14"/>
      <c r="N10" s="14"/>
      <c r="O10" s="14"/>
      <c r="P10" s="14"/>
    </row>
    <row r="11" spans="1:16">
      <c r="A11" s="34" t="s">
        <v>310</v>
      </c>
      <c r="B11" s="34" t="s">
        <v>311</v>
      </c>
      <c r="C11" s="34" t="s">
        <v>312</v>
      </c>
      <c r="D11" s="34" t="s">
        <v>313</v>
      </c>
      <c r="E11" s="7">
        <v>0</v>
      </c>
      <c r="F11" s="8">
        <v>0</v>
      </c>
      <c r="G11" s="9">
        <f t="shared" si="0"/>
        <v>0</v>
      </c>
      <c r="H11" s="6">
        <v>1</v>
      </c>
      <c r="I11" s="9">
        <f t="shared" si="1"/>
        <v>0</v>
      </c>
      <c r="J11" s="34" t="s">
        <v>291</v>
      </c>
      <c r="K11" s="10"/>
      <c r="L11" s="10"/>
      <c r="M11" s="14"/>
      <c r="N11" s="14"/>
      <c r="O11" s="14"/>
      <c r="P11" s="14"/>
    </row>
    <row r="12" spans="1:16">
      <c r="A12" s="5" t="s">
        <v>314</v>
      </c>
      <c r="B12" s="5" t="s">
        <v>315</v>
      </c>
      <c r="C12" s="5" t="s">
        <v>316</v>
      </c>
      <c r="D12" s="5" t="s">
        <v>142</v>
      </c>
      <c r="E12" s="7">
        <v>0</v>
      </c>
      <c r="F12" s="8">
        <v>0</v>
      </c>
      <c r="G12" s="9">
        <f t="shared" si="0"/>
        <v>0</v>
      </c>
      <c r="H12" s="6">
        <v>1</v>
      </c>
      <c r="I12" s="9">
        <f t="shared" si="1"/>
        <v>0</v>
      </c>
      <c r="J12" s="5" t="s">
        <v>291</v>
      </c>
      <c r="K12" s="10"/>
      <c r="L12" s="10"/>
      <c r="M12" s="14"/>
      <c r="N12" s="14"/>
      <c r="O12" s="14"/>
      <c r="P12" s="14"/>
    </row>
    <row r="13" spans="1:16">
      <c r="A13" s="34" t="s">
        <v>317</v>
      </c>
      <c r="B13" s="34" t="s">
        <v>318</v>
      </c>
      <c r="C13" s="34" t="s">
        <v>319</v>
      </c>
      <c r="D13" s="34" t="s">
        <v>320</v>
      </c>
      <c r="E13" s="7">
        <v>0</v>
      </c>
      <c r="F13" s="8">
        <v>0</v>
      </c>
      <c r="G13" s="9">
        <f t="shared" si="0"/>
        <v>0</v>
      </c>
      <c r="H13" s="6">
        <v>1</v>
      </c>
      <c r="I13" s="9">
        <f t="shared" si="1"/>
        <v>0</v>
      </c>
      <c r="J13" s="34" t="s">
        <v>291</v>
      </c>
      <c r="K13" s="10"/>
      <c r="L13" s="10"/>
      <c r="M13" s="14"/>
      <c r="N13" s="14"/>
      <c r="O13" s="14"/>
      <c r="P13" s="14"/>
    </row>
    <row r="14" spans="1:16">
      <c r="A14" s="5" t="s">
        <v>321</v>
      </c>
      <c r="B14" s="5" t="s">
        <v>322</v>
      </c>
      <c r="C14" s="5" t="s">
        <v>323</v>
      </c>
      <c r="D14" s="5" t="s">
        <v>203</v>
      </c>
      <c r="E14" s="7">
        <v>0</v>
      </c>
      <c r="F14" s="8">
        <v>0</v>
      </c>
      <c r="G14" s="9">
        <f t="shared" si="0"/>
        <v>0</v>
      </c>
      <c r="H14" s="10">
        <v>1</v>
      </c>
      <c r="I14" s="9">
        <f t="shared" si="1"/>
        <v>0</v>
      </c>
      <c r="J14" s="5" t="s">
        <v>291</v>
      </c>
      <c r="K14" s="10"/>
      <c r="L14" s="10"/>
      <c r="M14" s="14"/>
      <c r="N14" s="14"/>
      <c r="O14" s="14"/>
      <c r="P14" s="14"/>
    </row>
    <row r="15" spans="1:16">
      <c r="A15" s="33"/>
      <c r="B15" s="33"/>
      <c r="C15" s="33"/>
      <c r="D15" s="33"/>
      <c r="E15" s="33"/>
      <c r="F15" s="33"/>
      <c r="G15" s="9"/>
      <c r="H15" s="9"/>
      <c r="I15" s="9"/>
      <c r="J15" s="33"/>
      <c r="K15" s="33"/>
      <c r="L15" s="33"/>
      <c r="M15" s="14"/>
      <c r="N15" s="14"/>
      <c r="O15" s="14"/>
      <c r="P15" s="14"/>
    </row>
    <row r="16" spans="1:16">
      <c r="A16" s="33"/>
      <c r="B16" s="33"/>
      <c r="C16" s="33"/>
      <c r="D16" s="33"/>
      <c r="E16" s="33"/>
      <c r="F16" s="33"/>
      <c r="G16" s="9"/>
      <c r="H16" s="9" t="s">
        <v>324</v>
      </c>
      <c r="I16" s="57">
        <f>SUM(I5:I15)</f>
        <v>0</v>
      </c>
      <c r="J16" s="33"/>
      <c r="K16" s="33"/>
      <c r="L16" s="33"/>
      <c r="M16" s="14"/>
      <c r="N16" s="14"/>
      <c r="O16" s="14"/>
      <c r="P16" s="14"/>
    </row>
    <row r="17" spans="1:1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>
      <c r="A77" s="14"/>
      <c r="B77" s="14"/>
      <c r="C77" s="14"/>
      <c r="D77" s="14"/>
      <c r="E77" s="14"/>
      <c r="F77" s="14"/>
      <c r="G77" s="14"/>
      <c r="H77" s="14"/>
      <c r="I77" s="14"/>
      <c r="J77" s="3"/>
      <c r="K77" s="3"/>
      <c r="L77" s="3"/>
      <c r="M77" s="3"/>
      <c r="N77" s="3"/>
      <c r="O77" s="3"/>
      <c r="P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</sheetData>
  <mergeCells count="2">
    <mergeCell ref="A1:P1"/>
    <mergeCell ref="A2:P2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11" workbookViewId="0">
      <selection activeCell="B23" sqref="B23"/>
    </sheetView>
  </sheetViews>
  <sheetFormatPr defaultRowHeight="14.25"/>
  <cols>
    <col min="1" max="1" width="42" customWidth="1"/>
    <col min="2" max="2" width="25" customWidth="1"/>
    <col min="3" max="3" width="22" customWidth="1"/>
    <col min="4" max="4" width="45" customWidth="1"/>
  </cols>
  <sheetData>
    <row r="1" spans="1:16" ht="27.95" customHeight="1">
      <c r="A1" s="64" t="s">
        <v>90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36" customHeight="1">
      <c r="A2" s="65" t="s">
        <v>325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15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6" customHeight="1">
      <c r="A4" s="16" t="s">
        <v>326</v>
      </c>
      <c r="B4" s="16" t="s">
        <v>327</v>
      </c>
      <c r="C4" s="16" t="s">
        <v>328</v>
      </c>
      <c r="D4" s="16" t="s">
        <v>47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17" t="s">
        <v>329</v>
      </c>
      <c r="B5" s="17" t="s">
        <v>330</v>
      </c>
      <c r="C5" s="35">
        <f>'1 Initiele kosten'!M13</f>
        <v>0</v>
      </c>
      <c r="D5" s="17" t="s">
        <v>331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>
      <c r="A6" s="17" t="s">
        <v>332</v>
      </c>
      <c r="B6" s="17" t="s">
        <v>330</v>
      </c>
      <c r="C6" s="35">
        <f>'2 Implementatie &amp; integratie'!I18</f>
        <v>0</v>
      </c>
      <c r="D6" s="17" t="s">
        <v>333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>
      <c r="A7" s="17" t="s">
        <v>334</v>
      </c>
      <c r="B7" s="17" t="s">
        <v>335</v>
      </c>
      <c r="C7" s="35">
        <f>'3 Licentie &amp; onderhoud'!L16</f>
        <v>0</v>
      </c>
      <c r="D7" s="17" t="s">
        <v>336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>
      <c r="A8" s="17" t="s">
        <v>337</v>
      </c>
      <c r="B8" s="17" t="s">
        <v>338</v>
      </c>
      <c r="C8" s="35">
        <f>'4 Verbruik'!L12</f>
        <v>0</v>
      </c>
      <c r="D8" s="17" t="s">
        <v>339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>
      <c r="A9" s="36" t="s">
        <v>340</v>
      </c>
      <c r="B9" s="36" t="s">
        <v>341</v>
      </c>
      <c r="C9" s="37">
        <f>SUM(C5:C8)</f>
        <v>0</v>
      </c>
      <c r="D9" s="36" t="s">
        <v>342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>
      <c r="A10" s="17" t="s">
        <v>343</v>
      </c>
      <c r="B10" s="17" t="s">
        <v>344</v>
      </c>
      <c r="C10" s="35">
        <f>C9*Uitgangspunten!$B$9</f>
        <v>0</v>
      </c>
      <c r="D10" s="17" t="s">
        <v>345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>
      <c r="A11" s="17" t="s">
        <v>346</v>
      </c>
      <c r="B11" s="17" t="s">
        <v>344</v>
      </c>
      <c r="C11" s="35">
        <f>C9+C10</f>
        <v>0</v>
      </c>
      <c r="D11" s="17" t="s">
        <v>345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>
      <c r="A12" s="33"/>
      <c r="B12" s="33"/>
      <c r="C12" s="38"/>
      <c r="D12" s="3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>
      <c r="A13" s="33"/>
      <c r="B13" s="33"/>
      <c r="C13" s="38"/>
      <c r="D13" s="3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36" customHeight="1">
      <c r="A14" s="16" t="s">
        <v>347</v>
      </c>
      <c r="B14" s="16" t="s">
        <v>348</v>
      </c>
      <c r="C14" s="39" t="s">
        <v>328</v>
      </c>
      <c r="D14" s="16" t="s">
        <v>47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>
      <c r="A15" s="17" t="s">
        <v>349</v>
      </c>
      <c r="B15" s="17" t="s">
        <v>350</v>
      </c>
      <c r="C15" s="35">
        <f>'1 Initiele kosten'!N14</f>
        <v>0</v>
      </c>
      <c r="D15" s="17" t="s">
        <v>351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>
      <c r="A16" s="17" t="s">
        <v>352</v>
      </c>
      <c r="B16" s="17" t="s">
        <v>350</v>
      </c>
      <c r="C16" s="35">
        <f>'3 Licentie &amp; onderhoud'!M17</f>
        <v>0</v>
      </c>
      <c r="D16" s="17" t="s">
        <v>353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>
      <c r="A17" s="17" t="s">
        <v>354</v>
      </c>
      <c r="B17" s="17" t="s">
        <v>350</v>
      </c>
      <c r="C17" s="35">
        <f>'4 Verbruik'!Q13</f>
        <v>0</v>
      </c>
      <c r="D17" s="17" t="s">
        <v>355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>
      <c r="A18" s="17" t="s">
        <v>356</v>
      </c>
      <c r="B18" s="17" t="s">
        <v>357</v>
      </c>
      <c r="C18" s="35">
        <f>'5 Opties herziening'!I16</f>
        <v>0</v>
      </c>
      <c r="D18" s="17" t="s">
        <v>358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>
      <c r="A19" s="40" t="s">
        <v>359</v>
      </c>
      <c r="B19" s="40" t="s">
        <v>360</v>
      </c>
      <c r="C19" s="41">
        <f>SUM(C15:C18)</f>
        <v>0</v>
      </c>
      <c r="D19" s="40" t="s">
        <v>361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15" customFormat="1">
      <c r="A20" s="33"/>
      <c r="B20" s="33"/>
      <c r="C20" s="33"/>
      <c r="D20" s="3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s="15" customFormat="1">
      <c r="A21" s="33"/>
      <c r="B21" s="33"/>
      <c r="C21" s="33"/>
      <c r="D21" s="3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ht="36" customHeight="1">
      <c r="A22" s="16" t="s">
        <v>362</v>
      </c>
      <c r="B22" s="16" t="s">
        <v>16</v>
      </c>
      <c r="C22" s="16" t="s">
        <v>363</v>
      </c>
      <c r="D22" s="16" t="s">
        <v>364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>
      <c r="A23" s="17" t="s">
        <v>365</v>
      </c>
      <c r="B23" s="17">
        <f>Controle!B5</f>
        <v>0</v>
      </c>
      <c r="C23" s="17" t="s">
        <v>366</v>
      </c>
      <c r="D23" s="17" t="str">
        <f>IF(B23=0,"OK","Niet OK")</f>
        <v>OK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>
      <c r="A24" s="17" t="s">
        <v>367</v>
      </c>
      <c r="B24" s="17">
        <f>Controle!B6</f>
        <v>0</v>
      </c>
      <c r="C24" s="17" t="s">
        <v>366</v>
      </c>
      <c r="D24" s="17" t="str">
        <f>IF(B24=0,"OK","Niet OK")</f>
        <v>OK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>
      <c r="A25" s="17" t="s">
        <v>368</v>
      </c>
      <c r="B25" s="17">
        <f>Controle!B7</f>
        <v>0</v>
      </c>
      <c r="C25" s="17" t="s">
        <v>366</v>
      </c>
      <c r="D25" s="17" t="str">
        <f>IF(B25=0,"OK","Niet OK")</f>
        <v>OK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>
      <c r="A26" s="17" t="s">
        <v>369</v>
      </c>
      <c r="B26" s="17" t="b">
        <f>C9&gt;0</f>
        <v>0</v>
      </c>
      <c r="C26" s="17" t="s">
        <v>168</v>
      </c>
      <c r="D26" s="17" t="str">
        <f>IF(B26=TRUE,"OK","Niet OK")</f>
        <v>Niet OK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>
      <c r="A27" s="17" t="s">
        <v>370</v>
      </c>
      <c r="B27" s="44" t="s">
        <v>371</v>
      </c>
      <c r="C27" s="17"/>
      <c r="D27" s="17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15" customForma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s="15" customForma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15" customForma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15" customForma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s="15" customForma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15" customForma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5" customForma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15" customForma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15" customForma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15" customForma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15" customForma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15" customForma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15" customForma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15" customForma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15" customForma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15" customForma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15" customForma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15" customForma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15" customForma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15" customForma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15" customForma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15" customForma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15" customForma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15" customForma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15" customForma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15" customForma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15" customForma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15" customForma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15" customForma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15" customForma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15" customForma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15" customForma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15" customForma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15" customForma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15" customForma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s="15" customForma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s="15" customForma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15" customForma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s="15" customForma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s="15" customForma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s="15" customForma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s="15" customForma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15" customForma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s="15" customForma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s="15" customForma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15" customForma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s="15" customForma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s="15" customForma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s="15" customForma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</sheetData>
  <mergeCells count="2">
    <mergeCell ref="A1:P1"/>
    <mergeCell ref="A2:P2"/>
  </mergeCells>
  <conditionalFormatting sqref="D23:D26">
    <cfRule type="expression" dxfId="3" priority="1">
      <formula>D23="OK"</formula>
    </cfRule>
    <cfRule type="expression" dxfId="2" priority="2">
      <formula>D23="Niet OK"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7970960DEAE45B6E37218F28910BA" ma:contentTypeVersion="3" ma:contentTypeDescription="Een nieuw document maken." ma:contentTypeScope="" ma:versionID="69edb045b7a934188ae4c1528c00e3a8">
  <xsd:schema xmlns:xsd="http://www.w3.org/2001/XMLSchema" xmlns:xs="http://www.w3.org/2001/XMLSchema" xmlns:p="http://schemas.microsoft.com/office/2006/metadata/properties" xmlns:ns2="54eecff6-ed25-4c66-acbf-198a15fac6d7" targetNamespace="http://schemas.microsoft.com/office/2006/metadata/properties" ma:root="true" ma:fieldsID="b48a74c3d3e221f241ee62142aa61395" ns2:_="">
    <xsd:import namespace="54eecff6-ed25-4c66-acbf-198a15fac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ecff6-ed25-4c66-acbf-198a15fac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170CA4-21E6-448C-BE3C-31CB1769F06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4eecff6-ed25-4c66-acbf-198a15fac6d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C33CC7-384F-472E-857F-24C9E53452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646BC6-F3ED-4C87-91D0-B3F84EFC10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eecff6-ed25-4c66-acbf-198a15fac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Voorblad</vt:lpstr>
      <vt:lpstr>Instructie</vt:lpstr>
      <vt:lpstr>Uitgangspunten</vt:lpstr>
      <vt:lpstr>1 Initiele kosten</vt:lpstr>
      <vt:lpstr>2 Implementatie &amp; integratie</vt:lpstr>
      <vt:lpstr>3 Licentie &amp; onderhoud</vt:lpstr>
      <vt:lpstr>4 Verbruik</vt:lpstr>
      <vt:lpstr>5 Opties herziening</vt:lpstr>
      <vt:lpstr>Inschrijfprijs</vt:lpstr>
      <vt:lpstr>Betaling indexering</vt:lpstr>
      <vt:lpstr>Controle</vt:lpstr>
      <vt:lpstr>Bronnen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Vandeberg, B.M.A. (Bas)</dc:creator>
  <cp:keywords/>
  <dc:description/>
  <cp:lastModifiedBy>Vandeberg B.M.A. (Bas)</cp:lastModifiedBy>
  <cp:revision/>
  <dcterms:created xsi:type="dcterms:W3CDTF">2026-05-12T13:25:20Z</dcterms:created>
  <dcterms:modified xsi:type="dcterms:W3CDTF">2026-06-02T12:23:54Z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0x0101002377970960DEAE45B6E37218F28910BA</vt:lpwstr>
  </property>
</Properties>
</file>