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emeente Barneveld/2026/4. Concept aanbestedingsdocumenten/Calculatie/"/>
    </mc:Choice>
  </mc:AlternateContent>
  <xr:revisionPtr revIDLastSave="101" documentId="8_{C72D1730-788E-4995-B66C-609625DEF39D}" xr6:coauthVersionLast="47" xr6:coauthVersionMax="47" xr10:uidLastSave="{E842D652-B51B-4F67-9C7F-F352174792F6}"/>
  <bookViews>
    <workbookView xWindow="-28920" yWindow="-30" windowWidth="29040" windowHeight="15720" tabRatio="946"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Vloeronderhoud" sheetId="39" r:id="rId11"/>
    <sheet name="12-Sanitaire voorzieningen" sheetId="42" r:id="rId12"/>
    <sheet name="13-Machinekosten" sheetId="40" r:id="rId13"/>
  </sheets>
  <externalReferences>
    <externalReference r:id="rId14"/>
    <externalReference r:id="rId15"/>
    <externalReference r:id="rId16"/>
    <externalReference r:id="rId17"/>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1" hidden="1">'[2]#REF'!#REF!</definedName>
    <definedName name="_Fill" localSheetId="1" hidden="1">'[3]#REF'!#REF!</definedName>
    <definedName name="_Fill" hidden="1">'[3]#REF'!#REF!</definedName>
    <definedName name="_filll" hidden="1">'[4]#REF'!#REF!</definedName>
    <definedName name="_xlnm._FilterDatabase" localSheetId="9" hidden="1">'10-Glasbewassing'!$A$12:$X$32</definedName>
    <definedName name="_xlnm._FilterDatabase" localSheetId="10" hidden="1">'11-Vloeronderhoud'!$A$12:$AA$40</definedName>
    <definedName name="_xlnm._FilterDatabase" localSheetId="11" hidden="1">'12-Sanitaire voorzieningen'!$A$10:$U$46</definedName>
    <definedName name="_xlnm._FilterDatabase" localSheetId="1" hidden="1">'2-Kosten per locatie'!$A$14:$J$25</definedName>
    <definedName name="_xlnm._FilterDatabase" localSheetId="3" hidden="1">'4-Basis ruimtestaat'!$B$9:$U$345</definedName>
    <definedName name="_Hlk39130726" localSheetId="0">'1-Uitgangspunten'!$A$16</definedName>
    <definedName name="_Key1" localSheetId="9" hidden="1">'[2]#REF'!#REF!</definedName>
    <definedName name="_Key1" localSheetId="10" hidden="1">'[2]#REF'!#REF!</definedName>
    <definedName name="_Key1" localSheetId="11"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locatie'!$A$3:$AB$24</definedName>
    <definedName name="_xlnm.Print_Area" localSheetId="3">'4-Basis ruimtestaat'!$B$3:$U$104</definedName>
    <definedName name="_xlnm.Print_Area" localSheetId="4">'5-Premies en opslagen'!$A$3:$E$55</definedName>
    <definedName name="_xlnm.Print_Area" localSheetId="5">'6-Opbouw uurtarief productie'!$A$1:$R$65</definedName>
    <definedName name="_xlnm.Print_Area" localSheetId="8">'9-Afroepprijs'!$A$3:$F$30</definedName>
    <definedName name="_xlnm.Print_Titles" localSheetId="9">'10-Glasbewassing'!$12:$12</definedName>
    <definedName name="_xlnm.Print_Titles" localSheetId="10">'11-Vloeronderhoud'!$12:$12</definedName>
    <definedName name="_xlnm.Print_Titles" localSheetId="11">'12-Sanitaire voorzieningen'!$10:$10</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'[3]#REF'!#REF!</definedName>
    <definedName name="einde" localSheetId="1">'2-Kosten per locatie'!einde</definedName>
    <definedName name="einde">'2-Kosten per locatie'!einde</definedName>
    <definedName name="fghf" hidden="1">'[3]#REF'!#REF!</definedName>
    <definedName name="Gan_R" localSheetId="1">'2-Kosten per locatie'!Gan_R</definedName>
    <definedName name="Gan_R">'2-Kosten per locatie'!Gan_R</definedName>
    <definedName name="gs" hidden="1">'[3]#REF'!#REF!</definedName>
    <definedName name="han" localSheetId="9" hidden="1">'[2]#REF'!#REF!</definedName>
    <definedName name="han" localSheetId="10" hidden="1">'[2]#REF'!#REF!</definedName>
    <definedName name="han" localSheetId="11"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1" i="2" l="1"/>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92" i="2"/>
  <c r="R293" i="2"/>
  <c r="R294" i="2"/>
  <c r="R295" i="2"/>
  <c r="R296" i="2"/>
  <c r="R297" i="2"/>
  <c r="R298" i="2"/>
  <c r="R299" i="2"/>
  <c r="R300" i="2"/>
  <c r="R301"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340" i="2"/>
  <c r="R341" i="2"/>
  <c r="R342" i="2"/>
  <c r="R343" i="2"/>
  <c r="R344" i="2"/>
  <c r="R345" i="2"/>
  <c r="R10" i="2"/>
  <c r="F25" i="42" l="1"/>
  <c r="G25" i="42" s="1"/>
  <c r="F24" i="42"/>
  <c r="G24" i="42" s="1"/>
  <c r="F23" i="42"/>
  <c r="G23" i="42" s="1"/>
  <c r="F22" i="42"/>
  <c r="G22" i="42" s="1"/>
  <c r="F21" i="42"/>
  <c r="G21" i="42" s="1"/>
  <c r="F20" i="42"/>
  <c r="G20" i="42" s="1"/>
  <c r="F16" i="39"/>
  <c r="F17" i="39"/>
  <c r="F18" i="39"/>
  <c r="F19" i="39"/>
  <c r="F20" i="39"/>
  <c r="E16" i="39"/>
  <c r="E17" i="39"/>
  <c r="E18" i="39"/>
  <c r="E19" i="39"/>
  <c r="G19" i="39" s="1"/>
  <c r="I19" i="39" s="1"/>
  <c r="E20" i="39"/>
  <c r="U100" i="2"/>
  <c r="K100" i="2"/>
  <c r="O100" i="2"/>
  <c r="P100" i="2"/>
  <c r="N100" i="2" s="1"/>
  <c r="K17" i="28"/>
  <c r="G20" i="39" l="1"/>
  <c r="I20" i="39" s="1"/>
  <c r="G18" i="39"/>
  <c r="I18" i="39" s="1"/>
  <c r="G16" i="39"/>
  <c r="I16" i="39" s="1"/>
  <c r="G17" i="39"/>
  <c r="I17" i="39" s="1"/>
  <c r="O317" i="2"/>
  <c r="Q317" i="2"/>
  <c r="O318" i="2"/>
  <c r="Q318" i="2"/>
  <c r="O319" i="2"/>
  <c r="Q319" i="2"/>
  <c r="O320" i="2"/>
  <c r="Q320" i="2"/>
  <c r="O321" i="2"/>
  <c r="Q321" i="2"/>
  <c r="O322" i="2"/>
  <c r="Q322" i="2"/>
  <c r="O323" i="2"/>
  <c r="Q323" i="2"/>
  <c r="O324" i="2"/>
  <c r="Q324" i="2"/>
  <c r="O325" i="2"/>
  <c r="Q325" i="2"/>
  <c r="O326" i="2"/>
  <c r="Q326" i="2"/>
  <c r="O327" i="2"/>
  <c r="Q327" i="2"/>
  <c r="O328" i="2"/>
  <c r="Q328" i="2"/>
  <c r="O329" i="2"/>
  <c r="Q329" i="2"/>
  <c r="O330" i="2"/>
  <c r="Q330" i="2"/>
  <c r="O331" i="2"/>
  <c r="Q331" i="2"/>
  <c r="O332" i="2"/>
  <c r="Q332" i="2"/>
  <c r="O333" i="2"/>
  <c r="Q333" i="2"/>
  <c r="O334" i="2"/>
  <c r="Q334" i="2"/>
  <c r="O335" i="2"/>
  <c r="Q335" i="2"/>
  <c r="O336" i="2"/>
  <c r="Q336" i="2"/>
  <c r="O337" i="2"/>
  <c r="Q337" i="2"/>
  <c r="O338" i="2"/>
  <c r="Q338" i="2"/>
  <c r="O339" i="2"/>
  <c r="Q339" i="2"/>
  <c r="O340" i="2"/>
  <c r="Q340" i="2"/>
  <c r="O341" i="2"/>
  <c r="Q341" i="2"/>
  <c r="O342" i="2"/>
  <c r="Q342" i="2"/>
  <c r="O343" i="2"/>
  <c r="Q343" i="2"/>
  <c r="O344" i="2"/>
  <c r="Q344" i="2"/>
  <c r="O345" i="2"/>
  <c r="Q345" i="2"/>
  <c r="K317" i="2"/>
  <c r="U317" i="2" s="1"/>
  <c r="K318" i="2"/>
  <c r="U318" i="2" s="1"/>
  <c r="K319" i="2"/>
  <c r="U319" i="2" s="1"/>
  <c r="K320" i="2"/>
  <c r="U320" i="2" s="1"/>
  <c r="K321" i="2"/>
  <c r="U321" i="2" s="1"/>
  <c r="K322" i="2"/>
  <c r="U322" i="2" s="1"/>
  <c r="K323" i="2"/>
  <c r="U323" i="2" s="1"/>
  <c r="K324" i="2"/>
  <c r="U324" i="2" s="1"/>
  <c r="K325" i="2"/>
  <c r="U325" i="2" s="1"/>
  <c r="K326" i="2"/>
  <c r="U326" i="2" s="1"/>
  <c r="K327" i="2"/>
  <c r="U327" i="2" s="1"/>
  <c r="K328" i="2"/>
  <c r="U328" i="2" s="1"/>
  <c r="K329" i="2"/>
  <c r="U329" i="2" s="1"/>
  <c r="K330" i="2"/>
  <c r="U330" i="2" s="1"/>
  <c r="K331" i="2"/>
  <c r="U331" i="2" s="1"/>
  <c r="K332" i="2"/>
  <c r="U332" i="2" s="1"/>
  <c r="K333" i="2"/>
  <c r="U333" i="2" s="1"/>
  <c r="K334" i="2"/>
  <c r="U334" i="2" s="1"/>
  <c r="K335" i="2"/>
  <c r="U335" i="2" s="1"/>
  <c r="K336" i="2"/>
  <c r="U336" i="2" s="1"/>
  <c r="K337" i="2"/>
  <c r="U337" i="2" s="1"/>
  <c r="K338" i="2"/>
  <c r="U338" i="2" s="1"/>
  <c r="K339" i="2"/>
  <c r="U339" i="2" s="1"/>
  <c r="K340" i="2"/>
  <c r="U340" i="2" s="1"/>
  <c r="K341" i="2"/>
  <c r="U341" i="2" s="1"/>
  <c r="K342" i="2"/>
  <c r="U342" i="2" s="1"/>
  <c r="K343" i="2"/>
  <c r="U343" i="2" s="1"/>
  <c r="K344" i="2"/>
  <c r="U344" i="2" s="1"/>
  <c r="K345" i="2"/>
  <c r="U345" i="2" s="1"/>
  <c r="F35" i="39"/>
  <c r="F36" i="39"/>
  <c r="F37" i="39"/>
  <c r="H18" i="35"/>
  <c r="O310" i="2" l="1"/>
  <c r="Q310" i="2"/>
  <c r="O311" i="2"/>
  <c r="Q311" i="2"/>
  <c r="O312" i="2"/>
  <c r="Q312" i="2"/>
  <c r="O313" i="2"/>
  <c r="Q313" i="2"/>
  <c r="O314" i="2"/>
  <c r="Q314" i="2"/>
  <c r="O315" i="2"/>
  <c r="Q315" i="2"/>
  <c r="O316" i="2"/>
  <c r="Q316" i="2"/>
  <c r="K310" i="2"/>
  <c r="U310" i="2" s="1"/>
  <c r="K311" i="2"/>
  <c r="U311" i="2" s="1"/>
  <c r="K312" i="2"/>
  <c r="U312" i="2" s="1"/>
  <c r="K313" i="2"/>
  <c r="U313" i="2" s="1"/>
  <c r="K314" i="2"/>
  <c r="U314" i="2" s="1"/>
  <c r="K315" i="2"/>
  <c r="U315" i="2" s="1"/>
  <c r="K316" i="2"/>
  <c r="U316" i="2" s="1"/>
  <c r="N105" i="2" l="1"/>
  <c r="O105" i="2"/>
  <c r="P105" i="2"/>
  <c r="Q105" i="2"/>
  <c r="O106" i="2"/>
  <c r="Q106" i="2"/>
  <c r="N107" i="2"/>
  <c r="O107" i="2"/>
  <c r="P107" i="2"/>
  <c r="Q107" i="2"/>
  <c r="O108" i="2"/>
  <c r="Q108" i="2"/>
  <c r="O109" i="2"/>
  <c r="Q109" i="2"/>
  <c r="O110" i="2"/>
  <c r="Q110" i="2"/>
  <c r="O111" i="2"/>
  <c r="Q111" i="2"/>
  <c r="O112" i="2"/>
  <c r="Q112" i="2"/>
  <c r="O113" i="2"/>
  <c r="Q113" i="2"/>
  <c r="O114" i="2"/>
  <c r="Q114" i="2"/>
  <c r="O115" i="2"/>
  <c r="Q115" i="2"/>
  <c r="O116" i="2"/>
  <c r="Q116" i="2"/>
  <c r="O117" i="2"/>
  <c r="Q117" i="2"/>
  <c r="O118" i="2"/>
  <c r="Q118" i="2"/>
  <c r="O119" i="2"/>
  <c r="Q119" i="2"/>
  <c r="O120" i="2"/>
  <c r="Q120" i="2"/>
  <c r="O121" i="2"/>
  <c r="Q121" i="2"/>
  <c r="O122" i="2"/>
  <c r="Q122" i="2"/>
  <c r="O123" i="2"/>
  <c r="Q123" i="2"/>
  <c r="O124" i="2"/>
  <c r="Q124" i="2"/>
  <c r="O127" i="2"/>
  <c r="Q127" i="2"/>
  <c r="O128" i="2"/>
  <c r="Q128" i="2"/>
  <c r="O129" i="2"/>
  <c r="Q129" i="2"/>
  <c r="O130" i="2"/>
  <c r="Q130" i="2"/>
  <c r="O131" i="2"/>
  <c r="Q131" i="2"/>
  <c r="O132" i="2"/>
  <c r="Q132" i="2"/>
  <c r="O133" i="2"/>
  <c r="Q133" i="2"/>
  <c r="O134" i="2"/>
  <c r="Q134" i="2"/>
  <c r="O135" i="2"/>
  <c r="Q135" i="2"/>
  <c r="O136" i="2"/>
  <c r="Q136" i="2"/>
  <c r="O137" i="2"/>
  <c r="Q137" i="2"/>
  <c r="O138" i="2"/>
  <c r="Q138" i="2"/>
  <c r="O139" i="2"/>
  <c r="Q139" i="2"/>
  <c r="O140" i="2"/>
  <c r="Q140" i="2"/>
  <c r="O141" i="2"/>
  <c r="Q141" i="2"/>
  <c r="O142" i="2"/>
  <c r="Q142" i="2"/>
  <c r="O143" i="2"/>
  <c r="Q143" i="2"/>
  <c r="O144" i="2"/>
  <c r="Q144" i="2"/>
  <c r="O145" i="2"/>
  <c r="Q145" i="2"/>
  <c r="O146" i="2"/>
  <c r="Q146" i="2"/>
  <c r="O147" i="2"/>
  <c r="Q147" i="2"/>
  <c r="O148" i="2"/>
  <c r="Q148" i="2"/>
  <c r="O149" i="2"/>
  <c r="Q149" i="2"/>
  <c r="O150" i="2"/>
  <c r="Q150" i="2"/>
  <c r="O151" i="2"/>
  <c r="Q151" i="2"/>
  <c r="O152" i="2"/>
  <c r="Q152" i="2"/>
  <c r="O156" i="2"/>
  <c r="Q156" i="2"/>
  <c r="O157" i="2"/>
  <c r="Q157" i="2"/>
  <c r="O158" i="2"/>
  <c r="Q158" i="2"/>
  <c r="O159" i="2"/>
  <c r="Q159" i="2"/>
  <c r="O162" i="2"/>
  <c r="Q162" i="2"/>
  <c r="O163" i="2"/>
  <c r="Q163" i="2"/>
  <c r="O164" i="2"/>
  <c r="Q164" i="2"/>
  <c r="O165" i="2"/>
  <c r="Q165" i="2"/>
  <c r="O166" i="2"/>
  <c r="Q166" i="2"/>
  <c r="O167" i="2"/>
  <c r="Q167" i="2"/>
  <c r="O168" i="2"/>
  <c r="Q168" i="2"/>
  <c r="O169" i="2"/>
  <c r="Q169" i="2"/>
  <c r="O170" i="2"/>
  <c r="Q170" i="2"/>
  <c r="O171" i="2"/>
  <c r="Q171" i="2"/>
  <c r="O172" i="2"/>
  <c r="Q172" i="2"/>
  <c r="O173" i="2"/>
  <c r="Q173" i="2"/>
  <c r="O174" i="2"/>
  <c r="Q174" i="2"/>
  <c r="O175" i="2"/>
  <c r="Q175" i="2"/>
  <c r="O176" i="2"/>
  <c r="Q176" i="2"/>
  <c r="O177" i="2"/>
  <c r="Q177" i="2"/>
  <c r="O178" i="2"/>
  <c r="Q178" i="2"/>
  <c r="O179" i="2"/>
  <c r="Q179" i="2"/>
  <c r="O180" i="2"/>
  <c r="Q180" i="2"/>
  <c r="O181" i="2"/>
  <c r="Q181" i="2"/>
  <c r="O182" i="2"/>
  <c r="Q182" i="2"/>
  <c r="O183" i="2"/>
  <c r="Q183" i="2"/>
  <c r="O184" i="2"/>
  <c r="Q184" i="2"/>
  <c r="O185" i="2"/>
  <c r="Q185" i="2"/>
  <c r="O186" i="2"/>
  <c r="Q186" i="2"/>
  <c r="O187" i="2"/>
  <c r="Q187" i="2"/>
  <c r="O188" i="2"/>
  <c r="Q188" i="2"/>
  <c r="O189" i="2"/>
  <c r="Q189" i="2"/>
  <c r="O190" i="2"/>
  <c r="Q190" i="2"/>
  <c r="O191" i="2"/>
  <c r="Q191" i="2"/>
  <c r="O192" i="2"/>
  <c r="Q192" i="2"/>
  <c r="O193" i="2"/>
  <c r="Q193" i="2"/>
  <c r="O194" i="2"/>
  <c r="Q194" i="2"/>
  <c r="O195" i="2"/>
  <c r="Q195" i="2"/>
  <c r="O196" i="2"/>
  <c r="Q196" i="2"/>
  <c r="O197" i="2"/>
  <c r="Q197" i="2"/>
  <c r="O198" i="2"/>
  <c r="Q198" i="2"/>
  <c r="O201" i="2"/>
  <c r="Q201" i="2"/>
  <c r="O202" i="2"/>
  <c r="Q202" i="2"/>
  <c r="O203" i="2"/>
  <c r="Q203" i="2"/>
  <c r="O204" i="2"/>
  <c r="Q204" i="2"/>
  <c r="O205" i="2"/>
  <c r="Q205" i="2"/>
  <c r="O206" i="2"/>
  <c r="Q206" i="2"/>
  <c r="O207" i="2"/>
  <c r="Q207" i="2"/>
  <c r="O208" i="2"/>
  <c r="Q208" i="2"/>
  <c r="O209" i="2"/>
  <c r="Q209" i="2"/>
  <c r="O210" i="2"/>
  <c r="Q210" i="2"/>
  <c r="O211" i="2"/>
  <c r="Q211" i="2"/>
  <c r="O212" i="2"/>
  <c r="Q212" i="2"/>
  <c r="O213" i="2"/>
  <c r="Q213" i="2"/>
  <c r="O214" i="2"/>
  <c r="Q214" i="2"/>
  <c r="O215" i="2"/>
  <c r="Q215" i="2"/>
  <c r="O216" i="2"/>
  <c r="Q216" i="2"/>
  <c r="O217" i="2"/>
  <c r="Q217" i="2"/>
  <c r="O218" i="2"/>
  <c r="Q218" i="2"/>
  <c r="O224" i="2"/>
  <c r="Q224" i="2"/>
  <c r="O225" i="2"/>
  <c r="Q225" i="2"/>
  <c r="O226" i="2"/>
  <c r="Q226" i="2"/>
  <c r="O227" i="2"/>
  <c r="Q227" i="2"/>
  <c r="O228" i="2"/>
  <c r="Q228" i="2"/>
  <c r="O229" i="2"/>
  <c r="Q229" i="2"/>
  <c r="O230" i="2"/>
  <c r="Q230" i="2"/>
  <c r="O231" i="2"/>
  <c r="Q231" i="2"/>
  <c r="O232" i="2"/>
  <c r="Q232" i="2"/>
  <c r="O233" i="2"/>
  <c r="Q233" i="2"/>
  <c r="O234" i="2"/>
  <c r="Q234" i="2"/>
  <c r="O235" i="2"/>
  <c r="Q235" i="2"/>
  <c r="O236" i="2"/>
  <c r="Q236" i="2"/>
  <c r="O237" i="2"/>
  <c r="Q237" i="2"/>
  <c r="O238" i="2"/>
  <c r="Q238" i="2"/>
  <c r="O239" i="2"/>
  <c r="Q239" i="2"/>
  <c r="O240" i="2"/>
  <c r="Q240" i="2"/>
  <c r="O241" i="2"/>
  <c r="Q241" i="2"/>
  <c r="O242" i="2"/>
  <c r="Q242" i="2"/>
  <c r="O243" i="2"/>
  <c r="Q243" i="2"/>
  <c r="O244" i="2"/>
  <c r="Q244" i="2"/>
  <c r="O245" i="2"/>
  <c r="Q245" i="2"/>
  <c r="O246" i="2"/>
  <c r="Q246" i="2"/>
  <c r="O247" i="2"/>
  <c r="Q247" i="2"/>
  <c r="O248" i="2"/>
  <c r="Q248" i="2"/>
  <c r="O249" i="2"/>
  <c r="Q249" i="2"/>
  <c r="O250" i="2"/>
  <c r="Q250" i="2"/>
  <c r="O251" i="2"/>
  <c r="Q251" i="2"/>
  <c r="O252" i="2"/>
  <c r="Q252" i="2"/>
  <c r="O253" i="2"/>
  <c r="Q253" i="2"/>
  <c r="O254" i="2"/>
  <c r="Q254" i="2"/>
  <c r="O255" i="2"/>
  <c r="Q255" i="2"/>
  <c r="O256" i="2"/>
  <c r="Q256" i="2"/>
  <c r="O257" i="2"/>
  <c r="Q257" i="2"/>
  <c r="O258" i="2"/>
  <c r="Q258" i="2"/>
  <c r="O259" i="2"/>
  <c r="Q259" i="2"/>
  <c r="O260" i="2"/>
  <c r="Q260" i="2"/>
  <c r="O261" i="2"/>
  <c r="Q261" i="2"/>
  <c r="O262" i="2"/>
  <c r="Q262" i="2"/>
  <c r="O263" i="2"/>
  <c r="Q263" i="2"/>
  <c r="O264" i="2"/>
  <c r="Q264" i="2"/>
  <c r="O265" i="2"/>
  <c r="Q265" i="2"/>
  <c r="O266" i="2"/>
  <c r="Q266" i="2"/>
  <c r="O267" i="2"/>
  <c r="Q267" i="2"/>
  <c r="O268" i="2"/>
  <c r="P268" i="2"/>
  <c r="N268" i="2" s="1"/>
  <c r="Q268" i="2"/>
  <c r="O271" i="2"/>
  <c r="Q271" i="2"/>
  <c r="O272" i="2"/>
  <c r="Q272" i="2"/>
  <c r="O273" i="2"/>
  <c r="Q273" i="2"/>
  <c r="O274" i="2"/>
  <c r="P274" i="2"/>
  <c r="N274" i="2" s="1"/>
  <c r="Q274" i="2"/>
  <c r="O275" i="2"/>
  <c r="Q275" i="2"/>
  <c r="O276" i="2"/>
  <c r="Q276" i="2"/>
  <c r="O277" i="2"/>
  <c r="Q277" i="2"/>
  <c r="O278" i="2"/>
  <c r="Q278" i="2"/>
  <c r="O279" i="2"/>
  <c r="Q279" i="2"/>
  <c r="O280" i="2"/>
  <c r="Q280" i="2"/>
  <c r="O281" i="2"/>
  <c r="Q281" i="2"/>
  <c r="O282" i="2"/>
  <c r="Q282" i="2"/>
  <c r="O283" i="2"/>
  <c r="Q283" i="2"/>
  <c r="O284" i="2"/>
  <c r="Q284" i="2"/>
  <c r="O285" i="2"/>
  <c r="Q285" i="2"/>
  <c r="O286" i="2"/>
  <c r="Q286" i="2"/>
  <c r="O287" i="2"/>
  <c r="Q287" i="2"/>
  <c r="O288" i="2"/>
  <c r="Q288" i="2"/>
  <c r="O289" i="2"/>
  <c r="Q289" i="2"/>
  <c r="O290" i="2"/>
  <c r="Q290" i="2"/>
  <c r="O291" i="2"/>
  <c r="Q291" i="2"/>
  <c r="O292" i="2"/>
  <c r="Q292" i="2"/>
  <c r="O293" i="2"/>
  <c r="Q293" i="2"/>
  <c r="O294" i="2"/>
  <c r="Q294" i="2"/>
  <c r="O295" i="2"/>
  <c r="Q295" i="2"/>
  <c r="O296" i="2"/>
  <c r="Q296" i="2"/>
  <c r="O297" i="2"/>
  <c r="Q297" i="2"/>
  <c r="O298" i="2"/>
  <c r="Q298" i="2"/>
  <c r="O299" i="2"/>
  <c r="Q299" i="2"/>
  <c r="O300" i="2"/>
  <c r="Q300" i="2"/>
  <c r="O301" i="2"/>
  <c r="Q301" i="2"/>
  <c r="O306" i="2"/>
  <c r="Q306" i="2"/>
  <c r="O307" i="2"/>
  <c r="Q307" i="2"/>
  <c r="O308" i="2"/>
  <c r="P308" i="2"/>
  <c r="N308" i="2" s="1"/>
  <c r="Q308" i="2"/>
  <c r="O309" i="2"/>
  <c r="Q309" i="2"/>
  <c r="K105" i="2"/>
  <c r="U105" i="2" s="1"/>
  <c r="K106" i="2"/>
  <c r="U106" i="2" s="1"/>
  <c r="K107" i="2"/>
  <c r="U107" i="2" s="1"/>
  <c r="K108" i="2"/>
  <c r="U108" i="2" s="1"/>
  <c r="K109" i="2"/>
  <c r="U109" i="2" s="1"/>
  <c r="K110" i="2"/>
  <c r="U110" i="2" s="1"/>
  <c r="K111" i="2"/>
  <c r="U111" i="2" s="1"/>
  <c r="K112" i="2"/>
  <c r="U112" i="2" s="1"/>
  <c r="K113" i="2"/>
  <c r="U113" i="2" s="1"/>
  <c r="K114" i="2"/>
  <c r="U114" i="2" s="1"/>
  <c r="K115" i="2"/>
  <c r="U115" i="2" s="1"/>
  <c r="K116" i="2"/>
  <c r="U116" i="2" s="1"/>
  <c r="K117" i="2"/>
  <c r="U117" i="2" s="1"/>
  <c r="K118" i="2"/>
  <c r="U118" i="2" s="1"/>
  <c r="K119" i="2"/>
  <c r="U119" i="2" s="1"/>
  <c r="K120" i="2"/>
  <c r="U120" i="2" s="1"/>
  <c r="K121" i="2"/>
  <c r="U121" i="2" s="1"/>
  <c r="K122" i="2"/>
  <c r="U122" i="2" s="1"/>
  <c r="K123" i="2"/>
  <c r="U123" i="2" s="1"/>
  <c r="K124" i="2"/>
  <c r="U124" i="2" s="1"/>
  <c r="K125" i="2"/>
  <c r="U125" i="2" s="1"/>
  <c r="K126" i="2"/>
  <c r="U126" i="2" s="1"/>
  <c r="K127" i="2"/>
  <c r="U127" i="2" s="1"/>
  <c r="K128" i="2"/>
  <c r="U128" i="2" s="1"/>
  <c r="K129" i="2"/>
  <c r="U129" i="2" s="1"/>
  <c r="K130" i="2"/>
  <c r="U130" i="2" s="1"/>
  <c r="K131" i="2"/>
  <c r="U131" i="2" s="1"/>
  <c r="K132" i="2"/>
  <c r="U132" i="2" s="1"/>
  <c r="K133" i="2"/>
  <c r="U133" i="2" s="1"/>
  <c r="K134" i="2"/>
  <c r="U134" i="2" s="1"/>
  <c r="K135" i="2"/>
  <c r="U135" i="2" s="1"/>
  <c r="K136" i="2"/>
  <c r="U136" i="2" s="1"/>
  <c r="K137" i="2"/>
  <c r="U137" i="2" s="1"/>
  <c r="K138" i="2"/>
  <c r="U138" i="2" s="1"/>
  <c r="K139" i="2"/>
  <c r="U139" i="2" s="1"/>
  <c r="K140" i="2"/>
  <c r="U140" i="2" s="1"/>
  <c r="K141" i="2"/>
  <c r="U141" i="2" s="1"/>
  <c r="K142" i="2"/>
  <c r="U142" i="2" s="1"/>
  <c r="K143" i="2"/>
  <c r="U143" i="2" s="1"/>
  <c r="K144" i="2"/>
  <c r="U144" i="2" s="1"/>
  <c r="K145" i="2"/>
  <c r="U145" i="2" s="1"/>
  <c r="K146" i="2"/>
  <c r="U146" i="2" s="1"/>
  <c r="K147" i="2"/>
  <c r="U147" i="2" s="1"/>
  <c r="K148" i="2"/>
  <c r="U148" i="2" s="1"/>
  <c r="K149" i="2"/>
  <c r="U149" i="2" s="1"/>
  <c r="K150" i="2"/>
  <c r="U150" i="2" s="1"/>
  <c r="K151" i="2"/>
  <c r="U151" i="2" s="1"/>
  <c r="K152" i="2"/>
  <c r="U152" i="2" s="1"/>
  <c r="K153" i="2"/>
  <c r="U153" i="2" s="1"/>
  <c r="K154" i="2"/>
  <c r="U154" i="2" s="1"/>
  <c r="K155" i="2"/>
  <c r="U155" i="2" s="1"/>
  <c r="K156" i="2"/>
  <c r="U156" i="2" s="1"/>
  <c r="K157" i="2"/>
  <c r="U157" i="2" s="1"/>
  <c r="K158" i="2"/>
  <c r="U158" i="2" s="1"/>
  <c r="K159" i="2"/>
  <c r="U159" i="2" s="1"/>
  <c r="K160" i="2"/>
  <c r="U160" i="2" s="1"/>
  <c r="K161" i="2"/>
  <c r="U161" i="2" s="1"/>
  <c r="K162" i="2"/>
  <c r="U162" i="2" s="1"/>
  <c r="K163" i="2"/>
  <c r="U163" i="2" s="1"/>
  <c r="K164" i="2"/>
  <c r="U164" i="2" s="1"/>
  <c r="K165" i="2"/>
  <c r="U165" i="2" s="1"/>
  <c r="K166" i="2"/>
  <c r="U166" i="2" s="1"/>
  <c r="K167" i="2"/>
  <c r="U167" i="2" s="1"/>
  <c r="K168" i="2"/>
  <c r="U168" i="2" s="1"/>
  <c r="K169" i="2"/>
  <c r="U169" i="2" s="1"/>
  <c r="K170" i="2"/>
  <c r="U170" i="2" s="1"/>
  <c r="K171" i="2"/>
  <c r="U171" i="2" s="1"/>
  <c r="K172" i="2"/>
  <c r="U172" i="2" s="1"/>
  <c r="K173" i="2"/>
  <c r="U173" i="2" s="1"/>
  <c r="K174" i="2"/>
  <c r="U174" i="2" s="1"/>
  <c r="K175" i="2"/>
  <c r="U175" i="2" s="1"/>
  <c r="K176" i="2"/>
  <c r="U176" i="2" s="1"/>
  <c r="K177" i="2"/>
  <c r="U177" i="2" s="1"/>
  <c r="K178" i="2"/>
  <c r="U178" i="2" s="1"/>
  <c r="K179" i="2"/>
  <c r="U179" i="2" s="1"/>
  <c r="K180" i="2"/>
  <c r="U180" i="2" s="1"/>
  <c r="K181" i="2"/>
  <c r="U181" i="2" s="1"/>
  <c r="K182" i="2"/>
  <c r="U182" i="2" s="1"/>
  <c r="K183" i="2"/>
  <c r="U183" i="2" s="1"/>
  <c r="K184" i="2"/>
  <c r="U184" i="2" s="1"/>
  <c r="K185" i="2"/>
  <c r="U185" i="2" s="1"/>
  <c r="K186" i="2"/>
  <c r="U186" i="2" s="1"/>
  <c r="K187" i="2"/>
  <c r="U187" i="2" s="1"/>
  <c r="K188" i="2"/>
  <c r="U188" i="2" s="1"/>
  <c r="K189" i="2"/>
  <c r="U189" i="2" s="1"/>
  <c r="K190" i="2"/>
  <c r="U190" i="2" s="1"/>
  <c r="K191" i="2"/>
  <c r="U191" i="2" s="1"/>
  <c r="K192" i="2"/>
  <c r="U192" i="2" s="1"/>
  <c r="K193" i="2"/>
  <c r="U193" i="2" s="1"/>
  <c r="K194" i="2"/>
  <c r="U194" i="2" s="1"/>
  <c r="K195" i="2"/>
  <c r="U195" i="2" s="1"/>
  <c r="K196" i="2"/>
  <c r="U196" i="2" s="1"/>
  <c r="K197" i="2"/>
  <c r="U197" i="2" s="1"/>
  <c r="K198" i="2"/>
  <c r="U198" i="2" s="1"/>
  <c r="K199" i="2"/>
  <c r="U199" i="2" s="1"/>
  <c r="K200" i="2"/>
  <c r="U200" i="2" s="1"/>
  <c r="K201" i="2"/>
  <c r="U201" i="2" s="1"/>
  <c r="K202" i="2"/>
  <c r="U202" i="2" s="1"/>
  <c r="K203" i="2"/>
  <c r="U203" i="2" s="1"/>
  <c r="K204" i="2"/>
  <c r="U204" i="2" s="1"/>
  <c r="K205" i="2"/>
  <c r="U205" i="2" s="1"/>
  <c r="K206" i="2"/>
  <c r="U206" i="2" s="1"/>
  <c r="K207" i="2"/>
  <c r="U207" i="2" s="1"/>
  <c r="K208" i="2"/>
  <c r="U208" i="2" s="1"/>
  <c r="K209" i="2"/>
  <c r="U209" i="2" s="1"/>
  <c r="K210" i="2"/>
  <c r="U210" i="2" s="1"/>
  <c r="K211" i="2"/>
  <c r="U211" i="2" s="1"/>
  <c r="K212" i="2"/>
  <c r="U212" i="2" s="1"/>
  <c r="K213" i="2"/>
  <c r="U213" i="2" s="1"/>
  <c r="K214" i="2"/>
  <c r="U214" i="2" s="1"/>
  <c r="K215" i="2"/>
  <c r="U215" i="2" s="1"/>
  <c r="K216" i="2"/>
  <c r="U216" i="2" s="1"/>
  <c r="K217" i="2"/>
  <c r="U217" i="2" s="1"/>
  <c r="K218" i="2"/>
  <c r="U218" i="2" s="1"/>
  <c r="K219" i="2"/>
  <c r="U219" i="2" s="1"/>
  <c r="K220" i="2"/>
  <c r="U220" i="2" s="1"/>
  <c r="K221" i="2"/>
  <c r="U221" i="2" s="1"/>
  <c r="K222" i="2"/>
  <c r="U222" i="2" s="1"/>
  <c r="K223" i="2"/>
  <c r="U223" i="2" s="1"/>
  <c r="K224" i="2"/>
  <c r="U224" i="2" s="1"/>
  <c r="K225" i="2"/>
  <c r="U225" i="2" s="1"/>
  <c r="K226" i="2"/>
  <c r="U226" i="2" s="1"/>
  <c r="K227" i="2"/>
  <c r="U227" i="2" s="1"/>
  <c r="K228" i="2"/>
  <c r="U228" i="2" s="1"/>
  <c r="K229" i="2"/>
  <c r="U229" i="2" s="1"/>
  <c r="K230" i="2"/>
  <c r="U230" i="2" s="1"/>
  <c r="K231" i="2"/>
  <c r="U231" i="2" s="1"/>
  <c r="K232" i="2"/>
  <c r="U232" i="2" s="1"/>
  <c r="K233" i="2"/>
  <c r="U233" i="2" s="1"/>
  <c r="K234" i="2"/>
  <c r="U234" i="2" s="1"/>
  <c r="K235" i="2"/>
  <c r="U235" i="2" s="1"/>
  <c r="K236" i="2"/>
  <c r="U236" i="2" s="1"/>
  <c r="K237" i="2"/>
  <c r="U237" i="2" s="1"/>
  <c r="K238" i="2"/>
  <c r="U238" i="2" s="1"/>
  <c r="K239" i="2"/>
  <c r="U239" i="2" s="1"/>
  <c r="K240" i="2"/>
  <c r="U240" i="2" s="1"/>
  <c r="K241" i="2"/>
  <c r="U241" i="2" s="1"/>
  <c r="K242" i="2"/>
  <c r="U242" i="2" s="1"/>
  <c r="K243" i="2"/>
  <c r="U243" i="2" s="1"/>
  <c r="K244" i="2"/>
  <c r="U244" i="2" s="1"/>
  <c r="K245" i="2"/>
  <c r="U245" i="2" s="1"/>
  <c r="K246" i="2"/>
  <c r="U246" i="2" s="1"/>
  <c r="K247" i="2"/>
  <c r="U247" i="2" s="1"/>
  <c r="K248" i="2"/>
  <c r="U248" i="2" s="1"/>
  <c r="K249" i="2"/>
  <c r="U249" i="2" s="1"/>
  <c r="K250" i="2"/>
  <c r="U250" i="2" s="1"/>
  <c r="K251" i="2"/>
  <c r="U251" i="2" s="1"/>
  <c r="K252" i="2"/>
  <c r="U252" i="2" s="1"/>
  <c r="K253" i="2"/>
  <c r="U253" i="2" s="1"/>
  <c r="K254" i="2"/>
  <c r="U254" i="2" s="1"/>
  <c r="K255" i="2"/>
  <c r="U255" i="2" s="1"/>
  <c r="K256" i="2"/>
  <c r="U256" i="2" s="1"/>
  <c r="K257" i="2"/>
  <c r="U257" i="2" s="1"/>
  <c r="K258" i="2"/>
  <c r="U258" i="2" s="1"/>
  <c r="K259" i="2"/>
  <c r="U259" i="2" s="1"/>
  <c r="K260" i="2"/>
  <c r="U260" i="2" s="1"/>
  <c r="K261" i="2"/>
  <c r="U261" i="2" s="1"/>
  <c r="K262" i="2"/>
  <c r="U262" i="2" s="1"/>
  <c r="K263" i="2"/>
  <c r="U263" i="2" s="1"/>
  <c r="K264" i="2"/>
  <c r="U264" i="2" s="1"/>
  <c r="K265" i="2"/>
  <c r="U265" i="2" s="1"/>
  <c r="K266" i="2"/>
  <c r="U266" i="2" s="1"/>
  <c r="K267" i="2"/>
  <c r="U267" i="2" s="1"/>
  <c r="K268" i="2"/>
  <c r="U268" i="2" s="1"/>
  <c r="K269" i="2"/>
  <c r="U269" i="2" s="1"/>
  <c r="K270" i="2"/>
  <c r="U270" i="2" s="1"/>
  <c r="K271" i="2"/>
  <c r="U271" i="2" s="1"/>
  <c r="K272" i="2"/>
  <c r="U272" i="2" s="1"/>
  <c r="K273" i="2"/>
  <c r="U273" i="2" s="1"/>
  <c r="K274" i="2"/>
  <c r="U274" i="2" s="1"/>
  <c r="K275" i="2"/>
  <c r="U275" i="2" s="1"/>
  <c r="K276" i="2"/>
  <c r="U276" i="2" s="1"/>
  <c r="K277" i="2"/>
  <c r="U277" i="2" s="1"/>
  <c r="K278" i="2"/>
  <c r="U278" i="2" s="1"/>
  <c r="K279" i="2"/>
  <c r="U279" i="2" s="1"/>
  <c r="K280" i="2"/>
  <c r="U280" i="2" s="1"/>
  <c r="K281" i="2"/>
  <c r="U281" i="2" s="1"/>
  <c r="K282" i="2"/>
  <c r="U282" i="2" s="1"/>
  <c r="K283" i="2"/>
  <c r="U283" i="2" s="1"/>
  <c r="K284" i="2"/>
  <c r="U284" i="2" s="1"/>
  <c r="K285" i="2"/>
  <c r="U285" i="2" s="1"/>
  <c r="K286" i="2"/>
  <c r="U286" i="2" s="1"/>
  <c r="K287" i="2"/>
  <c r="U287" i="2" s="1"/>
  <c r="K288" i="2"/>
  <c r="U288" i="2" s="1"/>
  <c r="K289" i="2"/>
  <c r="U289" i="2" s="1"/>
  <c r="K290" i="2"/>
  <c r="U290" i="2" s="1"/>
  <c r="K291" i="2"/>
  <c r="U291" i="2" s="1"/>
  <c r="K292" i="2"/>
  <c r="U292" i="2" s="1"/>
  <c r="K293" i="2"/>
  <c r="U293" i="2" s="1"/>
  <c r="K294" i="2"/>
  <c r="U294" i="2" s="1"/>
  <c r="K295" i="2"/>
  <c r="U295" i="2" s="1"/>
  <c r="K296" i="2"/>
  <c r="U296" i="2" s="1"/>
  <c r="K297" i="2"/>
  <c r="U297" i="2" s="1"/>
  <c r="K298" i="2"/>
  <c r="U298" i="2" s="1"/>
  <c r="K299" i="2"/>
  <c r="U299" i="2" s="1"/>
  <c r="K300" i="2"/>
  <c r="U300" i="2" s="1"/>
  <c r="K301" i="2"/>
  <c r="U301" i="2" s="1"/>
  <c r="K302" i="2"/>
  <c r="U302" i="2" s="1"/>
  <c r="K303" i="2"/>
  <c r="U303" i="2" s="1"/>
  <c r="K304" i="2"/>
  <c r="U304" i="2" s="1"/>
  <c r="K305" i="2"/>
  <c r="U305" i="2" s="1"/>
  <c r="K306" i="2"/>
  <c r="U306" i="2" s="1"/>
  <c r="K307" i="2"/>
  <c r="U307" i="2" s="1"/>
  <c r="K308" i="2"/>
  <c r="U308" i="2" s="1"/>
  <c r="K309" i="2"/>
  <c r="U309" i="2" s="1"/>
  <c r="F26" i="39" l="1"/>
  <c r="F27" i="39"/>
  <c r="B4" i="37"/>
  <c r="F24" i="39" l="1"/>
  <c r="F30" i="39"/>
  <c r="F23" i="39"/>
  <c r="F31" i="39"/>
  <c r="F29" i="39"/>
  <c r="F22" i="39"/>
  <c r="F32" i="39"/>
  <c r="F28" i="39"/>
  <c r="F21" i="39"/>
  <c r="F25" i="39"/>
  <c r="F34" i="39"/>
  <c r="F33" i="39"/>
  <c r="F11" i="42"/>
  <c r="O26" i="2"/>
  <c r="O27"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N62" i="2"/>
  <c r="O62" i="2"/>
  <c r="N63"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N92" i="2"/>
  <c r="O92" i="2"/>
  <c r="N93" i="2"/>
  <c r="O93" i="2"/>
  <c r="O94" i="2"/>
  <c r="O95" i="2"/>
  <c r="O96" i="2"/>
  <c r="O97" i="2"/>
  <c r="O98" i="2"/>
  <c r="O99" i="2"/>
  <c r="O101" i="2"/>
  <c r="O102" i="2"/>
  <c r="O103" i="2"/>
  <c r="O104" i="2"/>
  <c r="N40" i="18" l="1"/>
  <c r="N39" i="18"/>
  <c r="L39" i="18"/>
  <c r="L38" i="18"/>
  <c r="J38" i="18"/>
  <c r="J37" i="18"/>
  <c r="N36" i="18"/>
  <c r="N35" i="18"/>
  <c r="L35" i="18"/>
  <c r="L34" i="18"/>
  <c r="K34" i="18"/>
  <c r="J34" i="18"/>
  <c r="I34" i="18"/>
  <c r="M34" i="18"/>
  <c r="N34" i="18"/>
  <c r="I35" i="18"/>
  <c r="J35" i="18"/>
  <c r="K35" i="18"/>
  <c r="M35" i="18"/>
  <c r="I36" i="18"/>
  <c r="J36" i="18"/>
  <c r="K36" i="18"/>
  <c r="L36" i="18"/>
  <c r="M36" i="18"/>
  <c r="I37" i="18"/>
  <c r="K37" i="18"/>
  <c r="L37" i="18"/>
  <c r="M37" i="18"/>
  <c r="N37" i="18"/>
  <c r="I38" i="18"/>
  <c r="K38" i="18"/>
  <c r="M38" i="18"/>
  <c r="N38" i="18"/>
  <c r="I39" i="18"/>
  <c r="J39" i="18"/>
  <c r="K39" i="18"/>
  <c r="M39" i="18"/>
  <c r="I40" i="18"/>
  <c r="J40" i="18"/>
  <c r="K40" i="18"/>
  <c r="L40" i="18"/>
  <c r="M40" i="18"/>
  <c r="K26" i="2" l="1"/>
  <c r="U26" i="2" s="1"/>
  <c r="K27" i="2"/>
  <c r="U27" i="2" s="1"/>
  <c r="K28" i="2"/>
  <c r="U28" i="2" s="1"/>
  <c r="K29" i="2"/>
  <c r="U29" i="2" s="1"/>
  <c r="K30" i="2"/>
  <c r="U30" i="2" s="1"/>
  <c r="K31" i="2"/>
  <c r="U31" i="2" s="1"/>
  <c r="K32" i="2"/>
  <c r="U32" i="2" s="1"/>
  <c r="K33" i="2"/>
  <c r="U33" i="2" s="1"/>
  <c r="K34" i="2"/>
  <c r="U34" i="2" s="1"/>
  <c r="K35" i="2"/>
  <c r="U35" i="2" s="1"/>
  <c r="K36" i="2"/>
  <c r="U36" i="2" s="1"/>
  <c r="K37" i="2"/>
  <c r="U37" i="2" s="1"/>
  <c r="K38" i="2"/>
  <c r="U38" i="2" s="1"/>
  <c r="K39" i="2"/>
  <c r="U39" i="2" s="1"/>
  <c r="K40" i="2"/>
  <c r="U40" i="2" s="1"/>
  <c r="K41" i="2"/>
  <c r="U41" i="2" s="1"/>
  <c r="K42" i="2"/>
  <c r="U42" i="2" s="1"/>
  <c r="K43" i="2"/>
  <c r="U43" i="2" s="1"/>
  <c r="K44" i="2"/>
  <c r="U44" i="2" s="1"/>
  <c r="K45" i="2"/>
  <c r="U45" i="2" s="1"/>
  <c r="K46" i="2"/>
  <c r="U46" i="2" s="1"/>
  <c r="K47" i="2"/>
  <c r="U47" i="2" s="1"/>
  <c r="K48" i="2"/>
  <c r="U48" i="2" s="1"/>
  <c r="K49" i="2"/>
  <c r="U49" i="2" s="1"/>
  <c r="K50" i="2"/>
  <c r="U50" i="2" s="1"/>
  <c r="K51" i="2"/>
  <c r="U51" i="2" s="1"/>
  <c r="K52" i="2"/>
  <c r="U52" i="2" s="1"/>
  <c r="K53" i="2"/>
  <c r="U53" i="2" s="1"/>
  <c r="K54" i="2"/>
  <c r="U54" i="2" s="1"/>
  <c r="K55" i="2"/>
  <c r="U55" i="2" s="1"/>
  <c r="K56" i="2"/>
  <c r="U56" i="2" s="1"/>
  <c r="K57" i="2"/>
  <c r="U57" i="2" s="1"/>
  <c r="K58" i="2"/>
  <c r="U58" i="2" s="1"/>
  <c r="K59" i="2"/>
  <c r="U59" i="2" s="1"/>
  <c r="K60" i="2"/>
  <c r="U60" i="2" s="1"/>
  <c r="K61" i="2"/>
  <c r="U61" i="2" s="1"/>
  <c r="K62" i="2"/>
  <c r="U62" i="2" s="1"/>
  <c r="K63" i="2"/>
  <c r="U63" i="2" s="1"/>
  <c r="K64" i="2"/>
  <c r="U64" i="2" s="1"/>
  <c r="K65" i="2"/>
  <c r="U65" i="2" s="1"/>
  <c r="K66" i="2"/>
  <c r="U66" i="2" s="1"/>
  <c r="K67" i="2"/>
  <c r="U67" i="2" s="1"/>
  <c r="K68" i="2"/>
  <c r="U68" i="2" s="1"/>
  <c r="K69" i="2"/>
  <c r="U69" i="2" s="1"/>
  <c r="K70" i="2"/>
  <c r="U70" i="2" s="1"/>
  <c r="K71" i="2"/>
  <c r="U71" i="2" s="1"/>
  <c r="K72" i="2"/>
  <c r="U72" i="2" s="1"/>
  <c r="K73" i="2"/>
  <c r="U73" i="2" s="1"/>
  <c r="K74" i="2"/>
  <c r="U74" i="2" s="1"/>
  <c r="K75" i="2"/>
  <c r="U75" i="2" s="1"/>
  <c r="K76" i="2"/>
  <c r="U76" i="2" s="1"/>
  <c r="K77" i="2"/>
  <c r="U77" i="2" s="1"/>
  <c r="K78" i="2"/>
  <c r="U78" i="2" s="1"/>
  <c r="K79" i="2"/>
  <c r="U79" i="2" s="1"/>
  <c r="K80" i="2"/>
  <c r="U80" i="2" s="1"/>
  <c r="K81" i="2"/>
  <c r="U81" i="2" s="1"/>
  <c r="K82" i="2"/>
  <c r="U82" i="2" s="1"/>
  <c r="K83" i="2"/>
  <c r="U83" i="2" s="1"/>
  <c r="K84" i="2"/>
  <c r="U84" i="2" s="1"/>
  <c r="K85" i="2"/>
  <c r="U85" i="2" s="1"/>
  <c r="K86" i="2"/>
  <c r="U86" i="2" s="1"/>
  <c r="K87" i="2"/>
  <c r="U87" i="2" s="1"/>
  <c r="K88" i="2"/>
  <c r="U88" i="2" s="1"/>
  <c r="K89" i="2"/>
  <c r="U89" i="2" s="1"/>
  <c r="K90" i="2"/>
  <c r="U90" i="2" s="1"/>
  <c r="K91" i="2"/>
  <c r="U91" i="2" s="1"/>
  <c r="K92" i="2"/>
  <c r="U92" i="2" s="1"/>
  <c r="K93" i="2"/>
  <c r="U93" i="2" s="1"/>
  <c r="K94" i="2"/>
  <c r="U94" i="2" s="1"/>
  <c r="K95" i="2"/>
  <c r="U95" i="2" s="1"/>
  <c r="K96" i="2"/>
  <c r="U96" i="2" s="1"/>
  <c r="K97" i="2"/>
  <c r="U97" i="2" s="1"/>
  <c r="K98" i="2"/>
  <c r="U98" i="2" s="1"/>
  <c r="K99" i="2"/>
  <c r="U99" i="2" s="1"/>
  <c r="K101" i="2"/>
  <c r="U101" i="2" s="1"/>
  <c r="K102" i="2"/>
  <c r="U102" i="2" s="1"/>
  <c r="K103" i="2"/>
  <c r="U103" i="2" s="1"/>
  <c r="K104" i="2"/>
  <c r="U104" i="2" s="1"/>
  <c r="Q26" i="2"/>
  <c r="Q27"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P62" i="2"/>
  <c r="Q62" i="2"/>
  <c r="P63"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P92" i="2"/>
  <c r="Q92" i="2"/>
  <c r="P93" i="2"/>
  <c r="Q93" i="2"/>
  <c r="Q94" i="2"/>
  <c r="Q95" i="2"/>
  <c r="Q96" i="2"/>
  <c r="Q97" i="2"/>
  <c r="Q98" i="2"/>
  <c r="Q99" i="2"/>
  <c r="Q101" i="2"/>
  <c r="Q102" i="2"/>
  <c r="Q103" i="2"/>
  <c r="Q104" i="2"/>
  <c r="B4" i="41" l="1"/>
  <c r="B3" i="41"/>
  <c r="G11" i="42"/>
  <c r="F12" i="42"/>
  <c r="G12" i="42" s="1"/>
  <c r="F13" i="42"/>
  <c r="G13" i="42" s="1"/>
  <c r="F14" i="42"/>
  <c r="G14" i="42" s="1"/>
  <c r="F15" i="42"/>
  <c r="G15" i="42" s="1"/>
  <c r="F16" i="42"/>
  <c r="G16" i="42" s="1"/>
  <c r="F18" i="42"/>
  <c r="G18" i="42" s="1"/>
  <c r="F19" i="42"/>
  <c r="G19" i="42" s="1"/>
  <c r="E28" i="42"/>
  <c r="B8" i="42"/>
  <c r="A8" i="42"/>
  <c r="B7" i="42"/>
  <c r="A7" i="42"/>
  <c r="B6" i="42"/>
  <c r="A6" i="42"/>
  <c r="B5" i="42"/>
  <c r="A5" i="42"/>
  <c r="B4" i="42"/>
  <c r="A4" i="42"/>
  <c r="B3" i="42"/>
  <c r="A3" i="42"/>
  <c r="G28" i="42" l="1"/>
  <c r="B1" i="41" l="1"/>
  <c r="B2" i="41"/>
  <c r="K52" i="38" l="1"/>
  <c r="K60" i="38" l="1"/>
  <c r="K59" i="38"/>
  <c r="K58" i="38"/>
  <c r="K57" i="38"/>
  <c r="K56" i="38"/>
  <c r="K55" i="38"/>
  <c r="K54" i="38"/>
  <c r="K53" i="38"/>
  <c r="K51" i="38"/>
  <c r="K50" i="38"/>
  <c r="E14" i="40"/>
  <c r="E15" i="40"/>
  <c r="E16" i="40"/>
  <c r="E17" i="40"/>
  <c r="E18" i="40"/>
  <c r="E19" i="40"/>
  <c r="E20" i="40"/>
  <c r="E21" i="40"/>
  <c r="E22" i="40"/>
  <c r="E23" i="40"/>
  <c r="E24" i="40"/>
  <c r="E25" i="40"/>
  <c r="E26" i="40"/>
  <c r="E27" i="40"/>
  <c r="E28" i="40"/>
  <c r="E13" i="40"/>
  <c r="B5" i="40"/>
  <c r="B6" i="40"/>
  <c r="B7" i="40"/>
  <c r="B8" i="40"/>
  <c r="B3" i="40"/>
  <c r="A4" i="40"/>
  <c r="A5" i="40"/>
  <c r="A6" i="40"/>
  <c r="A7" i="40"/>
  <c r="A8" i="40"/>
  <c r="A3" i="40"/>
  <c r="P30" i="40" l="1"/>
  <c r="L28" i="40"/>
  <c r="K28" i="40"/>
  <c r="J28" i="40"/>
  <c r="I28" i="40"/>
  <c r="F28" i="40"/>
  <c r="L27" i="40"/>
  <c r="K27" i="40"/>
  <c r="J27" i="40"/>
  <c r="I27" i="40"/>
  <c r="F27" i="40"/>
  <c r="L26" i="40"/>
  <c r="K26" i="40"/>
  <c r="J26" i="40"/>
  <c r="I26" i="40"/>
  <c r="F26" i="40"/>
  <c r="L25" i="40"/>
  <c r="K25" i="40"/>
  <c r="J25" i="40"/>
  <c r="I25" i="40"/>
  <c r="F25" i="40"/>
  <c r="L24" i="40"/>
  <c r="K24" i="40"/>
  <c r="J24" i="40"/>
  <c r="I24" i="40"/>
  <c r="F24" i="40"/>
  <c r="L23" i="40"/>
  <c r="K23" i="40"/>
  <c r="J23" i="40"/>
  <c r="I23" i="40"/>
  <c r="F23" i="40"/>
  <c r="L22" i="40"/>
  <c r="K22" i="40"/>
  <c r="J22" i="40"/>
  <c r="I22" i="40"/>
  <c r="F22" i="40"/>
  <c r="L21" i="40"/>
  <c r="K21" i="40"/>
  <c r="J21" i="40"/>
  <c r="I21" i="40"/>
  <c r="F21" i="40"/>
  <c r="L20" i="40"/>
  <c r="K20" i="40"/>
  <c r="J20" i="40"/>
  <c r="I20" i="40"/>
  <c r="F20" i="40"/>
  <c r="L19" i="40"/>
  <c r="K19" i="40"/>
  <c r="J19" i="40"/>
  <c r="I19" i="40"/>
  <c r="F19" i="40"/>
  <c r="L18" i="40"/>
  <c r="K18" i="40"/>
  <c r="J18" i="40"/>
  <c r="I18" i="40"/>
  <c r="F18" i="40"/>
  <c r="L17" i="40"/>
  <c r="K17" i="40"/>
  <c r="J17" i="40"/>
  <c r="I17" i="40"/>
  <c r="F17" i="40"/>
  <c r="L16" i="40"/>
  <c r="K16" i="40"/>
  <c r="J16" i="40"/>
  <c r="F16" i="40"/>
  <c r="I16" i="40" s="1"/>
  <c r="L15" i="40"/>
  <c r="K15" i="40"/>
  <c r="J15" i="40"/>
  <c r="F15" i="40"/>
  <c r="I15" i="40" s="1"/>
  <c r="L14" i="40"/>
  <c r="K14" i="40"/>
  <c r="J14" i="40"/>
  <c r="F14" i="40"/>
  <c r="I14" i="40" s="1"/>
  <c r="L13" i="40"/>
  <c r="K13" i="40"/>
  <c r="J13" i="40"/>
  <c r="F13" i="40"/>
  <c r="I13" i="40" s="1"/>
  <c r="B4" i="40"/>
  <c r="N27" i="40" l="1"/>
  <c r="Q27" i="40" s="1"/>
  <c r="N14" i="40"/>
  <c r="Q14" i="40" s="1"/>
  <c r="N19" i="40"/>
  <c r="Q19" i="40" s="1"/>
  <c r="N28" i="40"/>
  <c r="Q28" i="40" s="1"/>
  <c r="N17" i="40"/>
  <c r="Q17" i="40" s="1"/>
  <c r="N25" i="40"/>
  <c r="Q25" i="40" s="1"/>
  <c r="N15" i="40"/>
  <c r="Q15" i="40" s="1"/>
  <c r="N16" i="40"/>
  <c r="Q16" i="40" s="1"/>
  <c r="N22" i="40"/>
  <c r="Q22" i="40" s="1"/>
  <c r="N18" i="40"/>
  <c r="Q18" i="40" s="1"/>
  <c r="N20" i="40"/>
  <c r="Q20" i="40" s="1"/>
  <c r="N26" i="40"/>
  <c r="Q26" i="40" s="1"/>
  <c r="N24" i="40"/>
  <c r="Q24" i="40" s="1"/>
  <c r="N23" i="40"/>
  <c r="Q23" i="40" s="1"/>
  <c r="N21" i="40"/>
  <c r="Q21" i="40" s="1"/>
  <c r="N13" i="40"/>
  <c r="Q13" i="40" s="1"/>
  <c r="Q30" i="40" l="1"/>
  <c r="H23" i="31" s="1"/>
  <c r="B5" i="39"/>
  <c r="B6" i="39"/>
  <c r="B7" i="39"/>
  <c r="B8" i="39"/>
  <c r="B4" i="39"/>
  <c r="B3" i="39"/>
  <c r="A4" i="39"/>
  <c r="A5" i="39"/>
  <c r="A6" i="39"/>
  <c r="A7" i="39"/>
  <c r="A8" i="39"/>
  <c r="A3" i="39"/>
  <c r="F15" i="39"/>
  <c r="F14" i="39"/>
  <c r="F13" i="39"/>
  <c r="B3" i="35"/>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K11" i="2"/>
  <c r="U11" i="2" s="1"/>
  <c r="K12" i="2"/>
  <c r="U12" i="2" s="1"/>
  <c r="K13" i="2"/>
  <c r="U13" i="2" s="1"/>
  <c r="K14" i="2"/>
  <c r="U14" i="2" s="1"/>
  <c r="K15" i="2"/>
  <c r="U15" i="2" s="1"/>
  <c r="K16" i="2"/>
  <c r="U16" i="2" s="1"/>
  <c r="K17" i="2"/>
  <c r="U17" i="2" s="1"/>
  <c r="K18" i="2"/>
  <c r="U18" i="2" s="1"/>
  <c r="K19" i="2"/>
  <c r="U19" i="2" s="1"/>
  <c r="K20" i="2"/>
  <c r="U20" i="2" s="1"/>
  <c r="K21" i="2"/>
  <c r="U21" i="2" s="1"/>
  <c r="K22" i="2"/>
  <c r="U22" i="2" s="1"/>
  <c r="K23" i="2"/>
  <c r="U23" i="2" s="1"/>
  <c r="K24" i="2"/>
  <c r="U24" i="2" s="1"/>
  <c r="K25" i="2"/>
  <c r="U25" i="2" s="1"/>
  <c r="K10" i="2"/>
  <c r="U10" i="2" s="1"/>
  <c r="F15" i="31"/>
  <c r="H15" i="31" s="1"/>
  <c r="B6" i="28"/>
  <c r="B5" i="28"/>
  <c r="B3" i="28"/>
  <c r="A4" i="28"/>
  <c r="A5" i="28"/>
  <c r="A6" i="28"/>
  <c r="A3" i="28"/>
  <c r="B7" i="2"/>
  <c r="B6" i="2"/>
  <c r="B5" i="2"/>
  <c r="B4" i="2"/>
  <c r="B3" i="2"/>
  <c r="C7" i="2"/>
  <c r="C6" i="2"/>
  <c r="C5" i="2"/>
  <c r="C3" i="2"/>
  <c r="K55" i="18"/>
  <c r="K56" i="18"/>
  <c r="K57" i="18"/>
  <c r="K58" i="18"/>
  <c r="K59" i="18"/>
  <c r="K60" i="18"/>
  <c r="K61" i="18"/>
  <c r="K54" i="18"/>
  <c r="K52" i="18"/>
  <c r="K51" i="18"/>
  <c r="P323" i="2" l="1"/>
  <c r="N323" i="2" s="1"/>
  <c r="P317" i="2"/>
  <c r="N317" i="2" s="1"/>
  <c r="P335" i="2"/>
  <c r="N335" i="2" s="1"/>
  <c r="P325" i="2"/>
  <c r="N325" i="2" s="1"/>
  <c r="P342" i="2"/>
  <c r="N342" i="2" s="1"/>
  <c r="P327" i="2"/>
  <c r="N327" i="2" s="1"/>
  <c r="P337" i="2"/>
  <c r="N337" i="2" s="1"/>
  <c r="P345" i="2"/>
  <c r="N345" i="2" s="1"/>
  <c r="P340" i="2"/>
  <c r="N340" i="2" s="1"/>
  <c r="P329" i="2"/>
  <c r="N329" i="2" s="1"/>
  <c r="P339" i="2"/>
  <c r="N339" i="2" s="1"/>
  <c r="P318" i="2"/>
  <c r="N318" i="2" s="1"/>
  <c r="P320" i="2"/>
  <c r="N320" i="2" s="1"/>
  <c r="P322" i="2"/>
  <c r="N322" i="2" s="1"/>
  <c r="P324" i="2"/>
  <c r="N324" i="2" s="1"/>
  <c r="P326" i="2"/>
  <c r="N326" i="2" s="1"/>
  <c r="P328" i="2"/>
  <c r="N328" i="2" s="1"/>
  <c r="P330" i="2"/>
  <c r="N330" i="2" s="1"/>
  <c r="P332" i="2"/>
  <c r="N332" i="2" s="1"/>
  <c r="P334" i="2"/>
  <c r="N334" i="2" s="1"/>
  <c r="P336" i="2"/>
  <c r="N336" i="2" s="1"/>
  <c r="P338" i="2"/>
  <c r="N338" i="2" s="1"/>
  <c r="P344" i="2"/>
  <c r="N344" i="2" s="1"/>
  <c r="P321" i="2"/>
  <c r="N321" i="2" s="1"/>
  <c r="P333" i="2"/>
  <c r="N333" i="2" s="1"/>
  <c r="P341" i="2"/>
  <c r="N341" i="2" s="1"/>
  <c r="P319" i="2"/>
  <c r="N319" i="2" s="1"/>
  <c r="P331" i="2"/>
  <c r="N331" i="2" s="1"/>
  <c r="P343" i="2"/>
  <c r="N343" i="2" s="1"/>
  <c r="P310" i="2"/>
  <c r="N310" i="2" s="1"/>
  <c r="P313" i="2"/>
  <c r="N313" i="2" s="1"/>
  <c r="P316" i="2"/>
  <c r="N316" i="2" s="1"/>
  <c r="P311" i="2"/>
  <c r="N311" i="2" s="1"/>
  <c r="P314" i="2"/>
  <c r="N314" i="2" s="1"/>
  <c r="P315" i="2"/>
  <c r="N315" i="2" s="1"/>
  <c r="P312" i="2"/>
  <c r="N312" i="2" s="1"/>
  <c r="E35" i="39"/>
  <c r="G35" i="39" s="1"/>
  <c r="I35" i="39" s="1"/>
  <c r="E37" i="39"/>
  <c r="G37" i="39" s="1"/>
  <c r="I37" i="39" s="1"/>
  <c r="E36" i="39"/>
  <c r="G36" i="39" s="1"/>
  <c r="I36" i="39" s="1"/>
  <c r="P106" i="2"/>
  <c r="N106" i="2" s="1"/>
  <c r="P153" i="2"/>
  <c r="P161" i="2"/>
  <c r="P200" i="2"/>
  <c r="P222" i="2"/>
  <c r="P269" i="2"/>
  <c r="P302" i="2"/>
  <c r="P241" i="2"/>
  <c r="N241" i="2" s="1"/>
  <c r="P247" i="2"/>
  <c r="N247" i="2" s="1"/>
  <c r="P251" i="2"/>
  <c r="N251" i="2" s="1"/>
  <c r="P255" i="2"/>
  <c r="N255" i="2" s="1"/>
  <c r="P259" i="2"/>
  <c r="N259" i="2" s="1"/>
  <c r="P263" i="2"/>
  <c r="N263" i="2" s="1"/>
  <c r="P265" i="2"/>
  <c r="N265" i="2" s="1"/>
  <c r="P278" i="2"/>
  <c r="N278" i="2" s="1"/>
  <c r="P282" i="2"/>
  <c r="N282" i="2" s="1"/>
  <c r="P286" i="2"/>
  <c r="N286" i="2" s="1"/>
  <c r="P290" i="2"/>
  <c r="N290" i="2" s="1"/>
  <c r="P292" i="2"/>
  <c r="N292" i="2" s="1"/>
  <c r="P296" i="2"/>
  <c r="N296" i="2" s="1"/>
  <c r="P300" i="2"/>
  <c r="N300" i="2" s="1"/>
  <c r="P306" i="2"/>
  <c r="N306" i="2" s="1"/>
  <c r="P202" i="2"/>
  <c r="N202" i="2" s="1"/>
  <c r="P108" i="2"/>
  <c r="N108" i="2" s="1"/>
  <c r="P110" i="2"/>
  <c r="N110" i="2" s="1"/>
  <c r="P112" i="2"/>
  <c r="N112" i="2" s="1"/>
  <c r="P114" i="2"/>
  <c r="N114" i="2" s="1"/>
  <c r="P116" i="2"/>
  <c r="N116" i="2" s="1"/>
  <c r="P118" i="2"/>
  <c r="N118" i="2" s="1"/>
  <c r="P120" i="2"/>
  <c r="N120" i="2" s="1"/>
  <c r="P122" i="2"/>
  <c r="N122" i="2" s="1"/>
  <c r="P124" i="2"/>
  <c r="N124" i="2" s="1"/>
  <c r="P127" i="2"/>
  <c r="N127" i="2" s="1"/>
  <c r="P129" i="2"/>
  <c r="N129" i="2" s="1"/>
  <c r="P131" i="2"/>
  <c r="N131" i="2" s="1"/>
  <c r="P133" i="2"/>
  <c r="N133" i="2" s="1"/>
  <c r="P135" i="2"/>
  <c r="N135" i="2" s="1"/>
  <c r="P137" i="2"/>
  <c r="N137" i="2" s="1"/>
  <c r="P139" i="2"/>
  <c r="N139" i="2" s="1"/>
  <c r="P141" i="2"/>
  <c r="N141" i="2" s="1"/>
  <c r="P143" i="2"/>
  <c r="N143" i="2" s="1"/>
  <c r="P145" i="2"/>
  <c r="N145" i="2" s="1"/>
  <c r="P147" i="2"/>
  <c r="N147" i="2" s="1"/>
  <c r="P149" i="2"/>
  <c r="N149" i="2" s="1"/>
  <c r="P151" i="2"/>
  <c r="N151" i="2" s="1"/>
  <c r="P225" i="2"/>
  <c r="N225" i="2" s="1"/>
  <c r="P227" i="2"/>
  <c r="N227" i="2" s="1"/>
  <c r="P229" i="2"/>
  <c r="N229" i="2" s="1"/>
  <c r="P231" i="2"/>
  <c r="N231" i="2" s="1"/>
  <c r="P233" i="2"/>
  <c r="N233" i="2" s="1"/>
  <c r="P235" i="2"/>
  <c r="N235" i="2" s="1"/>
  <c r="P237" i="2"/>
  <c r="N237" i="2" s="1"/>
  <c r="P239" i="2"/>
  <c r="N239" i="2" s="1"/>
  <c r="P243" i="2"/>
  <c r="N243" i="2" s="1"/>
  <c r="P245" i="2"/>
  <c r="N245" i="2" s="1"/>
  <c r="P249" i="2"/>
  <c r="N249" i="2" s="1"/>
  <c r="P253" i="2"/>
  <c r="N253" i="2" s="1"/>
  <c r="P257" i="2"/>
  <c r="N257" i="2" s="1"/>
  <c r="P261" i="2"/>
  <c r="N261" i="2" s="1"/>
  <c r="P267" i="2"/>
  <c r="N267" i="2" s="1"/>
  <c r="P272" i="2"/>
  <c r="N272" i="2" s="1"/>
  <c r="P276" i="2"/>
  <c r="N276" i="2" s="1"/>
  <c r="P280" i="2"/>
  <c r="N280" i="2" s="1"/>
  <c r="P284" i="2"/>
  <c r="N284" i="2" s="1"/>
  <c r="P288" i="2"/>
  <c r="N288" i="2" s="1"/>
  <c r="P294" i="2"/>
  <c r="N294" i="2" s="1"/>
  <c r="P298" i="2"/>
  <c r="N298" i="2" s="1"/>
  <c r="P191" i="2"/>
  <c r="N191" i="2" s="1"/>
  <c r="P154" i="2"/>
  <c r="P219" i="2"/>
  <c r="P223" i="2"/>
  <c r="P270" i="2"/>
  <c r="P303" i="2"/>
  <c r="P209" i="2"/>
  <c r="N209" i="2" s="1"/>
  <c r="P217" i="2"/>
  <c r="N217" i="2" s="1"/>
  <c r="P266" i="2"/>
  <c r="N266" i="2" s="1"/>
  <c r="P279" i="2"/>
  <c r="N279" i="2" s="1"/>
  <c r="P287" i="2"/>
  <c r="N287" i="2" s="1"/>
  <c r="P295" i="2"/>
  <c r="N295" i="2" s="1"/>
  <c r="P301" i="2"/>
  <c r="N301" i="2" s="1"/>
  <c r="P175" i="2"/>
  <c r="N175" i="2" s="1"/>
  <c r="P189" i="2"/>
  <c r="N189" i="2" s="1"/>
  <c r="P206" i="2"/>
  <c r="N206" i="2" s="1"/>
  <c r="P216" i="2"/>
  <c r="N216" i="2" s="1"/>
  <c r="P157" i="2"/>
  <c r="N157" i="2" s="1"/>
  <c r="P159" i="2"/>
  <c r="N159" i="2" s="1"/>
  <c r="P162" i="2"/>
  <c r="N162" i="2" s="1"/>
  <c r="P164" i="2"/>
  <c r="N164" i="2" s="1"/>
  <c r="P166" i="2"/>
  <c r="N166" i="2" s="1"/>
  <c r="P168" i="2"/>
  <c r="N168" i="2" s="1"/>
  <c r="P170" i="2"/>
  <c r="N170" i="2" s="1"/>
  <c r="P172" i="2"/>
  <c r="N172" i="2" s="1"/>
  <c r="P174" i="2"/>
  <c r="N174" i="2" s="1"/>
  <c r="P176" i="2"/>
  <c r="N176" i="2" s="1"/>
  <c r="P178" i="2"/>
  <c r="N178" i="2" s="1"/>
  <c r="P180" i="2"/>
  <c r="N180" i="2" s="1"/>
  <c r="P182" i="2"/>
  <c r="N182" i="2" s="1"/>
  <c r="P184" i="2"/>
  <c r="N184" i="2" s="1"/>
  <c r="P186" i="2"/>
  <c r="N186" i="2" s="1"/>
  <c r="P188" i="2"/>
  <c r="N188" i="2" s="1"/>
  <c r="P190" i="2"/>
  <c r="N190" i="2" s="1"/>
  <c r="P192" i="2"/>
  <c r="N192" i="2" s="1"/>
  <c r="P194" i="2"/>
  <c r="N194" i="2" s="1"/>
  <c r="P196" i="2"/>
  <c r="N196" i="2" s="1"/>
  <c r="P198" i="2"/>
  <c r="N198" i="2" s="1"/>
  <c r="P201" i="2"/>
  <c r="N201" i="2" s="1"/>
  <c r="P203" i="2"/>
  <c r="N203" i="2" s="1"/>
  <c r="P205" i="2"/>
  <c r="N205" i="2" s="1"/>
  <c r="P207" i="2"/>
  <c r="N207" i="2" s="1"/>
  <c r="P211" i="2"/>
  <c r="N211" i="2" s="1"/>
  <c r="P213" i="2"/>
  <c r="N213" i="2" s="1"/>
  <c r="P215" i="2"/>
  <c r="N215" i="2" s="1"/>
  <c r="P281" i="2"/>
  <c r="N281" i="2" s="1"/>
  <c r="P289" i="2"/>
  <c r="N289" i="2" s="1"/>
  <c r="P297" i="2"/>
  <c r="N297" i="2" s="1"/>
  <c r="P307" i="2"/>
  <c r="N307" i="2" s="1"/>
  <c r="P181" i="2"/>
  <c r="N181" i="2" s="1"/>
  <c r="P193" i="2"/>
  <c r="N193" i="2" s="1"/>
  <c r="P208" i="2"/>
  <c r="N208" i="2" s="1"/>
  <c r="P218" i="2"/>
  <c r="N218" i="2" s="1"/>
  <c r="P125" i="2"/>
  <c r="P155" i="2"/>
  <c r="P220" i="2"/>
  <c r="P304" i="2"/>
  <c r="P252" i="2"/>
  <c r="N252" i="2" s="1"/>
  <c r="P258" i="2"/>
  <c r="N258" i="2" s="1"/>
  <c r="P262" i="2"/>
  <c r="N262" i="2" s="1"/>
  <c r="P271" i="2"/>
  <c r="N271" i="2" s="1"/>
  <c r="P275" i="2"/>
  <c r="N275" i="2" s="1"/>
  <c r="P283" i="2"/>
  <c r="N283" i="2" s="1"/>
  <c r="P291" i="2"/>
  <c r="N291" i="2" s="1"/>
  <c r="P299" i="2"/>
  <c r="N299" i="2" s="1"/>
  <c r="P309" i="2"/>
  <c r="N309" i="2" s="1"/>
  <c r="P183" i="2"/>
  <c r="N183" i="2" s="1"/>
  <c r="P197" i="2"/>
  <c r="N197" i="2" s="1"/>
  <c r="P210" i="2"/>
  <c r="N210" i="2" s="1"/>
  <c r="P109" i="2"/>
  <c r="N109" i="2" s="1"/>
  <c r="P111" i="2"/>
  <c r="N111" i="2" s="1"/>
  <c r="P113" i="2"/>
  <c r="N113" i="2" s="1"/>
  <c r="P115" i="2"/>
  <c r="N115" i="2" s="1"/>
  <c r="P117" i="2"/>
  <c r="N117" i="2" s="1"/>
  <c r="P119" i="2"/>
  <c r="N119" i="2" s="1"/>
  <c r="P121" i="2"/>
  <c r="N121" i="2" s="1"/>
  <c r="P123" i="2"/>
  <c r="N123" i="2" s="1"/>
  <c r="P128" i="2"/>
  <c r="N128" i="2" s="1"/>
  <c r="P130" i="2"/>
  <c r="N130" i="2" s="1"/>
  <c r="P132" i="2"/>
  <c r="N132" i="2" s="1"/>
  <c r="P134" i="2"/>
  <c r="N134" i="2" s="1"/>
  <c r="P136" i="2"/>
  <c r="N136" i="2" s="1"/>
  <c r="P138" i="2"/>
  <c r="N138" i="2" s="1"/>
  <c r="P140" i="2"/>
  <c r="N140" i="2" s="1"/>
  <c r="P142" i="2"/>
  <c r="N142" i="2" s="1"/>
  <c r="P144" i="2"/>
  <c r="N144" i="2" s="1"/>
  <c r="P146" i="2"/>
  <c r="N146" i="2" s="1"/>
  <c r="P148" i="2"/>
  <c r="N148" i="2" s="1"/>
  <c r="P150" i="2"/>
  <c r="N150" i="2" s="1"/>
  <c r="P152" i="2"/>
  <c r="N152" i="2" s="1"/>
  <c r="P224" i="2"/>
  <c r="N224" i="2" s="1"/>
  <c r="P226" i="2"/>
  <c r="N226" i="2" s="1"/>
  <c r="P228" i="2"/>
  <c r="N228" i="2" s="1"/>
  <c r="P230" i="2"/>
  <c r="N230" i="2" s="1"/>
  <c r="P232" i="2"/>
  <c r="N232" i="2" s="1"/>
  <c r="P234" i="2"/>
  <c r="N234" i="2" s="1"/>
  <c r="P236" i="2"/>
  <c r="N236" i="2" s="1"/>
  <c r="P238" i="2"/>
  <c r="N238" i="2" s="1"/>
  <c r="P240" i="2"/>
  <c r="N240" i="2" s="1"/>
  <c r="P242" i="2"/>
  <c r="N242" i="2" s="1"/>
  <c r="P244" i="2"/>
  <c r="N244" i="2" s="1"/>
  <c r="P246" i="2"/>
  <c r="N246" i="2" s="1"/>
  <c r="P248" i="2"/>
  <c r="N248" i="2" s="1"/>
  <c r="P250" i="2"/>
  <c r="N250" i="2" s="1"/>
  <c r="P254" i="2"/>
  <c r="N254" i="2" s="1"/>
  <c r="P256" i="2"/>
  <c r="N256" i="2" s="1"/>
  <c r="P260" i="2"/>
  <c r="N260" i="2" s="1"/>
  <c r="P264" i="2"/>
  <c r="N264" i="2" s="1"/>
  <c r="P273" i="2"/>
  <c r="N273" i="2" s="1"/>
  <c r="P277" i="2"/>
  <c r="N277" i="2" s="1"/>
  <c r="P285" i="2"/>
  <c r="N285" i="2" s="1"/>
  <c r="P293" i="2"/>
  <c r="N293" i="2" s="1"/>
  <c r="P177" i="2"/>
  <c r="N177" i="2" s="1"/>
  <c r="P195" i="2"/>
  <c r="N195" i="2" s="1"/>
  <c r="P212" i="2"/>
  <c r="N212" i="2" s="1"/>
  <c r="P126" i="2"/>
  <c r="P160" i="2"/>
  <c r="P199" i="2"/>
  <c r="P221" i="2"/>
  <c r="P305" i="2"/>
  <c r="P156" i="2"/>
  <c r="N156" i="2" s="1"/>
  <c r="P158" i="2"/>
  <c r="N158" i="2" s="1"/>
  <c r="P163" i="2"/>
  <c r="N163" i="2" s="1"/>
  <c r="P165" i="2"/>
  <c r="N165" i="2" s="1"/>
  <c r="P167" i="2"/>
  <c r="N167" i="2" s="1"/>
  <c r="P169" i="2"/>
  <c r="N169" i="2" s="1"/>
  <c r="P171" i="2"/>
  <c r="N171" i="2" s="1"/>
  <c r="P173" i="2"/>
  <c r="N173" i="2" s="1"/>
  <c r="P179" i="2"/>
  <c r="N179" i="2" s="1"/>
  <c r="P185" i="2"/>
  <c r="N185" i="2" s="1"/>
  <c r="P187" i="2"/>
  <c r="N187" i="2" s="1"/>
  <c r="P204" i="2"/>
  <c r="N204" i="2" s="1"/>
  <c r="P214" i="2"/>
  <c r="N214" i="2" s="1"/>
  <c r="P104" i="2"/>
  <c r="N104" i="2" s="1"/>
  <c r="E27" i="39"/>
  <c r="G27" i="39" s="1"/>
  <c r="I27" i="39" s="1"/>
  <c r="E34" i="39"/>
  <c r="G34" i="39" s="1"/>
  <c r="I34" i="39" s="1"/>
  <c r="E14" i="39"/>
  <c r="G14" i="39" s="1"/>
  <c r="I14" i="39" s="1"/>
  <c r="E22" i="39"/>
  <c r="G22" i="39" s="1"/>
  <c r="I22" i="39" s="1"/>
  <c r="E24" i="39"/>
  <c r="G24" i="39" s="1"/>
  <c r="I24" i="39" s="1"/>
  <c r="E15" i="39"/>
  <c r="G15" i="39" s="1"/>
  <c r="I15" i="39" s="1"/>
  <c r="E21" i="39"/>
  <c r="G21" i="39" s="1"/>
  <c r="I21" i="39" s="1"/>
  <c r="E28" i="39"/>
  <c r="G28" i="39" s="1"/>
  <c r="I28" i="39" s="1"/>
  <c r="E29" i="39"/>
  <c r="G29" i="39" s="1"/>
  <c r="I29" i="39" s="1"/>
  <c r="E23" i="39"/>
  <c r="G23" i="39" s="1"/>
  <c r="I23" i="39" s="1"/>
  <c r="E30" i="39"/>
  <c r="G30" i="39" s="1"/>
  <c r="I30" i="39" s="1"/>
  <c r="E31" i="39"/>
  <c r="G31" i="39" s="1"/>
  <c r="I31" i="39" s="1"/>
  <c r="E32" i="39"/>
  <c r="G32" i="39" s="1"/>
  <c r="I32" i="39" s="1"/>
  <c r="E26" i="39"/>
  <c r="G26" i="39" s="1"/>
  <c r="I26" i="39" s="1"/>
  <c r="E25" i="39"/>
  <c r="G25" i="39" s="1"/>
  <c r="I25" i="39" s="1"/>
  <c r="E33" i="39"/>
  <c r="G33" i="39" s="1"/>
  <c r="I33" i="39" s="1"/>
  <c r="E13" i="39"/>
  <c r="P10" i="2"/>
  <c r="N10" i="2" s="1"/>
  <c r="P16" i="2"/>
  <c r="N16" i="2" s="1"/>
  <c r="P24" i="2"/>
  <c r="N24" i="2" s="1"/>
  <c r="P30" i="2"/>
  <c r="P38" i="2"/>
  <c r="N38" i="2" s="1"/>
  <c r="P14" i="2"/>
  <c r="N14" i="2" s="1"/>
  <c r="P29" i="2"/>
  <c r="P17" i="2"/>
  <c r="N17" i="2" s="1"/>
  <c r="P25" i="2"/>
  <c r="N25" i="2" s="1"/>
  <c r="P31" i="2"/>
  <c r="P36" i="2"/>
  <c r="N36" i="2" s="1"/>
  <c r="P18" i="2"/>
  <c r="N18" i="2" s="1"/>
  <c r="P26" i="2"/>
  <c r="N26" i="2" s="1"/>
  <c r="P32" i="2"/>
  <c r="P34" i="2"/>
  <c r="N34" i="2" s="1"/>
  <c r="P15" i="2"/>
  <c r="N15" i="2" s="1"/>
  <c r="P11" i="2"/>
  <c r="N11" i="2" s="1"/>
  <c r="P19" i="2"/>
  <c r="N19" i="2" s="1"/>
  <c r="P33" i="2"/>
  <c r="N33" i="2" s="1"/>
  <c r="P37" i="2"/>
  <c r="N37" i="2" s="1"/>
  <c r="P28" i="2"/>
  <c r="P23" i="2"/>
  <c r="N23" i="2" s="1"/>
  <c r="P12" i="2"/>
  <c r="N12" i="2" s="1"/>
  <c r="P20" i="2"/>
  <c r="N20" i="2" s="1"/>
  <c r="P27" i="2"/>
  <c r="N27" i="2" s="1"/>
  <c r="P21" i="2"/>
  <c r="N21" i="2" s="1"/>
  <c r="P39" i="2"/>
  <c r="N39" i="2" s="1"/>
  <c r="P13" i="2"/>
  <c r="N13" i="2" s="1"/>
  <c r="P22" i="2"/>
  <c r="N22" i="2" s="1"/>
  <c r="P35" i="2"/>
  <c r="N35" i="2" s="1"/>
  <c r="P47" i="2"/>
  <c r="N47" i="2" s="1"/>
  <c r="P55" i="2"/>
  <c r="N55" i="2" s="1"/>
  <c r="P71" i="2"/>
  <c r="N71" i="2" s="1"/>
  <c r="P79" i="2"/>
  <c r="N79" i="2" s="1"/>
  <c r="P87" i="2"/>
  <c r="N87" i="2" s="1"/>
  <c r="P95" i="2"/>
  <c r="N95" i="2" s="1"/>
  <c r="P44" i="2"/>
  <c r="N44" i="2" s="1"/>
  <c r="P52" i="2"/>
  <c r="N52" i="2" s="1"/>
  <c r="P60" i="2"/>
  <c r="N60" i="2" s="1"/>
  <c r="P68" i="2"/>
  <c r="N68" i="2" s="1"/>
  <c r="P76" i="2"/>
  <c r="N76" i="2" s="1"/>
  <c r="P84" i="2"/>
  <c r="N84" i="2" s="1"/>
  <c r="P101" i="2"/>
  <c r="N101" i="2" s="1"/>
  <c r="P41" i="2"/>
  <c r="N41" i="2" s="1"/>
  <c r="P49" i="2"/>
  <c r="N49" i="2" s="1"/>
  <c r="P57" i="2"/>
  <c r="N57" i="2" s="1"/>
  <c r="P65" i="2"/>
  <c r="N65" i="2" s="1"/>
  <c r="P73" i="2"/>
  <c r="N73" i="2" s="1"/>
  <c r="P81" i="2"/>
  <c r="N81" i="2" s="1"/>
  <c r="P89" i="2"/>
  <c r="N89" i="2" s="1"/>
  <c r="P97" i="2"/>
  <c r="N97" i="2" s="1"/>
  <c r="P43" i="2"/>
  <c r="N43" i="2" s="1"/>
  <c r="P51" i="2"/>
  <c r="N51" i="2" s="1"/>
  <c r="P59" i="2"/>
  <c r="N59" i="2" s="1"/>
  <c r="P67" i="2"/>
  <c r="N67" i="2" s="1"/>
  <c r="P75" i="2"/>
  <c r="N75" i="2" s="1"/>
  <c r="P83" i="2"/>
  <c r="N83" i="2" s="1"/>
  <c r="P91" i="2"/>
  <c r="N91" i="2" s="1"/>
  <c r="P99" i="2"/>
  <c r="N99" i="2" s="1"/>
  <c r="P40" i="2"/>
  <c r="N40" i="2" s="1"/>
  <c r="P54" i="2"/>
  <c r="N54" i="2" s="1"/>
  <c r="P56" i="2"/>
  <c r="N56" i="2" s="1"/>
  <c r="P74" i="2"/>
  <c r="N74" i="2" s="1"/>
  <c r="P90" i="2"/>
  <c r="N90" i="2" s="1"/>
  <c r="P46" i="2"/>
  <c r="N46" i="2" s="1"/>
  <c r="P78" i="2"/>
  <c r="N78" i="2" s="1"/>
  <c r="P45" i="2"/>
  <c r="N45" i="2" s="1"/>
  <c r="P61" i="2"/>
  <c r="N61" i="2" s="1"/>
  <c r="P70" i="2"/>
  <c r="N70" i="2" s="1"/>
  <c r="P72" i="2"/>
  <c r="N72" i="2" s="1"/>
  <c r="P86" i="2"/>
  <c r="N86" i="2" s="1"/>
  <c r="P88" i="2"/>
  <c r="N88" i="2" s="1"/>
  <c r="P48" i="2"/>
  <c r="N48" i="2" s="1"/>
  <c r="P82" i="2"/>
  <c r="N82" i="2" s="1"/>
  <c r="P53" i="2"/>
  <c r="N53" i="2" s="1"/>
  <c r="P98" i="2"/>
  <c r="N98" i="2" s="1"/>
  <c r="P69" i="2"/>
  <c r="N69" i="2" s="1"/>
  <c r="P58" i="2"/>
  <c r="N58" i="2" s="1"/>
  <c r="P102" i="2"/>
  <c r="N102" i="2" s="1"/>
  <c r="P77" i="2"/>
  <c r="N77" i="2" s="1"/>
  <c r="P103" i="2"/>
  <c r="N103" i="2" s="1"/>
  <c r="P50" i="2"/>
  <c r="N50" i="2" s="1"/>
  <c r="P66" i="2"/>
  <c r="N66" i="2" s="1"/>
  <c r="P64" i="2"/>
  <c r="N64" i="2" s="1"/>
  <c r="P80" i="2"/>
  <c r="N80" i="2" s="1"/>
  <c r="P94" i="2"/>
  <c r="N94" i="2" s="1"/>
  <c r="P85" i="2"/>
  <c r="N85" i="2" s="1"/>
  <c r="P96" i="2"/>
  <c r="N96" i="2" s="1"/>
  <c r="P42" i="2"/>
  <c r="N42" i="2" s="1"/>
  <c r="B18" i="37"/>
  <c r="B21" i="37"/>
  <c r="B19" i="37"/>
  <c r="B20" i="37"/>
  <c r="B15" i="37"/>
  <c r="D15" i="37"/>
  <c r="B22" i="37"/>
  <c r="B17" i="37"/>
  <c r="B16" i="37"/>
  <c r="F23" i="37"/>
  <c r="G23" i="37"/>
  <c r="G21" i="37"/>
  <c r="G20" i="37"/>
  <c r="G19" i="37"/>
  <c r="G22" i="37"/>
  <c r="D19" i="37"/>
  <c r="E19" i="37"/>
  <c r="E18" i="37"/>
  <c r="D23" i="37"/>
  <c r="E22" i="37"/>
  <c r="B23" i="37"/>
  <c r="E21" i="37"/>
  <c r="E23" i="37"/>
  <c r="D21" i="37"/>
  <c r="D18" i="37"/>
  <c r="D20" i="37"/>
  <c r="E20" i="37"/>
  <c r="D22" i="37"/>
  <c r="E15" i="37"/>
  <c r="E17" i="37"/>
  <c r="E16" i="37"/>
  <c r="D16" i="37"/>
  <c r="D17" i="37"/>
  <c r="F21" i="37" l="1"/>
  <c r="H21" i="37" s="1"/>
  <c r="F22" i="37"/>
  <c r="H22" i="37" s="1"/>
  <c r="N219" i="2"/>
  <c r="N126" i="2"/>
  <c r="N304" i="2"/>
  <c r="N223" i="2"/>
  <c r="N269" i="2"/>
  <c r="N220" i="2"/>
  <c r="N222" i="2"/>
  <c r="N155" i="2"/>
  <c r="N154" i="2"/>
  <c r="N200" i="2"/>
  <c r="N125" i="2"/>
  <c r="N161" i="2"/>
  <c r="N305" i="2"/>
  <c r="N153" i="2"/>
  <c r="N221" i="2"/>
  <c r="N199" i="2"/>
  <c r="N303" i="2"/>
  <c r="N160" i="2"/>
  <c r="N270" i="2"/>
  <c r="N302" i="2"/>
  <c r="E40" i="39"/>
  <c r="G13" i="39"/>
  <c r="I13" i="39" s="1"/>
  <c r="I40" i="39" s="1"/>
  <c r="N29" i="2"/>
  <c r="N32" i="2"/>
  <c r="N28" i="2"/>
  <c r="N30" i="2"/>
  <c r="N31" i="2"/>
  <c r="F20" i="37"/>
  <c r="H20" i="37" s="1"/>
  <c r="F19" i="37"/>
  <c r="J19" i="37" s="1"/>
  <c r="J23" i="37"/>
  <c r="H23" i="37"/>
  <c r="K23" i="37"/>
  <c r="I23" i="37"/>
  <c r="I20" i="37"/>
  <c r="K20" i="37"/>
  <c r="I21" i="37"/>
  <c r="K21" i="37"/>
  <c r="K22" i="37"/>
  <c r="I22" i="37"/>
  <c r="K19" i="37"/>
  <c r="I19" i="37"/>
  <c r="I30" i="38"/>
  <c r="I27" i="38"/>
  <c r="J27" i="38"/>
  <c r="K27" i="38"/>
  <c r="L27" i="38"/>
  <c r="M27" i="38"/>
  <c r="N27" i="38"/>
  <c r="I28" i="38"/>
  <c r="J28" i="38"/>
  <c r="K28" i="38"/>
  <c r="L28" i="38"/>
  <c r="M28" i="38"/>
  <c r="N28" i="38"/>
  <c r="I29" i="38"/>
  <c r="J29" i="38"/>
  <c r="K29" i="38"/>
  <c r="L29" i="38"/>
  <c r="M29" i="38"/>
  <c r="N29" i="38"/>
  <c r="J21" i="37" l="1"/>
  <c r="F15" i="37"/>
  <c r="J22" i="37"/>
  <c r="F18" i="37"/>
  <c r="H18" i="37" s="1"/>
  <c r="J20" i="37"/>
  <c r="H19" i="37"/>
  <c r="F17" i="37"/>
  <c r="F16" i="37"/>
  <c r="H16" i="37" s="1"/>
  <c r="H15" i="37" l="1"/>
  <c r="J18" i="37"/>
  <c r="A28" i="37"/>
  <c r="K28" i="37" s="1"/>
  <c r="A29" i="37"/>
  <c r="K29" i="37" s="1"/>
  <c r="A30" i="37"/>
  <c r="K30" i="37" s="1"/>
  <c r="A31" i="37"/>
  <c r="K31" i="37" s="1"/>
  <c r="A32" i="37"/>
  <c r="K32" i="37" s="1"/>
  <c r="A33" i="37"/>
  <c r="K33" i="37" s="1"/>
  <c r="A34" i="37"/>
  <c r="K34" i="37" s="1"/>
  <c r="A35" i="37"/>
  <c r="A27" i="37"/>
  <c r="K27" i="37" s="1"/>
  <c r="I35" i="37" l="1"/>
  <c r="K35" i="37"/>
  <c r="K36" i="37" s="1"/>
  <c r="H27" i="37"/>
  <c r="H29" i="37"/>
  <c r="I34" i="37"/>
  <c r="H34" i="37"/>
  <c r="J34" i="37"/>
  <c r="I33" i="37"/>
  <c r="H33" i="37"/>
  <c r="H32" i="37"/>
  <c r="I32" i="37"/>
  <c r="J32" i="37"/>
  <c r="H31" i="37"/>
  <c r="J31" i="37"/>
  <c r="I31" i="37"/>
  <c r="I30" i="37"/>
  <c r="H30" i="37"/>
  <c r="H28" i="37"/>
  <c r="H35" i="37"/>
  <c r="J35" i="37"/>
  <c r="C16" i="17"/>
  <c r="H36" i="37" l="1"/>
  <c r="N30" i="38"/>
  <c r="M30" i="38"/>
  <c r="L30" i="38"/>
  <c r="K30" i="38"/>
  <c r="J30" i="38"/>
  <c r="J31" i="38" l="1"/>
  <c r="I31" i="38"/>
  <c r="M31" i="38"/>
  <c r="L31" i="38"/>
  <c r="I41" i="18"/>
  <c r="N41" i="18"/>
  <c r="M41" i="18"/>
  <c r="K25" i="28"/>
  <c r="K11" i="28"/>
  <c r="K12" i="28"/>
  <c r="K13" i="28"/>
  <c r="K14" i="28"/>
  <c r="K15" i="28"/>
  <c r="K16" i="28"/>
  <c r="K18" i="28"/>
  <c r="K19" i="28"/>
  <c r="K20" i="28"/>
  <c r="K21" i="28"/>
  <c r="K22" i="28"/>
  <c r="K23" i="28"/>
  <c r="K10" i="28"/>
  <c r="N23" i="38"/>
  <c r="M23" i="38"/>
  <c r="L23" i="38"/>
  <c r="K23" i="38"/>
  <c r="J23" i="38"/>
  <c r="I23" i="38"/>
  <c r="B4" i="38"/>
  <c r="E14" i="35"/>
  <c r="F14" i="35" s="1"/>
  <c r="E15" i="35"/>
  <c r="F15" i="35" s="1"/>
  <c r="E16" i="35"/>
  <c r="F16" i="35" s="1"/>
  <c r="E17" i="35"/>
  <c r="F17" i="35" s="1"/>
  <c r="E19" i="35"/>
  <c r="F19" i="35" s="1"/>
  <c r="E20" i="35"/>
  <c r="F20" i="35" s="1"/>
  <c r="E21" i="35"/>
  <c r="F21" i="35" s="1"/>
  <c r="E22" i="35"/>
  <c r="F22" i="35" s="1"/>
  <c r="E23" i="35"/>
  <c r="F23" i="35" s="1"/>
  <c r="E24" i="35"/>
  <c r="F24" i="35" s="1"/>
  <c r="E25" i="35"/>
  <c r="F25" i="35" s="1"/>
  <c r="E26" i="35"/>
  <c r="F26" i="35" s="1"/>
  <c r="E27" i="35"/>
  <c r="F27" i="35" s="1"/>
  <c r="E28" i="35"/>
  <c r="F28" i="35" s="1"/>
  <c r="E29" i="35"/>
  <c r="F29" i="35" s="1"/>
  <c r="E30" i="35"/>
  <c r="F30" i="35" s="1"/>
  <c r="E13" i="35"/>
  <c r="F13" i="35" s="1"/>
  <c r="Q8" i="2"/>
  <c r="B4" i="5"/>
  <c r="B4" i="31"/>
  <c r="D32" i="35"/>
  <c r="N29" i="18"/>
  <c r="M29" i="18"/>
  <c r="L29" i="18"/>
  <c r="K29" i="18"/>
  <c r="J29" i="18"/>
  <c r="I29" i="18"/>
  <c r="F13" i="31"/>
  <c r="F20" i="31"/>
  <c r="H20" i="31" s="1"/>
  <c r="F12" i="31"/>
  <c r="F14" i="31"/>
  <c r="H14" i="31" s="1"/>
  <c r="F16" i="31"/>
  <c r="H16" i="31" s="1"/>
  <c r="F17" i="31"/>
  <c r="H17" i="31" s="1"/>
  <c r="F18" i="31"/>
  <c r="H18" i="31" s="1"/>
  <c r="F19" i="31"/>
  <c r="H19" i="31" s="1"/>
  <c r="F11" i="31"/>
  <c r="B4" i="28"/>
  <c r="C4" i="2"/>
  <c r="B4" i="18"/>
  <c r="B4" i="17"/>
  <c r="B41" i="17"/>
  <c r="B47" i="17" s="1"/>
  <c r="B51" i="17" s="1"/>
  <c r="B52" i="17"/>
  <c r="Q219" i="2" l="1"/>
  <c r="O219" i="2" s="1"/>
  <c r="Q269" i="2"/>
  <c r="O269" i="2" s="1"/>
  <c r="Q154" i="2"/>
  <c r="O154" i="2" s="1"/>
  <c r="Q305" i="2"/>
  <c r="O305" i="2" s="1"/>
  <c r="Q303" i="2"/>
  <c r="O303" i="2" s="1"/>
  <c r="Q126" i="2"/>
  <c r="O126" i="2" s="1"/>
  <c r="Q220" i="2"/>
  <c r="O220" i="2" s="1"/>
  <c r="Q200" i="2"/>
  <c r="O200" i="2" s="1"/>
  <c r="Q153" i="2"/>
  <c r="O153" i="2" s="1"/>
  <c r="Q160" i="2"/>
  <c r="O160" i="2" s="1"/>
  <c r="Q304" i="2"/>
  <c r="O304" i="2" s="1"/>
  <c r="Q222" i="2"/>
  <c r="O222" i="2" s="1"/>
  <c r="Q125" i="2"/>
  <c r="O125" i="2" s="1"/>
  <c r="Q221" i="2"/>
  <c r="O221" i="2" s="1"/>
  <c r="Q270" i="2"/>
  <c r="O270" i="2" s="1"/>
  <c r="Q223" i="2"/>
  <c r="O223" i="2" s="1"/>
  <c r="Q155" i="2"/>
  <c r="O155" i="2" s="1"/>
  <c r="Q161" i="2"/>
  <c r="O161" i="2" s="1"/>
  <c r="Q199" i="2"/>
  <c r="O199" i="2" s="1"/>
  <c r="Q302" i="2"/>
  <c r="O302" i="2" s="1"/>
  <c r="Q29" i="2"/>
  <c r="O29" i="2" s="1"/>
  <c r="Q31" i="2"/>
  <c r="O31" i="2" s="1"/>
  <c r="Q32" i="2"/>
  <c r="O32" i="2" s="1"/>
  <c r="Q28" i="2"/>
  <c r="O28" i="2" s="1"/>
  <c r="Q30" i="2"/>
  <c r="O30" i="2" s="1"/>
  <c r="Q14" i="2"/>
  <c r="O14" i="2" s="1"/>
  <c r="Q25" i="2"/>
  <c r="O25" i="2" s="1"/>
  <c r="Q23" i="2"/>
  <c r="O23" i="2" s="1"/>
  <c r="Q13" i="2"/>
  <c r="O13" i="2" s="1"/>
  <c r="Q19" i="2"/>
  <c r="O19" i="2" s="1"/>
  <c r="Q22" i="2"/>
  <c r="O22" i="2" s="1"/>
  <c r="Q12" i="2"/>
  <c r="O12" i="2" s="1"/>
  <c r="Q15" i="2"/>
  <c r="O15" i="2" s="1"/>
  <c r="Q21" i="2"/>
  <c r="O21" i="2" s="1"/>
  <c r="Q20" i="2"/>
  <c r="O20" i="2" s="1"/>
  <c r="Q24" i="2"/>
  <c r="O24" i="2" s="1"/>
  <c r="Q17" i="2"/>
  <c r="O17" i="2" s="1"/>
  <c r="Q16" i="2"/>
  <c r="O16" i="2" s="1"/>
  <c r="Q18" i="2"/>
  <c r="O18" i="2" s="1"/>
  <c r="Q11" i="2"/>
  <c r="O11" i="2" s="1"/>
  <c r="H30" i="35"/>
  <c r="H29" i="35"/>
  <c r="H28" i="35"/>
  <c r="J33" i="37" s="1"/>
  <c r="H26" i="35"/>
  <c r="H25" i="35"/>
  <c r="H24" i="35"/>
  <c r="H23" i="35"/>
  <c r="H22" i="35"/>
  <c r="H21" i="35"/>
  <c r="H20" i="35"/>
  <c r="H19" i="35"/>
  <c r="H27" i="35"/>
  <c r="H17" i="35"/>
  <c r="H16" i="35"/>
  <c r="H13" i="35"/>
  <c r="H15" i="35"/>
  <c r="J29" i="37" s="1"/>
  <c r="H14" i="35"/>
  <c r="J28" i="37" s="1"/>
  <c r="O29" i="18"/>
  <c r="F27" i="31"/>
  <c r="B49" i="17"/>
  <c r="B50" i="17"/>
  <c r="K27" i="28"/>
  <c r="O23" i="38"/>
  <c r="K31" i="38"/>
  <c r="J41" i="18"/>
  <c r="N31" i="38"/>
  <c r="L41" i="18"/>
  <c r="K41" i="18"/>
  <c r="Q10" i="2"/>
  <c r="O10" i="2" s="1"/>
  <c r="J30" i="37" l="1"/>
  <c r="E12" i="38"/>
  <c r="E14" i="38" s="1"/>
  <c r="E12" i="18"/>
  <c r="J27" i="37"/>
  <c r="G18" i="37"/>
  <c r="I18" i="37" s="1"/>
  <c r="G16" i="37"/>
  <c r="I16" i="37" s="1"/>
  <c r="G17" i="37"/>
  <c r="B24" i="37"/>
  <c r="E14" i="18"/>
  <c r="H32" i="35"/>
  <c r="B53" i="17"/>
  <c r="J36" i="37" l="1"/>
  <c r="K18" i="37"/>
  <c r="G15" i="37"/>
  <c r="I15" i="37" s="1"/>
  <c r="E16" i="38"/>
  <c r="K46" i="38" s="1"/>
  <c r="K45" i="38"/>
  <c r="J15" i="37"/>
  <c r="J16" i="37"/>
  <c r="E17" i="18"/>
  <c r="K48" i="18" s="1"/>
  <c r="K46" i="18"/>
  <c r="F24" i="37"/>
  <c r="H17" i="37"/>
  <c r="J17" i="37"/>
  <c r="E17" i="38"/>
  <c r="E16" i="18"/>
  <c r="E18" i="18" l="1"/>
  <c r="H6" i="28"/>
  <c r="K53" i="18"/>
  <c r="J24" i="37"/>
  <c r="E18" i="38"/>
  <c r="E20" i="38" s="1"/>
  <c r="K47" i="38"/>
  <c r="I17" i="37"/>
  <c r="K15" i="37"/>
  <c r="K16" i="37"/>
  <c r="H24" i="37"/>
  <c r="K17" i="37"/>
  <c r="K47" i="18"/>
  <c r="G24" i="37"/>
  <c r="I24" i="37" l="1"/>
  <c r="K24" i="37"/>
  <c r="E20" i="18"/>
  <c r="C29" i="17" l="1"/>
  <c r="C31" i="17" s="1"/>
  <c r="C34" i="17" s="1"/>
  <c r="C21" i="17" s="1"/>
  <c r="C24" i="17" s="1"/>
  <c r="E21" i="38" l="1"/>
  <c r="E21" i="18"/>
  <c r="K49" i="18" s="1"/>
  <c r="E22" i="18" l="1"/>
  <c r="E24" i="18" s="1"/>
  <c r="K50" i="18" s="1"/>
  <c r="K48" i="38"/>
  <c r="E22" i="38"/>
  <c r="E24" i="38" s="1"/>
  <c r="K49" i="38" s="1"/>
  <c r="E25" i="38" l="1"/>
  <c r="E31" i="38" s="1"/>
  <c r="E25" i="18"/>
  <c r="E32" i="18" s="1"/>
  <c r="E42" i="38" l="1"/>
  <c r="E43" i="18"/>
  <c r="E47" i="18" l="1"/>
  <c r="B27" i="37" s="1"/>
  <c r="E46" i="38"/>
  <c r="F42" i="38" s="1"/>
  <c r="F44" i="38" l="1"/>
  <c r="F46" i="38" s="1"/>
  <c r="K61" i="38"/>
  <c r="K63" i="38" s="1"/>
  <c r="E28" i="37"/>
  <c r="E33" i="37"/>
  <c r="E31" i="37"/>
  <c r="F39" i="38"/>
  <c r="F36" i="38"/>
  <c r="F33" i="37"/>
  <c r="E27" i="37"/>
  <c r="F33" i="38"/>
  <c r="F34" i="37"/>
  <c r="F40" i="38"/>
  <c r="F32" i="37"/>
  <c r="F35" i="38"/>
  <c r="F18" i="38"/>
  <c r="F34" i="38"/>
  <c r="F35" i="37"/>
  <c r="E30" i="37"/>
  <c r="E32" i="37"/>
  <c r="F38" i="38"/>
  <c r="F31" i="37"/>
  <c r="F29" i="37"/>
  <c r="F30" i="37"/>
  <c r="E35" i="37"/>
  <c r="F27" i="37"/>
  <c r="F28" i="37"/>
  <c r="F37" i="38"/>
  <c r="E34" i="37"/>
  <c r="E29" i="37"/>
  <c r="F22" i="38"/>
  <c r="F25" i="38"/>
  <c r="E48" i="38"/>
  <c r="K65" i="38" s="1"/>
  <c r="E52" i="38"/>
  <c r="E50" i="38"/>
  <c r="F31" i="38"/>
  <c r="C27" i="37"/>
  <c r="F18" i="18"/>
  <c r="F38" i="18"/>
  <c r="C28" i="37"/>
  <c r="F35" i="18"/>
  <c r="B30" i="37"/>
  <c r="F40" i="18"/>
  <c r="B35" i="37"/>
  <c r="B31" i="37"/>
  <c r="F37" i="18"/>
  <c r="B32" i="37"/>
  <c r="F36" i="18"/>
  <c r="B28" i="37"/>
  <c r="F34" i="18"/>
  <c r="C35" i="37"/>
  <c r="C32" i="37"/>
  <c r="C30" i="37"/>
  <c r="C33" i="37"/>
  <c r="C31" i="37"/>
  <c r="C29" i="37"/>
  <c r="B33" i="37"/>
  <c r="F41" i="18"/>
  <c r="B34" i="37"/>
  <c r="F39" i="18"/>
  <c r="C34" i="37"/>
  <c r="B29" i="37"/>
  <c r="F22" i="18"/>
  <c r="E53" i="18"/>
  <c r="E51" i="18"/>
  <c r="E49" i="18"/>
  <c r="K66" i="18" s="1"/>
  <c r="F25" i="18"/>
  <c r="F32" i="18"/>
  <c r="F45" i="18"/>
  <c r="K62" i="18"/>
  <c r="K64" i="18" s="1"/>
  <c r="F43" i="18"/>
  <c r="K68" i="18" l="1"/>
  <c r="C36" i="37"/>
  <c r="H13" i="31"/>
  <c r="I29" i="37" s="1"/>
  <c r="K70" i="18"/>
  <c r="H12" i="31"/>
  <c r="I28" i="37" s="1"/>
  <c r="H11" i="31"/>
  <c r="F47" i="18"/>
  <c r="B36" i="37"/>
  <c r="K69" i="38"/>
  <c r="F36" i="37"/>
  <c r="K67" i="38"/>
  <c r="E36" i="37"/>
  <c r="G33" i="37" l="1"/>
  <c r="G35" i="37"/>
  <c r="G32" i="37"/>
  <c r="G29" i="37"/>
  <c r="G34" i="37"/>
  <c r="G31" i="37"/>
  <c r="G30" i="37"/>
  <c r="G28" i="37"/>
  <c r="D34" i="37"/>
  <c r="D27" i="37"/>
  <c r="D30" i="37"/>
  <c r="D29" i="37"/>
  <c r="D32" i="37"/>
  <c r="D33" i="37"/>
  <c r="D35" i="37"/>
  <c r="D31" i="37"/>
  <c r="D28" i="37"/>
  <c r="G27" i="37"/>
  <c r="H27" i="31"/>
  <c r="I27" i="37"/>
  <c r="I36" i="37" s="1"/>
  <c r="L34" i="37" l="1"/>
  <c r="M34" i="37" s="1"/>
  <c r="L32" i="37"/>
  <c r="L35" i="37"/>
  <c r="M35" i="37" s="1"/>
  <c r="L33" i="37"/>
  <c r="M33" i="37" s="1"/>
  <c r="L28" i="37"/>
  <c r="L29" i="37"/>
  <c r="L30" i="37"/>
  <c r="L31" i="37"/>
  <c r="G36" i="37"/>
  <c r="D36" i="37"/>
  <c r="L27" i="37"/>
  <c r="M30" i="37" l="1"/>
  <c r="M29" i="37"/>
  <c r="M28" i="37"/>
  <c r="M31" i="37"/>
  <c r="M32" i="37"/>
  <c r="M27" i="37"/>
  <c r="L36" i="37"/>
  <c r="P1" i="37" s="1"/>
  <c r="P2" i="37" l="1"/>
  <c r="P3" i="37" s="1"/>
  <c r="M36" i="37"/>
</calcChain>
</file>

<file path=xl/sharedStrings.xml><?xml version="1.0" encoding="utf-8"?>
<sst xmlns="http://schemas.openxmlformats.org/spreadsheetml/2006/main" count="3340" uniqueCount="609">
  <si>
    <t>Algemeen</t>
  </si>
  <si>
    <t>Naam opdrachtgever</t>
  </si>
  <si>
    <t>Calculatie onderdeel</t>
  </si>
  <si>
    <t>Gebouw/plaats</t>
  </si>
  <si>
    <t>Referentie nummer</t>
  </si>
  <si>
    <t>Invoervelden</t>
  </si>
  <si>
    <t>Minimale taakgrootte</t>
  </si>
  <si>
    <t>EINDTOTAAL KOSTEN PER JAAR  EXCLUSIEF BTW         INSCHRIJVINGSBEDRAG</t>
  </si>
  <si>
    <t>uur per dag</t>
  </si>
  <si>
    <t>BTW</t>
  </si>
  <si>
    <t>Totale kosten per jaar inclusief btw</t>
  </si>
  <si>
    <t>Toezicht percentage</t>
  </si>
  <si>
    <t>per prod. Uur</t>
  </si>
  <si>
    <t>MAXIMALE BOVENGRENS PLAFONDBEDRAG INSCHRIJVINGSBEDRAG</t>
  </si>
  <si>
    <t>MAXIMALE ONDERGRENS INSCHRIJVINGSBEDRAG</t>
  </si>
  <si>
    <t>Naam dienstverlener</t>
  </si>
  <si>
    <t>Prijspeil</t>
  </si>
  <si>
    <t>SUPPLETIEKOSTEN OVERNAME PERSONEEL</t>
  </si>
  <si>
    <t>Versie</t>
  </si>
  <si>
    <t>Aanbesteding</t>
  </si>
  <si>
    <t xml:space="preserve">Dit is het maximale bedrag dat door de dienstverlener aan suppletiekosten in rekening wordt gebracht. Indien hier niets wordt </t>
  </si>
  <si>
    <t>ingevuld, betekent dit dat er geen suppletiekosten door de dienstverlener in rekening worden gebracht.</t>
  </si>
  <si>
    <t>PRODUCTIE UREN PER JAAR</t>
  </si>
  <si>
    <t>UREN OPSLAG MINIMALE TAAKGROOTTE PER JAAR</t>
  </si>
  <si>
    <t>TOEZICHTUREN PER JAAR</t>
  </si>
  <si>
    <t>Locatie</t>
  </si>
  <si>
    <t>Totaal m2 in scope</t>
  </si>
  <si>
    <t>Locatie factor</t>
  </si>
  <si>
    <t>Hoogste frequentie ma t/m vr</t>
  </si>
  <si>
    <t>Hoogste frequentie ma t/m vr naloop</t>
  </si>
  <si>
    <t>Productie uren ma t/m vr</t>
  </si>
  <si>
    <t>Productie uren ma t/m vr naloop</t>
  </si>
  <si>
    <t>Uren minimale taakgrootte ma t/m vrij</t>
  </si>
  <si>
    <t>Uren minimale taakgrootte ma t/m vrij naloop</t>
  </si>
  <si>
    <t>Toezicht uren per jaar ma t/m vr</t>
  </si>
  <si>
    <t>Toezicht uren per jaar ma t/m vr naloop</t>
  </si>
  <si>
    <t>Totaal</t>
  </si>
  <si>
    <t>Kosten productie per jaar ma t/m vr incl minimale taakgrootte</t>
  </si>
  <si>
    <t>Kosten productie per jaar ma t/m vr naloop incl minimale taakgrootte</t>
  </si>
  <si>
    <t>Totale kosten productie per jaar</t>
  </si>
  <si>
    <t xml:space="preserve">Kosten toezicht per jaar ma t/m vr </t>
  </si>
  <si>
    <t>Kosten toezicht per jaar ma t/m vr naloop</t>
  </si>
  <si>
    <t>Totale kosten toezicht per jaar</t>
  </si>
  <si>
    <t>Kosten vloeronderhoud per jaar</t>
  </si>
  <si>
    <t>Kosten Additioneel per jaar</t>
  </si>
  <si>
    <t>Kosten glasbewassing per jaar</t>
  </si>
  <si>
    <t>Kosten sanitaire voorzieningen per jaar</t>
  </si>
  <si>
    <t>Totaal kosten per jaar excl. btw</t>
  </si>
  <si>
    <t>Totaal kosten per maand excl. btw</t>
  </si>
  <si>
    <t>Gewogen prestatie</t>
  </si>
  <si>
    <t>m2/uur</t>
  </si>
  <si>
    <t>Frequentie van uitvoering (per jaar):</t>
  </si>
  <si>
    <t>Ruimtecategorie</t>
  </si>
  <si>
    <t>Prestatienorm in aantal m2 per uur</t>
  </si>
  <si>
    <t>M2 Totaal</t>
  </si>
  <si>
    <t>Naloop opslag ma-vr</t>
  </si>
  <si>
    <t>VSR Code</t>
  </si>
  <si>
    <t>B</t>
  </si>
  <si>
    <t>Sanitaire ruimten</t>
  </si>
  <si>
    <t>S</t>
  </si>
  <si>
    <t>Gang, hal</t>
  </si>
  <si>
    <t>V</t>
  </si>
  <si>
    <t>Restauratieve ruimten</t>
  </si>
  <si>
    <t>Vergaderruimten</t>
  </si>
  <si>
    <t>Entree</t>
  </si>
  <si>
    <t>Trappenhuis</t>
  </si>
  <si>
    <t>Lift</t>
  </si>
  <si>
    <t>Kolom voor matrix</t>
  </si>
  <si>
    <t>Frequentie verklaring</t>
  </si>
  <si>
    <t>Freq</t>
  </si>
  <si>
    <t>Kolom</t>
  </si>
  <si>
    <t>4 x per jaar</t>
  </si>
  <si>
    <t>1 x per week (52 weken)</t>
  </si>
  <si>
    <t>2 x per week (52 weken)</t>
  </si>
  <si>
    <t>5 x per week (52 weken)</t>
  </si>
  <si>
    <t>% van reguliere norm</t>
  </si>
  <si>
    <t>Gebouw</t>
  </si>
  <si>
    <t>Adres</t>
  </si>
  <si>
    <t>Verdieping</t>
  </si>
  <si>
    <t>Ruimte nummer</t>
  </si>
  <si>
    <t>Ruimteomschrijving opdrachtgever</t>
  </si>
  <si>
    <t>Ruimte categorie</t>
  </si>
  <si>
    <t>Vloer soort</t>
  </si>
  <si>
    <t>Vloercategorie</t>
  </si>
  <si>
    <t xml:space="preserve">M2 vloer </t>
  </si>
  <si>
    <t>Totaal frequentie</t>
  </si>
  <si>
    <t>Freq. ma-vr</t>
  </si>
  <si>
    <t>Freq. ma-vr naloop</t>
  </si>
  <si>
    <t>Uren p/j ma t/m vrij</t>
  </si>
  <si>
    <t>Uren p/j ma t/m vrij naloop</t>
  </si>
  <si>
    <t>Norm ma t/m vr</t>
  </si>
  <si>
    <t>VSR code</t>
  </si>
  <si>
    <t>Bijzonderheden / opmerkingen</t>
  </si>
  <si>
    <t>M2 per jaar</t>
  </si>
  <si>
    <t>BG</t>
  </si>
  <si>
    <t>Linoleum</t>
  </si>
  <si>
    <t>Harde vloer zonder waslaag (sanitair)</t>
  </si>
  <si>
    <t>Kelder</t>
  </si>
  <si>
    <t>Zachte vloer</t>
  </si>
  <si>
    <t>Harde vloer zonder waslaag (overig)</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</si>
  <si>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</si>
  <si>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</si>
  <si>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</si>
  <si>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</si>
  <si>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</si>
  <si>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</si>
  <si>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</si>
  <si>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</si>
  <si>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</si>
  <si>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</si>
  <si>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</si>
  <si>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</si>
  <si>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</si>
  <si>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</si>
  <si>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</si>
  <si>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</si>
  <si>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</si>
  <si>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</si>
  <si>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</si>
  <si>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</si>
  <si>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</si>
  <si>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</si>
  <si>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</si>
  <si>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</si>
  <si>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</si>
  <si>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</si>
  <si>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</si>
  <si>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</si>
  <si>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</si>
  <si>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</si>
  <si>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</si>
  <si>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</si>
  <si>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</si>
  <si>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</si>
  <si>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</si>
  <si>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</si>
  <si>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</si>
  <si>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</si>
  <si>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</si>
  <si>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</si>
  <si>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</si>
  <si>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</si>
  <si>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Bruto uurloon</t>
  </si>
  <si>
    <t>19 jaar</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</si>
  <si>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</si>
  <si>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</si>
  <si>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</si>
  <si>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</si>
  <si>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</si>
  <si>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</si>
  <si>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</si>
  <si>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</si>
  <si>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</si>
  <si>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</si>
  <si>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</si>
  <si>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</si>
  <si>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</si>
  <si>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</si>
  <si>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</si>
  <si>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</si>
  <si>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</si>
  <si>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Machinekosten</t>
  </si>
  <si>
    <t>Totaal per loongroepen</t>
  </si>
  <si>
    <t>Totaal directe kosten</t>
  </si>
  <si>
    <t>Opbouw gemiddeld tarief</t>
  </si>
  <si>
    <t>Indirect toezicht</t>
  </si>
  <si>
    <t>Managementkosten</t>
  </si>
  <si>
    <t>P.Z. kosten</t>
  </si>
  <si>
    <t>Opleiding</t>
  </si>
  <si>
    <t>Administratiekosten</t>
  </si>
  <si>
    <t>Huisvestingskosten</t>
  </si>
  <si>
    <t>Reiskosten/autokosten</t>
  </si>
  <si>
    <t>Kosten verzuimbegeleiding en re-integratie</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</si>
  <si>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</si>
  <si>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</si>
  <si>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</si>
  <si>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</si>
  <si>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</si>
  <si>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</si>
  <si>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</si>
  <si>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Kosten verzuimbegeleiding</t>
  </si>
  <si>
    <t>Tariefopbouw toezicht</t>
  </si>
  <si>
    <t>Gemiddeld tarief  ma t/m vr</t>
  </si>
  <si>
    <t>Overige cao-gerelateerde verplichtingen</t>
  </si>
  <si>
    <t>Omschrijving werkzaamheden</t>
  </si>
  <si>
    <t>Aantal of m2</t>
  </si>
  <si>
    <t>frequentie per jaar</t>
  </si>
  <si>
    <t>uren per m2/ beurt</t>
  </si>
  <si>
    <t>uren per jaar</t>
  </si>
  <si>
    <t>uurtarief</t>
  </si>
  <si>
    <t>kosten per jaar incl toezicht</t>
  </si>
  <si>
    <t>Omschrijving kostenaspect</t>
  </si>
  <si>
    <t>kosten per jaar</t>
  </si>
  <si>
    <t>Activiteit</t>
  </si>
  <si>
    <t>Toelichting</t>
  </si>
  <si>
    <t>Soort</t>
  </si>
  <si>
    <t>Regietarieven</t>
  </si>
  <si>
    <t>Prijs p/uur excl. btw</t>
  </si>
  <si>
    <t>Schoonmaakonderhoud</t>
  </si>
  <si>
    <t>Maandag - Vrijdag</t>
  </si>
  <si>
    <t>Zaterdag - zondag (incl. 50% toeslag conform cao)</t>
  </si>
  <si>
    <t>Feestdagen (incl. 150% toeslag conform cao)</t>
  </si>
  <si>
    <t>Glazenwasserswerkzaamheden</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</si>
  <si>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</si>
  <si>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</si>
  <si>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</si>
  <si>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</si>
  <si>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</si>
  <si>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</si>
  <si>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</si>
  <si>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Aanvullende omschrijving</t>
  </si>
  <si>
    <t>Aantal m2</t>
  </si>
  <si>
    <r>
      <t>Kosten per m</t>
    </r>
    <r>
      <rPr>
        <b/>
        <vertAlign val="superscript"/>
        <sz val="10"/>
        <color theme="0"/>
        <rFont val="Arial Black"/>
        <family val="2"/>
      </rPr>
      <t>2</t>
    </r>
  </si>
  <si>
    <t>Kosten per beurt</t>
  </si>
  <si>
    <t>Frequentie per jaar</t>
  </si>
  <si>
    <t>Totaalkosten per jaar</t>
  </si>
  <si>
    <t>4</t>
  </si>
  <si>
    <t>Bereikbaarheidsvoorzieningen</t>
  </si>
  <si>
    <t>Handeling</t>
  </si>
  <si>
    <t>M² prijs (incl uit- en inruimen)</t>
  </si>
  <si>
    <t>Sprayen</t>
  </si>
  <si>
    <t>Top-coaten</t>
  </si>
  <si>
    <t>Schrobben</t>
  </si>
  <si>
    <t>Vloerafwerking</t>
  </si>
  <si>
    <t>Omschrijving automaat /artikel</t>
  </si>
  <si>
    <t>Aantal</t>
  </si>
  <si>
    <t>Kosten per week per stuk</t>
  </si>
  <si>
    <t>Kosten per jaar</t>
  </si>
  <si>
    <t>Artikel</t>
  </si>
  <si>
    <t>Omschrijving verbruiksartikelen</t>
  </si>
  <si>
    <t>Staffel bij wijziging aantal gebruikers*</t>
  </si>
  <si>
    <t>Percentage wijziging aantal gebruikers</t>
  </si>
  <si>
    <t>Wijzigings percentage prijs verbruiks artikelen</t>
  </si>
  <si>
    <t>5 - 10%</t>
  </si>
  <si>
    <t>10 - 15%</t>
  </si>
  <si>
    <t>15 - 20%</t>
  </si>
  <si>
    <t>20 - 25%</t>
  </si>
  <si>
    <t>25 - 30%</t>
  </si>
  <si>
    <t>&gt;30%</t>
  </si>
  <si>
    <t>*als referentiepunt wordt de ingangsdatum contract gehanteerd</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</si>
  <si>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</si>
  <si>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</si>
  <si>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</si>
  <si>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</si>
  <si>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</si>
  <si>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</si>
  <si>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</si>
  <si>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</si>
  <si>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</si>
  <si>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</si>
  <si>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</si>
  <si>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</si>
  <si>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</si>
  <si>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</si>
  <si>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</si>
  <si>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</si>
  <si>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Overige cao-gerelateerde verplichtingen (zoals reiskosten)</t>
  </si>
  <si>
    <t>Verkeersruimte</t>
  </si>
  <si>
    <t>Werkplaats</t>
  </si>
  <si>
    <t>Toilet</t>
  </si>
  <si>
    <t>Kleed-/wasruimte</t>
  </si>
  <si>
    <t>Wachtruimte</t>
  </si>
  <si>
    <t>Vergaderruimte</t>
  </si>
  <si>
    <t>Magazijn/archief</t>
  </si>
  <si>
    <t>Keuken/pantry</t>
  </si>
  <si>
    <t>Garderobe</t>
  </si>
  <si>
    <t>Bibliotheek</t>
  </si>
  <si>
    <t>1e</t>
  </si>
  <si>
    <t>tapijt</t>
  </si>
  <si>
    <t>steen</t>
  </si>
  <si>
    <t>Raadhuis</t>
  </si>
  <si>
    <t>Raadhuisplein 3, Barneveld</t>
  </si>
  <si>
    <t>Gemeentehuis</t>
  </si>
  <si>
    <t>Raadhuisplein 2, Barneveld</t>
  </si>
  <si>
    <t>-1.01</t>
  </si>
  <si>
    <t>-1.02</t>
  </si>
  <si>
    <t>-1.03</t>
  </si>
  <si>
    <t>-1.04</t>
  </si>
  <si>
    <t>-1.05</t>
  </si>
  <si>
    <t>-1.06</t>
  </si>
  <si>
    <t>Reproruimte</t>
  </si>
  <si>
    <t>-1.07B</t>
  </si>
  <si>
    <t>-1.07A</t>
  </si>
  <si>
    <t>-1.09</t>
  </si>
  <si>
    <t>-1.10</t>
  </si>
  <si>
    <t>-1.11</t>
  </si>
  <si>
    <t>-1.14</t>
  </si>
  <si>
    <t>-1.16</t>
  </si>
  <si>
    <t>-1.17</t>
  </si>
  <si>
    <t>-1.18</t>
  </si>
  <si>
    <t>-1.21</t>
  </si>
  <si>
    <t>-1.22</t>
  </si>
  <si>
    <t>-1.23</t>
  </si>
  <si>
    <t>-1.24</t>
  </si>
  <si>
    <t>-1.25</t>
  </si>
  <si>
    <t>-1.26</t>
  </si>
  <si>
    <t>-1.31</t>
  </si>
  <si>
    <t>-1.32</t>
  </si>
  <si>
    <t>-1.30</t>
  </si>
  <si>
    <t>0.01</t>
  </si>
  <si>
    <t>Kantoorruimte</t>
  </si>
  <si>
    <t>0.03</t>
  </si>
  <si>
    <t>0.04 / 0.05</t>
  </si>
  <si>
    <t>0.06</t>
  </si>
  <si>
    <t>0.07</t>
  </si>
  <si>
    <t>0.08</t>
  </si>
  <si>
    <t>0.09</t>
  </si>
  <si>
    <t>0.10</t>
  </si>
  <si>
    <t>0.11</t>
  </si>
  <si>
    <t>0.12</t>
  </si>
  <si>
    <t>0.13</t>
  </si>
  <si>
    <t>0.14</t>
  </si>
  <si>
    <t>0.16</t>
  </si>
  <si>
    <t>0.17</t>
  </si>
  <si>
    <t>0.18</t>
  </si>
  <si>
    <t>0.19</t>
  </si>
  <si>
    <t>0.20</t>
  </si>
  <si>
    <t>0.22</t>
  </si>
  <si>
    <t>0.23</t>
  </si>
  <si>
    <t>0.24</t>
  </si>
  <si>
    <t>0.25</t>
  </si>
  <si>
    <t>0.26</t>
  </si>
  <si>
    <t>0.27</t>
  </si>
  <si>
    <t>0.28</t>
  </si>
  <si>
    <t>0.29</t>
  </si>
  <si>
    <t>0.30</t>
  </si>
  <si>
    <t>0.31</t>
  </si>
  <si>
    <t>0.36</t>
  </si>
  <si>
    <t>0.35</t>
  </si>
  <si>
    <t>0.37</t>
  </si>
  <si>
    <t>0.32</t>
  </si>
  <si>
    <t>Receptie/portier</t>
  </si>
  <si>
    <t>0.33</t>
  </si>
  <si>
    <t>1e verdieping</t>
  </si>
  <si>
    <t>1.01</t>
  </si>
  <si>
    <t>Restaurant/kantine</t>
  </si>
  <si>
    <t>1.02</t>
  </si>
  <si>
    <t>1.03</t>
  </si>
  <si>
    <t>1.04</t>
  </si>
  <si>
    <t>1.05</t>
  </si>
  <si>
    <t>1.06</t>
  </si>
  <si>
    <t>1.07</t>
  </si>
  <si>
    <t>1.08</t>
  </si>
  <si>
    <t>1.09</t>
  </si>
  <si>
    <t>1.10</t>
  </si>
  <si>
    <t>1.11</t>
  </si>
  <si>
    <t>1.12</t>
  </si>
  <si>
    <t>1.14</t>
  </si>
  <si>
    <t>1.15</t>
  </si>
  <si>
    <t>1.16</t>
  </si>
  <si>
    <t>1.17</t>
  </si>
  <si>
    <t>1.18</t>
  </si>
  <si>
    <t>1.19</t>
  </si>
  <si>
    <t>1.20</t>
  </si>
  <si>
    <t>1.21</t>
  </si>
  <si>
    <t>1.22</t>
  </si>
  <si>
    <t>1.23</t>
  </si>
  <si>
    <t>1.24</t>
  </si>
  <si>
    <t>1.25</t>
  </si>
  <si>
    <t>1.26</t>
  </si>
  <si>
    <t>1.27</t>
  </si>
  <si>
    <t>1.28</t>
  </si>
  <si>
    <t>1.29</t>
  </si>
  <si>
    <t>1.41</t>
  </si>
  <si>
    <t>1.43</t>
  </si>
  <si>
    <t>1.42</t>
  </si>
  <si>
    <t>1.44</t>
  </si>
  <si>
    <t>1.30</t>
  </si>
  <si>
    <t>1.31</t>
  </si>
  <si>
    <t>1.32</t>
  </si>
  <si>
    <t>1.33</t>
  </si>
  <si>
    <t>1.34</t>
  </si>
  <si>
    <t>1.37</t>
  </si>
  <si>
    <t>1.38</t>
  </si>
  <si>
    <t>1.39</t>
  </si>
  <si>
    <t>1.40</t>
  </si>
  <si>
    <t>1.49</t>
  </si>
  <si>
    <t>1.50</t>
  </si>
  <si>
    <t>1.53</t>
  </si>
  <si>
    <t>1.54</t>
  </si>
  <si>
    <t>1.46</t>
  </si>
  <si>
    <t>1.48</t>
  </si>
  <si>
    <t>1.52</t>
  </si>
  <si>
    <t>2.01</t>
  </si>
  <si>
    <t>2.02</t>
  </si>
  <si>
    <t>2.03</t>
  </si>
  <si>
    <t>2.04</t>
  </si>
  <si>
    <t>2.05</t>
  </si>
  <si>
    <t>2.06</t>
  </si>
  <si>
    <t>2.07</t>
  </si>
  <si>
    <t>2.08</t>
  </si>
  <si>
    <t>2.09</t>
  </si>
  <si>
    <t>2.10</t>
  </si>
  <si>
    <t>2.11</t>
  </si>
  <si>
    <t>2.12</t>
  </si>
  <si>
    <t>2.13</t>
  </si>
  <si>
    <t>2.14</t>
  </si>
  <si>
    <t>2.14 A</t>
  </si>
  <si>
    <t>2.14 B</t>
  </si>
  <si>
    <t>2.14 C</t>
  </si>
  <si>
    <t>2.16</t>
  </si>
  <si>
    <t>2.17</t>
  </si>
  <si>
    <t>2.18</t>
  </si>
  <si>
    <t>2.19</t>
  </si>
  <si>
    <t>2.20</t>
  </si>
  <si>
    <t>2.21</t>
  </si>
  <si>
    <t>2.22</t>
  </si>
  <si>
    <t>2.23</t>
  </si>
  <si>
    <t>2.24</t>
  </si>
  <si>
    <t>2.25 / 2.26</t>
  </si>
  <si>
    <t>2.27</t>
  </si>
  <si>
    <t>2.28</t>
  </si>
  <si>
    <t>2.29</t>
  </si>
  <si>
    <t>2.31</t>
  </si>
  <si>
    <t>2.32</t>
  </si>
  <si>
    <t>2.33</t>
  </si>
  <si>
    <t>2.34</t>
  </si>
  <si>
    <t>2.35</t>
  </si>
  <si>
    <t>2.36</t>
  </si>
  <si>
    <t>2.37</t>
  </si>
  <si>
    <t>2.38</t>
  </si>
  <si>
    <t>2.39</t>
  </si>
  <si>
    <t>2.40</t>
  </si>
  <si>
    <t>2.41</t>
  </si>
  <si>
    <t>2.42</t>
  </si>
  <si>
    <t>2.43</t>
  </si>
  <si>
    <t>2.44</t>
  </si>
  <si>
    <t>2.45</t>
  </si>
  <si>
    <t>3.01</t>
  </si>
  <si>
    <t>3.02</t>
  </si>
  <si>
    <t>3.03</t>
  </si>
  <si>
    <t>3.04</t>
  </si>
  <si>
    <t>3.05</t>
  </si>
  <si>
    <t>3.06</t>
  </si>
  <si>
    <t>3.07</t>
  </si>
  <si>
    <t>3.08</t>
  </si>
  <si>
    <t>3.09</t>
  </si>
  <si>
    <t>3.10</t>
  </si>
  <si>
    <t>3.11</t>
  </si>
  <si>
    <t>3.12</t>
  </si>
  <si>
    <t>3.13</t>
  </si>
  <si>
    <t>3.14</t>
  </si>
  <si>
    <t>3.15</t>
  </si>
  <si>
    <t>3.16</t>
  </si>
  <si>
    <t>3.17 / 3.18</t>
  </si>
  <si>
    <t>3.22</t>
  </si>
  <si>
    <t>3.23</t>
  </si>
  <si>
    <t>3.24</t>
  </si>
  <si>
    <t>3.25</t>
  </si>
  <si>
    <t>3.26</t>
  </si>
  <si>
    <t>3.27</t>
  </si>
  <si>
    <t>3.28</t>
  </si>
  <si>
    <t>3.29</t>
  </si>
  <si>
    <t>3.30</t>
  </si>
  <si>
    <t>3.31</t>
  </si>
  <si>
    <t>3.32</t>
  </si>
  <si>
    <t>3.33</t>
  </si>
  <si>
    <t>3.34</t>
  </si>
  <si>
    <t>2e</t>
  </si>
  <si>
    <t>3e</t>
  </si>
  <si>
    <t>Lino</t>
  </si>
  <si>
    <t>lino</t>
  </si>
  <si>
    <t>rubber</t>
  </si>
  <si>
    <t>nio</t>
  </si>
  <si>
    <t>Gemeentewerf</t>
  </si>
  <si>
    <t>Kallenbroekerweg 121</t>
  </si>
  <si>
    <t>Otelaarseweg 9</t>
  </si>
  <si>
    <t>Driehuizerweg 5</t>
  </si>
  <si>
    <t>Roelenengweg 35</t>
  </si>
  <si>
    <t>0.02</t>
  </si>
  <si>
    <t>0.04</t>
  </si>
  <si>
    <t>0.05</t>
  </si>
  <si>
    <t>0.15</t>
  </si>
  <si>
    <t>0.21</t>
  </si>
  <si>
    <t>0.34</t>
  </si>
  <si>
    <t>0.38</t>
  </si>
  <si>
    <t>0.39</t>
  </si>
  <si>
    <t>0.40</t>
  </si>
  <si>
    <t>0.42</t>
  </si>
  <si>
    <t>0.43</t>
  </si>
  <si>
    <t>0.44</t>
  </si>
  <si>
    <t>BG - autowerkplaats</t>
  </si>
  <si>
    <t>0.02b</t>
  </si>
  <si>
    <t>0.1</t>
  </si>
  <si>
    <t>0.2</t>
  </si>
  <si>
    <t>0.4</t>
  </si>
  <si>
    <t>0.5</t>
  </si>
  <si>
    <t>0.6</t>
  </si>
  <si>
    <t>0.7</t>
  </si>
  <si>
    <t>0.3</t>
  </si>
  <si>
    <t>Opslag</t>
  </si>
  <si>
    <t>Wasruimte</t>
  </si>
  <si>
    <t>bereidingskeuken</t>
  </si>
  <si>
    <t>spoelkeuken</t>
  </si>
  <si>
    <t>Hal</t>
  </si>
  <si>
    <t>douche</t>
  </si>
  <si>
    <t>Milieustraat</t>
  </si>
  <si>
    <t>Uitvaartcentrum</t>
  </si>
  <si>
    <t>Villa Bloemendal</t>
  </si>
  <si>
    <t>Adminisratieve ruimten</t>
  </si>
  <si>
    <t>Keuken, pantry</t>
  </si>
  <si>
    <t>Kleed- wasruimten</t>
  </si>
  <si>
    <t>Opslagruimten</t>
  </si>
  <si>
    <t>Doucheruimten</t>
  </si>
  <si>
    <t>wineo pvc</t>
  </si>
  <si>
    <t>Gemeente Barneveld</t>
  </si>
  <si>
    <t>Divers</t>
  </si>
  <si>
    <t>Niet in onderhoud</t>
  </si>
  <si>
    <t>Parkeergarage schrobben</t>
  </si>
  <si>
    <t>Parkeergarage spinrag verwijderen, zwerfvuil verwijderen</t>
  </si>
  <si>
    <t>magazijn/archief</t>
  </si>
  <si>
    <t>Recreatieruimte</t>
  </si>
  <si>
    <t>EHBO/lactatieruimte</t>
  </si>
  <si>
    <t>Archief</t>
  </si>
  <si>
    <t>Vide</t>
  </si>
  <si>
    <t>2</t>
  </si>
  <si>
    <t>Entreeglas buitenzijde</t>
  </si>
  <si>
    <t>Entreeglas binnenzijde</t>
  </si>
  <si>
    <t>Separatieglas</t>
  </si>
  <si>
    <t>Dubbelzijdig gemeten en te wassen</t>
  </si>
  <si>
    <t>Steunpunt Kootwijkerbroek</t>
  </si>
  <si>
    <t>Steunpunt Voorthuizen</t>
  </si>
  <si>
    <t>Centrale hal</t>
  </si>
  <si>
    <t>Nijkerkerweg 122, Barneveld</t>
  </si>
  <si>
    <t>Reinigen koelkast binnenzijde</t>
  </si>
  <si>
    <t>HACCP reiniging keuken (ruimtenr 1.02)</t>
  </si>
  <si>
    <t>HACCP reiniging keuken (ruimten 0.23 en 0.24)</t>
  </si>
  <si>
    <t>Serviesgoed verzamelen en naar spoelkeuken brengen</t>
  </si>
  <si>
    <t>Tapijt</t>
  </si>
  <si>
    <t>Tapijtreiniging</t>
  </si>
  <si>
    <t>3 x per week (52 weken)</t>
  </si>
  <si>
    <t>Entreeportaal</t>
  </si>
  <si>
    <t>Entreehal</t>
  </si>
  <si>
    <t>MIVA toilet</t>
  </si>
  <si>
    <t>Condoleance-/ontmoetruimte</t>
  </si>
  <si>
    <t>Portaal</t>
  </si>
  <si>
    <t>Familiekamer</t>
  </si>
  <si>
    <t>Opbaarruimte</t>
  </si>
  <si>
    <t>0.8</t>
  </si>
  <si>
    <t>0.20a</t>
  </si>
  <si>
    <t>Verlaagd deel aula</t>
  </si>
  <si>
    <t>Aula</t>
  </si>
  <si>
    <t>Afscheidsruimte</t>
  </si>
  <si>
    <t>Aflegruimte</t>
  </si>
  <si>
    <t>0.9</t>
  </si>
  <si>
    <t>Gang</t>
  </si>
  <si>
    <t>Werkkast</t>
  </si>
  <si>
    <t>Berging</t>
  </si>
  <si>
    <t>Condoleance-/koffiekamer</t>
  </si>
  <si>
    <t>Voorruimte</t>
  </si>
  <si>
    <t>Keuken</t>
  </si>
  <si>
    <t>0.4c</t>
  </si>
  <si>
    <t>0.3c</t>
  </si>
  <si>
    <t>0.3b</t>
  </si>
  <si>
    <t>0.3a</t>
  </si>
  <si>
    <t>0.4a</t>
  </si>
  <si>
    <t>0.4b</t>
  </si>
  <si>
    <t>pvc</t>
  </si>
  <si>
    <t>volgt na gunning</t>
  </si>
  <si>
    <t>Reinigen gevelbekleding</t>
  </si>
  <si>
    <t>RVS beplating loopbrug reinigen</t>
  </si>
  <si>
    <t>Inclusief gebruik bereikbaarheidsmiddelen, uitvoering op afroep gelijktijdig met glasbewassing</t>
  </si>
  <si>
    <t>Constructie luifel gemeentehuis</t>
  </si>
  <si>
    <t>Prijs per beurt excl. btw</t>
  </si>
  <si>
    <t>Multifunctionele ruimten uitvaartcentrum</t>
  </si>
  <si>
    <t>Driehuizerweg 6</t>
  </si>
  <si>
    <t>Kantoorruimte/pantry</t>
  </si>
  <si>
    <t>linoleum</t>
  </si>
  <si>
    <t>PureLine paperslim</t>
  </si>
  <si>
    <t>Zeepdispenser</t>
  </si>
  <si>
    <t>PureLine Foam slim</t>
  </si>
  <si>
    <t>PureLine toiletpapier</t>
  </si>
  <si>
    <t>Toiletborstelgarnituur</t>
  </si>
  <si>
    <t>Luchtverfrisser</t>
  </si>
  <si>
    <t>PureLine Airbar</t>
  </si>
  <si>
    <t>Hygiënebox</t>
  </si>
  <si>
    <t>Paradise Ladybin non-touch</t>
  </si>
  <si>
    <t>Opmerking</t>
  </si>
  <si>
    <t>30 dozen Z-vouw per jaar</t>
  </si>
  <si>
    <t>30 flacons per jaar</t>
  </si>
  <si>
    <t>20 dozen per jaar</t>
  </si>
  <si>
    <t>jaarlijkse vervanging</t>
  </si>
  <si>
    <t>40 flacons per jaar</t>
  </si>
  <si>
    <t>4 wekelijkse wisseling</t>
  </si>
  <si>
    <t>Gemeentehuis, Gemeentewerf, Milieustraat</t>
  </si>
  <si>
    <t>Paradise Foam slim zonder cover</t>
  </si>
  <si>
    <t>Handdoekdispenser</t>
  </si>
  <si>
    <t>Toiletroldispenser</t>
  </si>
  <si>
    <t>Zeepdispenser 2</t>
  </si>
  <si>
    <t>Bestfoam zeepschuim, 500ml</t>
  </si>
  <si>
    <t>144 flacons per jaar</t>
  </si>
  <si>
    <t>Anti-bact. Dispenser</t>
  </si>
  <si>
    <t>Paradise Antibact Active White</t>
  </si>
  <si>
    <t>Best Antibact 500ml</t>
  </si>
  <si>
    <t>Handdoekdispenser 2</t>
  </si>
  <si>
    <t>Paradise Dry slim zonder cover</t>
  </si>
  <si>
    <t>1440 rollen per jaar</t>
  </si>
  <si>
    <t>Handdoekrol Slim wit</t>
  </si>
  <si>
    <t>Toiletroldispenser 2</t>
  </si>
  <si>
    <t>Paradise toiletpapier</t>
  </si>
  <si>
    <t>Toiletpapier tissue, 2-laags</t>
  </si>
  <si>
    <t>Luchtverfrisser 2</t>
  </si>
  <si>
    <t>Paradise Air Bar zonder cover</t>
  </si>
  <si>
    <t>Navulling 80ml</t>
  </si>
  <si>
    <t>Hygiënebox 2</t>
  </si>
  <si>
    <t>Paradise hygiënebox incl houder</t>
  </si>
  <si>
    <t>HTN Black mono mat 85x150</t>
  </si>
  <si>
    <t>HTN Black mono mat 115x200</t>
  </si>
  <si>
    <t>Uurlonen 1 januari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</si>
</sst>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 numFmtId="198" formatCode="#,##0.0"/>
  </numFmts>
  <fonts count="148">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i/>
      <sz val="10"/>
      <name val="Georgia"/>
      <family val="1"/>
    </font>
    <font>
      <b/>
      <sz val="9"/>
      <color rgb="FFFF000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vertAlign val="superscript"/>
      <sz val="10"/>
      <color theme="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7"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5"/>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66">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6" fontId="70"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9" applyFont="1"/>
    <xf numFmtId="0" fontId="69"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8"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69" fillId="0" borderId="0" xfId="103"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44" fontId="65" fillId="0" borderId="0" xfId="0" applyNumberFormat="1" applyFont="1"/>
    <xf numFmtId="0" fontId="65" fillId="0" borderId="0" xfId="84" applyFont="1" applyAlignment="1">
      <alignment wrapText="1"/>
    </xf>
    <xf numFmtId="0" fontId="73" fillId="0" borderId="0" xfId="84" applyFont="1"/>
    <xf numFmtId="0" fontId="74" fillId="0" borderId="0" xfId="0" applyFont="1"/>
    <xf numFmtId="2" fontId="75" fillId="0" borderId="0" xfId="12" applyNumberFormat="1" applyFont="1"/>
    <xf numFmtId="2" fontId="76" fillId="2" borderId="0" xfId="12" applyNumberFormat="1" applyFont="1" applyFill="1"/>
    <xf numFmtId="0" fontId="78" fillId="0" borderId="0" xfId="89" applyFont="1"/>
    <xf numFmtId="167" fontId="78" fillId="0" borderId="0" xfId="8" applyFont="1"/>
    <xf numFmtId="173" fontId="80" fillId="0" borderId="0" xfId="8" applyNumberFormat="1" applyFont="1" applyAlignment="1">
      <alignment horizontal="center"/>
    </xf>
    <xf numFmtId="167" fontId="78" fillId="0" borderId="35" xfId="8" applyFont="1" applyBorder="1"/>
    <xf numFmtId="49" fontId="82" fillId="0" borderId="0" xfId="63" applyNumberFormat="1" applyFont="1"/>
    <xf numFmtId="0" fontId="82" fillId="0" borderId="0" xfId="63" applyFont="1"/>
    <xf numFmtId="10" fontId="82" fillId="0" borderId="0" xfId="63" applyNumberFormat="1" applyFont="1" applyAlignment="1">
      <alignment horizontal="left"/>
    </xf>
    <xf numFmtId="2" fontId="76" fillId="0" borderId="0" xfId="12" applyNumberFormat="1" applyFont="1"/>
    <xf numFmtId="188" fontId="83" fillId="0" borderId="0" xfId="63" applyNumberFormat="1" applyFont="1" applyAlignment="1">
      <alignment horizontal="left"/>
    </xf>
    <xf numFmtId="0" fontId="78" fillId="0" borderId="0" xfId="63" applyFont="1"/>
    <xf numFmtId="2" fontId="83" fillId="0" borderId="0" xfId="12" applyNumberFormat="1" applyFont="1"/>
    <xf numFmtId="0" fontId="82" fillId="0" borderId="0" xfId="89" applyFont="1"/>
    <xf numFmtId="167" fontId="82" fillId="0" borderId="0" xfId="8" applyFont="1"/>
    <xf numFmtId="2" fontId="80" fillId="0" borderId="0" xfId="89" applyNumberFormat="1" applyFont="1"/>
    <xf numFmtId="0" fontId="85" fillId="0" borderId="0" xfId="89" applyFont="1"/>
    <xf numFmtId="0" fontId="80" fillId="0" borderId="0" xfId="89"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7" applyFont="1" applyAlignment="1">
      <alignment horizontal="center"/>
    </xf>
    <xf numFmtId="2" fontId="78" fillId="0" borderId="0" xfId="8" applyNumberFormat="1" applyFont="1" applyAlignment="1">
      <alignment horizontal="left"/>
    </xf>
    <xf numFmtId="172" fontId="78" fillId="0" borderId="0" xfId="17" applyNumberFormat="1" applyFont="1" applyAlignment="1">
      <alignment horizontal="center"/>
    </xf>
    <xf numFmtId="172" fontId="87" fillId="0" borderId="0" xfId="12" applyNumberFormat="1" applyFont="1"/>
    <xf numFmtId="3" fontId="87" fillId="0" borderId="0" xfId="12" applyNumberFormat="1" applyFont="1" applyAlignment="1">
      <alignment horizontal="right"/>
    </xf>
    <xf numFmtId="3" fontId="78" fillId="0" borderId="0" xfId="8" applyNumberFormat="1" applyFont="1" applyAlignment="1">
      <alignment horizontal="right"/>
    </xf>
    <xf numFmtId="0" fontId="78" fillId="0" borderId="0" xfId="17" applyFont="1"/>
    <xf numFmtId="167" fontId="78" fillId="0" borderId="0" xfId="8" applyFont="1" applyAlignment="1">
      <alignment horizontal="right"/>
    </xf>
    <xf numFmtId="0" fontId="78" fillId="0" borderId="0" xfId="17" applyFont="1" applyAlignment="1">
      <alignment horizontal="center" vertical="center"/>
    </xf>
    <xf numFmtId="0" fontId="88" fillId="0" borderId="0" xfId="17" applyFont="1"/>
    <xf numFmtId="173" fontId="78" fillId="0" borderId="0" xfId="0" applyNumberFormat="1" applyFont="1"/>
    <xf numFmtId="0" fontId="78" fillId="0" borderId="37" xfId="0" applyFont="1" applyBorder="1"/>
    <xf numFmtId="1" fontId="78" fillId="0" borderId="37" xfId="61" applyNumberFormat="1" applyFont="1" applyBorder="1" applyAlignment="1">
      <alignment horizontal="center"/>
    </xf>
    <xf numFmtId="0" fontId="82" fillId="0" borderId="0" xfId="0" applyFont="1"/>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0" fontId="78" fillId="0" borderId="0" xfId="0" applyFont="1" applyAlignment="1">
      <alignment horizontal="center"/>
    </xf>
    <xf numFmtId="167" fontId="85" fillId="0" borderId="0" xfId="8" applyFont="1" applyFill="1" applyBorder="1" applyAlignment="1">
      <alignment horizontal="center"/>
    </xf>
    <xf numFmtId="2" fontId="85" fillId="0" borderId="0" xfId="8" applyNumberFormat="1" applyFont="1" applyFill="1" applyBorder="1" applyAlignment="1">
      <alignment horizontal="center"/>
    </xf>
    <xf numFmtId="2" fontId="78" fillId="0" borderId="0" xfId="0" applyNumberFormat="1" applyFont="1"/>
    <xf numFmtId="1" fontId="78" fillId="0" borderId="0" xfId="0" applyNumberFormat="1" applyFont="1" applyAlignment="1">
      <alignment horizontal="center"/>
    </xf>
    <xf numFmtId="0" fontId="78" fillId="0" borderId="0" xfId="8" applyNumberFormat="1" applyFont="1" applyFill="1" applyBorder="1" applyAlignment="1"/>
    <xf numFmtId="2" fontId="78" fillId="0" borderId="0" xfId="0" applyNumberFormat="1" applyFont="1" applyAlignment="1">
      <alignment horizontal="right"/>
    </xf>
    <xf numFmtId="1" fontId="82" fillId="0" borderId="0" xfId="0" applyNumberFormat="1" applyFont="1" applyAlignment="1">
      <alignment horizontal="center"/>
    </xf>
    <xf numFmtId="1" fontId="84" fillId="0" borderId="0" xfId="0" applyNumberFormat="1" applyFont="1" applyAlignment="1">
      <alignment horizontal="center"/>
    </xf>
    <xf numFmtId="43" fontId="85" fillId="0" borderId="0" xfId="8" applyNumberFormat="1" applyFont="1" applyFill="1" applyBorder="1" applyAlignment="1">
      <alignment horizontal="center"/>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0" fontId="78" fillId="0" borderId="36" xfId="0" applyFont="1" applyBorder="1"/>
    <xf numFmtId="0" fontId="78" fillId="0" borderId="35" xfId="0" applyFont="1" applyBorder="1" applyAlignment="1">
      <alignment horizontal="left"/>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0" fontId="82" fillId="0" borderId="35" xfId="0" applyFont="1" applyBorder="1"/>
    <xf numFmtId="0" fontId="78" fillId="0" borderId="2" xfId="0" applyFont="1" applyBorder="1"/>
    <xf numFmtId="0" fontId="89" fillId="0" borderId="0" xfId="13" applyFont="1" applyProtection="1">
      <protection hidden="1"/>
    </xf>
    <xf numFmtId="0" fontId="94" fillId="0" borderId="0" xfId="0" applyFont="1" applyAlignment="1">
      <alignment horizontal="left" indent="3"/>
    </xf>
    <xf numFmtId="0" fontId="94" fillId="0" borderId="0" xfId="0" applyFont="1"/>
    <xf numFmtId="0" fontId="94" fillId="0" borderId="0" xfId="0" applyFont="1" applyAlignment="1">
      <alignment horizontal="left" indent="1"/>
    </xf>
    <xf numFmtId="180" fontId="94" fillId="0" borderId="0" xfId="0" applyNumberFormat="1" applyFont="1"/>
    <xf numFmtId="179" fontId="94" fillId="0" borderId="0" xfId="0" applyNumberFormat="1" applyFont="1"/>
    <xf numFmtId="0" fontId="95" fillId="0" borderId="0" xfId="13" applyFont="1" applyAlignment="1" applyProtection="1">
      <alignment horizontal="center"/>
      <protection hidden="1"/>
    </xf>
    <xf numFmtId="0" fontId="95" fillId="0" borderId="0" xfId="13" applyFont="1" applyAlignment="1" applyProtection="1">
      <alignment horizontal="right"/>
      <protection hidden="1"/>
    </xf>
    <xf numFmtId="169" fontId="95" fillId="0" borderId="0" xfId="3" applyFont="1" applyFill="1" applyBorder="1" applyAlignment="1" applyProtection="1">
      <alignment horizontal="center"/>
      <protection hidden="1"/>
    </xf>
    <xf numFmtId="175" fontId="95" fillId="0" borderId="0" xfId="3" applyNumberFormat="1" applyFont="1" applyFill="1" applyBorder="1" applyAlignment="1" applyProtection="1">
      <alignment horizontal="center"/>
      <protection hidden="1"/>
    </xf>
    <xf numFmtId="2" fontId="76" fillId="0" borderId="0" xfId="0" applyNumberFormat="1" applyFont="1"/>
    <xf numFmtId="0" fontId="96" fillId="0" borderId="0" xfId="13" applyFont="1" applyAlignment="1" applyProtection="1">
      <alignment horizontal="right"/>
      <protection hidden="1"/>
    </xf>
    <xf numFmtId="0" fontId="97" fillId="0" borderId="0" xfId="0" applyFont="1" applyAlignment="1">
      <alignment horizontal="center" vertical="center"/>
    </xf>
    <xf numFmtId="175" fontId="97" fillId="0" borderId="0" xfId="0" applyNumberFormat="1" applyFont="1" applyAlignment="1">
      <alignment horizontal="center" vertical="center"/>
    </xf>
    <xf numFmtId="1" fontId="76" fillId="0" borderId="0" xfId="0" applyNumberFormat="1" applyFont="1" applyAlignment="1">
      <alignment horizontal="left"/>
    </xf>
    <xf numFmtId="2" fontId="96" fillId="0" borderId="0" xfId="13" applyNumberFormat="1" applyFont="1" applyAlignment="1" applyProtection="1">
      <alignment horizontal="right"/>
      <protection hidden="1"/>
    </xf>
    <xf numFmtId="2" fontId="98"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99" fillId="0" borderId="0" xfId="0" applyNumberFormat="1" applyFont="1" applyAlignment="1">
      <alignment horizontal="left"/>
    </xf>
    <xf numFmtId="2" fontId="98"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5" fontId="87" fillId="0" borderId="0" xfId="0" applyNumberFormat="1" applyFont="1" applyAlignment="1">
      <alignment horizontal="center" vertical="center"/>
    </xf>
    <xf numFmtId="2" fontId="88" fillId="0" borderId="37" xfId="3" applyNumberFormat="1" applyFont="1" applyFill="1" applyBorder="1" applyAlignment="1" applyProtection="1">
      <protection hidden="1"/>
    </xf>
    <xf numFmtId="1" fontId="80" fillId="0" borderId="37" xfId="13" applyNumberFormat="1" applyFont="1" applyBorder="1" applyAlignment="1" applyProtection="1">
      <alignment horizontal="center"/>
      <protection hidden="1"/>
    </xf>
    <xf numFmtId="0" fontId="78" fillId="0" borderId="36" xfId="13" applyFont="1" applyBorder="1" applyProtection="1">
      <protection hidden="1"/>
    </xf>
    <xf numFmtId="0" fontId="103" fillId="0" borderId="35" xfId="13" applyFont="1" applyBorder="1" applyAlignment="1" applyProtection="1">
      <alignment horizontal="right"/>
      <protection hidden="1"/>
    </xf>
    <xf numFmtId="2" fontId="96" fillId="0" borderId="0" xfId="13" applyNumberFormat="1" applyFont="1" applyAlignment="1" applyProtection="1">
      <alignment horizontal="center"/>
      <protection hidden="1"/>
    </xf>
    <xf numFmtId="2" fontId="105" fillId="0" borderId="0" xfId="13" applyNumberFormat="1" applyFont="1" applyAlignment="1" applyProtection="1">
      <alignment horizontal="center"/>
      <protection hidden="1"/>
    </xf>
    <xf numFmtId="0" fontId="85" fillId="0" borderId="0" xfId="0" applyFont="1"/>
    <xf numFmtId="2" fontId="78" fillId="0" borderId="36" xfId="13" applyNumberFormat="1" applyFont="1" applyBorder="1" applyProtection="1">
      <protection hidden="1"/>
    </xf>
    <xf numFmtId="0" fontId="80" fillId="0" borderId="37" xfId="0" applyFont="1" applyBorder="1"/>
    <xf numFmtId="0" fontId="104" fillId="0" borderId="0" xfId="0" applyFont="1"/>
    <xf numFmtId="0" fontId="107" fillId="0" borderId="36" xfId="13" applyFont="1" applyBorder="1" applyProtection="1">
      <protection hidden="1"/>
    </xf>
    <xf numFmtId="0" fontId="108" fillId="0" borderId="38" xfId="13" applyFont="1" applyBorder="1" applyProtection="1">
      <protection hidden="1"/>
    </xf>
    <xf numFmtId="0" fontId="108" fillId="0" borderId="35" xfId="13" applyFont="1" applyBorder="1" applyAlignment="1" applyProtection="1">
      <alignment horizontal="right"/>
      <protection hidden="1"/>
    </xf>
    <xf numFmtId="0" fontId="88" fillId="0" borderId="34" xfId="13" applyFont="1" applyBorder="1" applyProtection="1">
      <protection hidden="1"/>
    </xf>
    <xf numFmtId="10" fontId="102" fillId="0" borderId="2" xfId="13" applyNumberFormat="1" applyFont="1" applyBorder="1" applyAlignment="1" applyProtection="1">
      <alignment horizontal="right"/>
      <protection hidden="1"/>
    </xf>
    <xf numFmtId="175" fontId="103" fillId="0" borderId="6" xfId="16" applyNumberFormat="1" applyFont="1" applyFill="1" applyBorder="1" applyAlignment="1" applyProtection="1">
      <alignment horizontal="right"/>
      <protection hidden="1"/>
    </xf>
    <xf numFmtId="0" fontId="102" fillId="0" borderId="0" xfId="0" applyFont="1"/>
    <xf numFmtId="0" fontId="102" fillId="0" borderId="5" xfId="0" applyFont="1" applyBorder="1" applyAlignment="1">
      <alignment horizontal="right"/>
    </xf>
    <xf numFmtId="0" fontId="102" fillId="0" borderId="0" xfId="0" applyFont="1" applyAlignment="1">
      <alignment horizontal="right"/>
    </xf>
    <xf numFmtId="175" fontId="85" fillId="0" borderId="0" xfId="0" applyNumberFormat="1" applyFont="1"/>
    <xf numFmtId="0" fontId="85" fillId="0" borderId="0" xfId="0" applyFont="1" applyAlignment="1">
      <alignment horizontal="right"/>
    </xf>
    <xf numFmtId="2" fontId="75" fillId="0" borderId="0" xfId="63" applyNumberFormat="1" applyFont="1"/>
    <xf numFmtId="2" fontId="76" fillId="0" borderId="0" xfId="63" applyNumberFormat="1" applyFont="1"/>
    <xf numFmtId="0" fontId="78" fillId="0" borderId="34" xfId="0" applyFont="1" applyBorder="1" applyAlignment="1">
      <alignment horizontal="center"/>
    </xf>
    <xf numFmtId="0" fontId="78" fillId="0" borderId="2" xfId="0" applyFont="1" applyBorder="1" applyAlignment="1">
      <alignment horizontal="center"/>
    </xf>
    <xf numFmtId="0" fontId="78" fillId="0" borderId="6" xfId="0" applyFont="1" applyBorder="1" applyAlignment="1">
      <alignment horizontal="center"/>
    </xf>
    <xf numFmtId="0" fontId="104" fillId="0" borderId="0" xfId="10" applyFont="1"/>
    <xf numFmtId="179" fontId="104" fillId="0" borderId="0" xfId="10" applyNumberFormat="1" applyFont="1"/>
    <xf numFmtId="2" fontId="104"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99" fillId="0" borderId="0" xfId="10" applyNumberFormat="1" applyFont="1" applyAlignment="1">
      <alignment vertical="center"/>
    </xf>
    <xf numFmtId="0" fontId="87" fillId="0" borderId="0" xfId="14" applyFont="1"/>
    <xf numFmtId="2" fontId="87" fillId="0" borderId="0" xfId="14" applyNumberFormat="1" applyFont="1"/>
    <xf numFmtId="0" fontId="78" fillId="0" borderId="0" xfId="10" applyFont="1"/>
    <xf numFmtId="0" fontId="80" fillId="0" borderId="0" xfId="9" applyFont="1" applyAlignment="1" applyProtection="1">
      <alignment horizontal="left" vertical="center"/>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4" applyFont="1"/>
    <xf numFmtId="175" fontId="109" fillId="0" borderId="0" xfId="3" applyNumberFormat="1" applyFont="1" applyFill="1" applyBorder="1" applyAlignment="1" applyProtection="1">
      <alignment horizontal="center"/>
      <protection hidden="1"/>
    </xf>
    <xf numFmtId="2" fontId="90" fillId="0" borderId="0" xfId="84" applyNumberFormat="1" applyFont="1"/>
    <xf numFmtId="169" fontId="109" fillId="0" borderId="0" xfId="3" applyFont="1" applyFill="1" applyBorder="1" applyAlignment="1" applyProtection="1">
      <alignment horizontal="center"/>
      <protection hidden="1"/>
    </xf>
    <xf numFmtId="173" fontId="109" fillId="0" borderId="0" xfId="8" applyNumberFormat="1" applyFont="1" applyFill="1" applyBorder="1" applyAlignment="1" applyProtection="1">
      <alignment horizontal="center"/>
      <protection hidden="1"/>
    </xf>
    <xf numFmtId="0" fontId="78" fillId="0" borderId="0" xfId="103" applyFont="1"/>
    <xf numFmtId="0" fontId="78" fillId="0" borderId="0" xfId="103" applyFont="1" applyAlignment="1">
      <alignment horizontal="center"/>
    </xf>
    <xf numFmtId="167" fontId="78" fillId="0" borderId="0" xfId="105" applyFont="1"/>
    <xf numFmtId="173" fontId="78" fillId="0" borderId="0" xfId="8" applyNumberFormat="1" applyFont="1"/>
    <xf numFmtId="0" fontId="78" fillId="0" borderId="0" xfId="84" applyFont="1" applyAlignment="1">
      <alignment horizontal="center" vertical="center"/>
    </xf>
    <xf numFmtId="175" fontId="78" fillId="0" borderId="0" xfId="84" applyNumberFormat="1" applyFont="1" applyAlignment="1">
      <alignment horizontal="center" vertical="center"/>
    </xf>
    <xf numFmtId="0" fontId="78" fillId="0" borderId="37" xfId="89" applyFont="1" applyBorder="1"/>
    <xf numFmtId="2" fontId="78" fillId="0" borderId="37" xfId="63" applyNumberFormat="1" applyFont="1" applyBorder="1"/>
    <xf numFmtId="0" fontId="78" fillId="0" borderId="37" xfId="84" applyFont="1" applyBorder="1"/>
    <xf numFmtId="188" fontId="78" fillId="0" borderId="37" xfId="63" applyNumberFormat="1" applyFont="1" applyBorder="1"/>
    <xf numFmtId="2" fontId="80" fillId="2" borderId="37" xfId="84" applyNumberFormat="1" applyFont="1" applyFill="1" applyBorder="1" applyAlignment="1">
      <alignment vertical="top" wrapText="1"/>
    </xf>
    <xf numFmtId="0" fontId="111" fillId="0" borderId="0" xfId="10" applyFont="1"/>
    <xf numFmtId="0" fontId="104" fillId="0" borderId="0" xfId="10" applyFont="1" applyAlignment="1">
      <alignment horizontal="center"/>
    </xf>
    <xf numFmtId="0" fontId="78" fillId="0" borderId="0" xfId="97" applyFont="1"/>
    <xf numFmtId="2" fontId="90" fillId="0" borderId="0" xfId="63" applyNumberFormat="1" applyFont="1"/>
    <xf numFmtId="196" fontId="112" fillId="0" borderId="0" xfId="63" applyNumberFormat="1" applyFont="1" applyAlignment="1">
      <alignment horizontal="left"/>
    </xf>
    <xf numFmtId="0" fontId="80" fillId="0" borderId="36" xfId="84" applyFont="1" applyBorder="1"/>
    <xf numFmtId="0" fontId="80" fillId="0" borderId="38" xfId="84" applyFont="1" applyBorder="1"/>
    <xf numFmtId="0" fontId="79" fillId="63" borderId="37" xfId="0" applyFont="1" applyFill="1" applyBorder="1" applyAlignment="1">
      <alignment wrapText="1"/>
    </xf>
    <xf numFmtId="0" fontId="79" fillId="63" borderId="37" xfId="0" applyFont="1" applyFill="1" applyBorder="1"/>
    <xf numFmtId="2" fontId="76" fillId="64" borderId="0" xfId="12" applyNumberFormat="1" applyFont="1" applyFill="1"/>
    <xf numFmtId="2" fontId="75" fillId="64" borderId="0" xfId="12" applyNumberFormat="1" applyFont="1" applyFill="1"/>
    <xf numFmtId="3" fontId="88" fillId="64" borderId="37" xfId="62" applyNumberFormat="1" applyFont="1" applyFill="1" applyBorder="1" applyAlignment="1" applyProtection="1">
      <alignment horizontal="left" wrapText="1"/>
      <protection hidden="1"/>
    </xf>
    <xf numFmtId="3" fontId="88" fillId="64" borderId="37" xfId="62" applyNumberFormat="1" applyFont="1" applyFill="1" applyBorder="1" applyAlignment="1" applyProtection="1">
      <alignment horizontal="left" vertical="top" wrapText="1"/>
      <protection hidden="1"/>
    </xf>
    <xf numFmtId="167" fontId="115" fillId="63" borderId="32" xfId="8" applyFont="1" applyFill="1" applyBorder="1" applyAlignment="1">
      <alignment horizontal="center" vertical="top" wrapText="1"/>
    </xf>
    <xf numFmtId="0" fontId="114" fillId="0" borderId="0" xfId="0" applyFont="1" applyAlignment="1">
      <alignment horizontal="center" vertical="center"/>
    </xf>
    <xf numFmtId="0" fontId="118" fillId="0" borderId="0" xfId="17" applyFont="1"/>
    <xf numFmtId="1" fontId="80" fillId="0" borderId="37" xfId="61" applyNumberFormat="1" applyFont="1" applyBorder="1" applyAlignment="1">
      <alignment horizontal="center"/>
    </xf>
    <xf numFmtId="2" fontId="119" fillId="0" borderId="0" xfId="0" applyNumberFormat="1" applyFont="1"/>
    <xf numFmtId="2" fontId="117" fillId="63" borderId="32" xfId="0" applyNumberFormat="1" applyFont="1" applyFill="1" applyBorder="1" applyAlignment="1">
      <alignment horizontal="center" vertical="top" wrapText="1"/>
    </xf>
    <xf numFmtId="0" fontId="114" fillId="0" borderId="0" xfId="0" applyFont="1" applyAlignment="1">
      <alignment horizontal="center"/>
    </xf>
    <xf numFmtId="2" fontId="120" fillId="0" borderId="0" xfId="13" applyNumberFormat="1" applyFont="1" applyAlignment="1" applyProtection="1">
      <alignment vertical="center"/>
      <protection locked="0"/>
    </xf>
    <xf numFmtId="2" fontId="125" fillId="0" borderId="0" xfId="13" applyNumberFormat="1" applyFont="1" applyAlignment="1" applyProtection="1">
      <alignment horizontal="center" wrapText="1"/>
      <protection hidden="1"/>
    </xf>
    <xf numFmtId="0" fontId="114" fillId="0" borderId="0" xfId="0" applyFont="1" applyAlignment="1">
      <alignment horizontal="center" wrapText="1"/>
    </xf>
    <xf numFmtId="2" fontId="124" fillId="63" borderId="36" xfId="13" applyNumberFormat="1" applyFont="1" applyFill="1" applyBorder="1" applyAlignment="1" applyProtection="1">
      <alignment horizontal="left" vertical="center" wrapText="1"/>
      <protection hidden="1"/>
    </xf>
    <xf numFmtId="2" fontId="124" fillId="63" borderId="37" xfId="3" applyNumberFormat="1" applyFont="1" applyFill="1" applyBorder="1" applyAlignment="1" applyProtection="1">
      <alignment vertical="center" wrapText="1"/>
      <protection hidden="1"/>
    </xf>
    <xf numFmtId="0" fontId="115" fillId="63" borderId="36" xfId="59" applyFont="1" applyFill="1" applyBorder="1" applyAlignment="1">
      <alignment horizontal="left" vertical="top" wrapText="1"/>
    </xf>
    <xf numFmtId="0" fontId="115" fillId="63" borderId="38" xfId="59" applyFont="1" applyFill="1" applyBorder="1" applyAlignment="1">
      <alignment horizontal="left" vertical="top" wrapText="1"/>
    </xf>
    <xf numFmtId="0" fontId="115" fillId="63" borderId="35" xfId="59" applyFont="1" applyFill="1" applyBorder="1" applyAlignment="1">
      <alignment horizontal="left" vertical="top" wrapText="1"/>
    </xf>
    <xf numFmtId="0" fontId="83" fillId="0" borderId="0" xfId="9" applyFont="1" applyAlignment="1" applyProtection="1">
      <alignment horizontal="left" vertical="center"/>
      <protection hidden="1"/>
    </xf>
    <xf numFmtId="179" fontId="115" fillId="63" borderId="37" xfId="89" applyNumberFormat="1" applyFont="1" applyFill="1" applyBorder="1" applyAlignment="1" applyProtection="1">
      <alignment horizontal="center" vertical="top" wrapText="1"/>
      <protection hidden="1"/>
    </xf>
    <xf numFmtId="2" fontId="115" fillId="63" borderId="37" xfId="89" applyNumberFormat="1" applyFont="1" applyFill="1" applyBorder="1" applyAlignment="1" applyProtection="1">
      <alignment horizontal="center" vertical="top" wrapText="1"/>
      <protection hidden="1"/>
    </xf>
    <xf numFmtId="0" fontId="116" fillId="0" borderId="0" xfId="103" applyFont="1"/>
    <xf numFmtId="179" fontId="115" fillId="63" borderId="37" xfId="89" applyNumberFormat="1" applyFont="1" applyFill="1" applyBorder="1" applyAlignment="1" applyProtection="1">
      <alignment vertical="center" wrapText="1"/>
      <protection hidden="1"/>
    </xf>
    <xf numFmtId="179" fontId="115" fillId="63" borderId="37" xfId="89" applyNumberFormat="1" applyFont="1" applyFill="1" applyBorder="1" applyAlignment="1" applyProtection="1">
      <alignment horizontal="center" vertical="center" wrapText="1"/>
      <protection hidden="1"/>
    </xf>
    <xf numFmtId="0" fontId="115" fillId="63" borderId="32" xfId="89" applyFont="1" applyFill="1" applyBorder="1" applyAlignment="1" applyProtection="1">
      <alignment horizontal="left" vertical="center" wrapText="1"/>
      <protection hidden="1"/>
    </xf>
    <xf numFmtId="0" fontId="115" fillId="63" borderId="33" xfId="84" applyFont="1" applyFill="1" applyBorder="1" applyAlignment="1">
      <alignment vertical="top"/>
    </xf>
    <xf numFmtId="0" fontId="115" fillId="63" borderId="40" xfId="84" applyFont="1" applyFill="1" applyBorder="1" applyAlignment="1">
      <alignment vertical="top" wrapText="1"/>
    </xf>
    <xf numFmtId="2" fontId="115" fillId="63" borderId="32" xfId="0" applyNumberFormat="1" applyFont="1" applyFill="1" applyBorder="1" applyAlignment="1">
      <alignment horizontal="left" vertical="top" wrapText="1"/>
    </xf>
    <xf numFmtId="0" fontId="114" fillId="0" borderId="0" xfId="84" applyFont="1"/>
    <xf numFmtId="166" fontId="130" fillId="2" borderId="35" xfId="18" applyFont="1" applyFill="1" applyBorder="1" applyAlignment="1"/>
    <xf numFmtId="167" fontId="35" fillId="64" borderId="37" xfId="8" applyFont="1" applyFill="1" applyBorder="1" applyAlignment="1">
      <alignment horizontal="left"/>
    </xf>
    <xf numFmtId="0" fontId="131" fillId="0" borderId="0" xfId="63" applyFont="1"/>
    <xf numFmtId="178" fontId="131" fillId="0" borderId="2" xfId="6" applyNumberFormat="1" applyFont="1" applyFill="1" applyBorder="1" applyAlignment="1"/>
    <xf numFmtId="44" fontId="131" fillId="0" borderId="0" xfId="63" applyNumberFormat="1" applyFont="1"/>
    <xf numFmtId="9" fontId="35" fillId="64" borderId="37" xfId="16" applyFont="1" applyFill="1" applyBorder="1" applyAlignment="1">
      <alignment horizontal="center"/>
    </xf>
    <xf numFmtId="44" fontId="128" fillId="63" borderId="35" xfId="63" applyNumberFormat="1" applyFont="1" applyFill="1" applyBorder="1"/>
    <xf numFmtId="2" fontId="35" fillId="64" borderId="37" xfId="8" applyNumberFormat="1" applyFont="1" applyFill="1" applyBorder="1" applyAlignment="1">
      <alignment horizontal="center"/>
    </xf>
    <xf numFmtId="1" fontId="129" fillId="2" borderId="37" xfId="8" applyNumberFormat="1" applyFont="1" applyFill="1" applyBorder="1" applyAlignment="1">
      <alignment horizontal="center"/>
    </xf>
    <xf numFmtId="173" fontId="129" fillId="2" borderId="37" xfId="8" applyNumberFormat="1" applyFont="1" applyFill="1" applyBorder="1"/>
    <xf numFmtId="167" fontId="129" fillId="2" borderId="37" xfId="8" applyFont="1" applyFill="1" applyBorder="1"/>
    <xf numFmtId="166" fontId="35" fillId="0" borderId="37" xfId="18" applyFont="1" applyBorder="1"/>
    <xf numFmtId="166" fontId="35" fillId="0" borderId="37" xfId="89" applyNumberFormat="1" applyFont="1" applyBorder="1"/>
    <xf numFmtId="180" fontId="35" fillId="0" borderId="37" xfId="89" applyNumberFormat="1" applyFont="1" applyBorder="1"/>
    <xf numFmtId="173" fontId="79" fillId="63" borderId="36" xfId="8" applyNumberFormat="1" applyFont="1" applyFill="1" applyBorder="1" applyAlignment="1">
      <alignment horizontal="left"/>
    </xf>
    <xf numFmtId="167" fontId="79" fillId="63" borderId="35" xfId="8" applyFont="1" applyFill="1" applyBorder="1"/>
    <xf numFmtId="49" fontId="81" fillId="0" borderId="36" xfId="63" applyNumberFormat="1" applyFont="1" applyBorder="1" applyAlignment="1">
      <alignment vertical="top"/>
    </xf>
    <xf numFmtId="0" fontId="78" fillId="0" borderId="38" xfId="63" applyFont="1" applyBorder="1"/>
    <xf numFmtId="49" fontId="80" fillId="0" borderId="38" xfId="63" applyNumberFormat="1" applyFont="1" applyBorder="1"/>
    <xf numFmtId="49" fontId="79" fillId="63" borderId="36" xfId="63" applyNumberFormat="1" applyFont="1" applyFill="1" applyBorder="1"/>
    <xf numFmtId="0" fontId="79" fillId="63" borderId="38" xfId="63" applyFont="1" applyFill="1" applyBorder="1"/>
    <xf numFmtId="173" fontId="79" fillId="63" borderId="37" xfId="8" applyNumberFormat="1" applyFont="1" applyFill="1" applyBorder="1" applyAlignment="1">
      <alignment vertical="top" wrapText="1"/>
    </xf>
    <xf numFmtId="173" fontId="79" fillId="63" borderId="37" xfId="8" applyNumberFormat="1" applyFont="1" applyFill="1" applyBorder="1" applyAlignment="1">
      <alignment horizontal="center" vertical="top" wrapText="1"/>
    </xf>
    <xf numFmtId="167" fontId="79" fillId="63" borderId="37" xfId="8" applyFont="1" applyFill="1" applyBorder="1" applyAlignment="1">
      <alignment horizontal="center" vertical="top" wrapText="1"/>
    </xf>
    <xf numFmtId="2" fontId="79" fillId="63" borderId="32" xfId="89" applyNumberFormat="1" applyFont="1" applyFill="1" applyBorder="1" applyAlignment="1">
      <alignment vertical="top" wrapText="1"/>
    </xf>
    <xf numFmtId="167" fontId="79" fillId="63" borderId="32" xfId="8" applyFont="1" applyFill="1" applyBorder="1" applyAlignment="1">
      <alignment horizontal="center" vertical="top" wrapText="1"/>
    </xf>
    <xf numFmtId="0" fontId="35" fillId="0" borderId="0" xfId="17" applyFont="1"/>
    <xf numFmtId="0" fontId="129" fillId="0" borderId="0" xfId="17" applyFont="1"/>
    <xf numFmtId="0" fontId="35" fillId="0" borderId="0" xfId="0" applyFont="1"/>
    <xf numFmtId="0" fontId="35" fillId="0" borderId="0" xfId="0" applyFont="1" applyAlignment="1">
      <alignment horizontal="center"/>
    </xf>
    <xf numFmtId="2" fontId="129" fillId="0" borderId="0" xfId="0" applyNumberFormat="1" applyFont="1" applyAlignment="1">
      <alignment horizontal="center"/>
    </xf>
    <xf numFmtId="2" fontId="132" fillId="0" borderId="0" xfId="0" applyNumberFormat="1" applyFont="1" applyAlignment="1">
      <alignment horizontal="center"/>
    </xf>
    <xf numFmtId="2" fontId="137" fillId="0" borderId="0" xfId="12" applyNumberFormat="1" applyFont="1" applyAlignment="1">
      <alignment horizontal="center"/>
    </xf>
    <xf numFmtId="174" fontId="35" fillId="0" borderId="0" xfId="0" applyNumberFormat="1" applyFont="1" applyAlignment="1">
      <alignment horizontal="center"/>
    </xf>
    <xf numFmtId="43" fontId="134" fillId="0" borderId="37" xfId="8" applyNumberFormat="1" applyFont="1" applyFill="1" applyBorder="1" applyAlignment="1">
      <alignment horizontal="center"/>
    </xf>
    <xf numFmtId="1" fontId="135" fillId="0" borderId="37" xfId="0" applyNumberFormat="1" applyFont="1" applyBorder="1" applyAlignment="1">
      <alignment horizontal="center"/>
    </xf>
    <xf numFmtId="14" fontId="133" fillId="0" borderId="0" xfId="12" applyNumberFormat="1" applyFont="1" applyAlignment="1">
      <alignment horizontal="left"/>
    </xf>
    <xf numFmtId="177" fontId="35" fillId="64" borderId="37" xfId="11" applyNumberFormat="1" applyFont="1" applyFill="1" applyBorder="1" applyAlignment="1" applyProtection="1">
      <alignment vertical="center"/>
      <protection hidden="1"/>
    </xf>
    <xf numFmtId="179" fontId="138"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38" fillId="0" borderId="37" xfId="3" applyNumberFormat="1" applyFont="1" applyFill="1" applyBorder="1" applyAlignment="1" applyProtection="1">
      <protection hidden="1"/>
    </xf>
    <xf numFmtId="166" fontId="138" fillId="35" borderId="37" xfId="18" applyFont="1" applyFill="1" applyBorder="1" applyAlignment="1" applyProtection="1">
      <protection locked="0"/>
    </xf>
    <xf numFmtId="175" fontId="139" fillId="0" borderId="5" xfId="0" applyNumberFormat="1" applyFont="1" applyBorder="1" applyAlignment="1">
      <alignment horizontal="center" vertical="center"/>
    </xf>
    <xf numFmtId="166" fontId="138" fillId="65" borderId="37" xfId="18" applyFont="1" applyFill="1" applyBorder="1" applyAlignment="1" applyProtection="1">
      <protection locked="0"/>
    </xf>
    <xf numFmtId="179" fontId="129" fillId="0" borderId="37" xfId="3" applyNumberFormat="1" applyFont="1" applyFill="1" applyBorder="1" applyAlignment="1" applyProtection="1">
      <protection hidden="1"/>
    </xf>
    <xf numFmtId="169" fontId="138" fillId="0" borderId="37" xfId="3" applyFont="1" applyFill="1" applyBorder="1" applyAlignment="1" applyProtection="1">
      <protection hidden="1"/>
    </xf>
    <xf numFmtId="166" fontId="138" fillId="0" borderId="37" xfId="18" applyFont="1" applyFill="1" applyBorder="1" applyAlignment="1" applyProtection="1">
      <protection locked="0"/>
    </xf>
    <xf numFmtId="169" fontId="138" fillId="0" borderId="37" xfId="3" applyFont="1" applyFill="1" applyBorder="1" applyAlignment="1" applyProtection="1">
      <protection locked="0"/>
    </xf>
    <xf numFmtId="166" fontId="141" fillId="2" borderId="37" xfId="18" applyFont="1" applyFill="1" applyBorder="1" applyAlignment="1" applyProtection="1">
      <alignment horizontal="right"/>
      <protection locked="0"/>
    </xf>
    <xf numFmtId="175" fontId="134" fillId="0" borderId="5" xfId="0" applyNumberFormat="1" applyFont="1" applyBorder="1" applyAlignment="1">
      <alignment horizontal="center" vertical="center"/>
    </xf>
    <xf numFmtId="175" fontId="142" fillId="0" borderId="5" xfId="0" applyNumberFormat="1" applyFont="1" applyBorder="1" applyAlignment="1">
      <alignment horizontal="center" vertical="center"/>
    </xf>
    <xf numFmtId="175" fontId="35" fillId="0" borderId="5" xfId="0" applyNumberFormat="1" applyFont="1" applyBorder="1"/>
    <xf numFmtId="179" fontId="129"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3" fillId="0" borderId="37" xfId="5" applyNumberFormat="1" applyFont="1" applyFill="1" applyBorder="1" applyAlignment="1" applyProtection="1">
      <protection hidden="1"/>
    </xf>
    <xf numFmtId="179" fontId="134" fillId="0" borderId="0" xfId="0" applyNumberFormat="1" applyFont="1"/>
    <xf numFmtId="0" fontId="134" fillId="0" borderId="0" xfId="0" applyFont="1"/>
    <xf numFmtId="14" fontId="133" fillId="0" borderId="0" xfId="0" applyNumberFormat="1" applyFont="1" applyAlignment="1">
      <alignment horizontal="left"/>
    </xf>
    <xf numFmtId="166" fontId="35" fillId="0" borderId="36" xfId="18" applyFont="1" applyFill="1" applyBorder="1" applyAlignment="1" applyProtection="1">
      <protection hidden="1"/>
    </xf>
    <xf numFmtId="166" fontId="129" fillId="0" borderId="37" xfId="18" applyFont="1" applyBorder="1"/>
    <xf numFmtId="1" fontId="129" fillId="0" borderId="37" xfId="13" applyNumberFormat="1" applyFont="1" applyBorder="1" applyAlignment="1" applyProtection="1">
      <alignment horizontal="center"/>
      <protection hidden="1"/>
    </xf>
    <xf numFmtId="166" fontId="35" fillId="64" borderId="37" xfId="18" applyFont="1" applyFill="1" applyBorder="1"/>
    <xf numFmtId="2" fontId="35" fillId="0" borderId="36" xfId="13" applyNumberFormat="1" applyFont="1" applyBorder="1" applyProtection="1">
      <protection hidden="1"/>
    </xf>
    <xf numFmtId="44" fontId="35" fillId="65" borderId="35" xfId="66" applyFont="1" applyFill="1" applyBorder="1" applyAlignment="1" applyProtection="1">
      <protection locked="0"/>
    </xf>
    <xf numFmtId="14" fontId="133" fillId="0" borderId="0" xfId="63" applyNumberFormat="1" applyFont="1" applyAlignment="1">
      <alignment horizontal="left"/>
    </xf>
    <xf numFmtId="0" fontId="35" fillId="0" borderId="0" xfId="103" applyFont="1"/>
    <xf numFmtId="166" fontId="35" fillId="64" borderId="37" xfId="18" applyFont="1" applyFill="1" applyBorder="1" applyAlignment="1">
      <alignment horizontal="center"/>
    </xf>
    <xf numFmtId="9" fontId="35" fillId="0" borderId="37" xfId="84" applyNumberFormat="1" applyFont="1" applyBorder="1" applyAlignment="1">
      <alignment horizontal="left" vertical="center"/>
    </xf>
    <xf numFmtId="9" fontId="35" fillId="64" borderId="4" xfId="16" applyFont="1" applyFill="1" applyBorder="1" applyAlignment="1" applyProtection="1">
      <alignment vertical="center"/>
      <protection locked="0"/>
    </xf>
    <xf numFmtId="0" fontId="35" fillId="0" borderId="37" xfId="84" applyFont="1" applyBorder="1"/>
    <xf numFmtId="9" fontId="35" fillId="64" borderId="37" xfId="16" applyFont="1" applyFill="1" applyBorder="1" applyProtection="1">
      <protection locked="0"/>
    </xf>
    <xf numFmtId="14" fontId="146" fillId="0" borderId="0" xfId="63" applyNumberFormat="1" applyFont="1" applyAlignment="1">
      <alignment horizontal="left"/>
    </xf>
    <xf numFmtId="0" fontId="138" fillId="0" borderId="32" xfId="62" applyFont="1" applyBorder="1" applyAlignment="1" applyProtection="1">
      <alignment horizontal="left" textRotation="90"/>
      <protection hidden="1"/>
    </xf>
    <xf numFmtId="175" fontId="138" fillId="64" borderId="32" xfId="65" applyNumberFormat="1" applyFont="1" applyFill="1" applyBorder="1" applyAlignment="1" applyProtection="1">
      <alignment horizontal="center"/>
      <protection hidden="1"/>
    </xf>
    <xf numFmtId="0" fontId="138" fillId="0" borderId="0" xfId="62" applyFont="1" applyAlignment="1" applyProtection="1">
      <alignment horizontal="left" textRotation="90"/>
      <protection hidden="1"/>
    </xf>
    <xf numFmtId="0" fontId="35" fillId="0" borderId="0" xfId="84" applyFont="1"/>
    <xf numFmtId="0" fontId="147" fillId="0" borderId="0" xfId="62" applyFont="1" applyAlignment="1" applyProtection="1">
      <alignment horizontal="left" textRotation="90"/>
      <protection hidden="1"/>
    </xf>
    <xf numFmtId="179" fontId="138" fillId="64" borderId="37" xfId="62" applyNumberFormat="1" applyFont="1" applyFill="1" applyBorder="1" applyAlignment="1" applyProtection="1">
      <alignment horizontal="center"/>
      <protection hidden="1"/>
    </xf>
    <xf numFmtId="179" fontId="138" fillId="2" borderId="37" xfId="62" applyNumberFormat="1" applyFont="1" applyFill="1" applyBorder="1" applyAlignment="1" applyProtection="1">
      <alignment horizontal="center"/>
      <protection hidden="1"/>
    </xf>
    <xf numFmtId="179" fontId="138" fillId="0" borderId="37" xfId="62" applyNumberFormat="1" applyFont="1" applyBorder="1" applyAlignment="1" applyProtection="1">
      <alignment horizontal="center"/>
      <protection hidden="1"/>
    </xf>
    <xf numFmtId="3" fontId="138" fillId="64" borderId="37" xfId="62" applyNumberFormat="1" applyFont="1" applyFill="1" applyBorder="1" applyAlignment="1" applyProtection="1">
      <alignment horizontal="center"/>
      <protection hidden="1"/>
    </xf>
    <xf numFmtId="166" fontId="35" fillId="0" borderId="37" xfId="102" applyFont="1" applyBorder="1"/>
    <xf numFmtId="180" fontId="35" fillId="0" borderId="37" xfId="84" applyNumberFormat="1" applyFont="1" applyBorder="1"/>
    <xf numFmtId="197" fontId="35" fillId="0" borderId="37" xfId="84" applyNumberFormat="1" applyFont="1" applyBorder="1"/>
    <xf numFmtId="166" fontId="35" fillId="0" borderId="37" xfId="84" applyNumberFormat="1" applyFont="1" applyBorder="1"/>
    <xf numFmtId="0" fontId="129" fillId="0" borderId="38" xfId="84" applyFont="1" applyBorder="1"/>
    <xf numFmtId="0" fontId="129" fillId="0" borderId="35" xfId="84" applyFont="1" applyBorder="1"/>
    <xf numFmtId="49" fontId="129" fillId="0" borderId="37" xfId="8" applyNumberFormat="1" applyFont="1" applyBorder="1" applyAlignment="1">
      <alignment horizontal="center"/>
    </xf>
    <xf numFmtId="166" fontId="129" fillId="0" borderId="37" xfId="84" applyNumberFormat="1" applyFont="1" applyBorder="1"/>
    <xf numFmtId="49" fontId="77" fillId="65" borderId="37" xfId="62" applyNumberFormat="1" applyFont="1" applyFill="1" applyBorder="1" applyAlignment="1" applyProtection="1">
      <alignment horizontal="left" vertical="top"/>
      <protection hidden="1"/>
    </xf>
    <xf numFmtId="2" fontId="79" fillId="63" borderId="37" xfId="89" applyNumberFormat="1" applyFont="1" applyFill="1" applyBorder="1" applyAlignment="1">
      <alignment vertical="top" wrapText="1"/>
    </xf>
    <xf numFmtId="2" fontId="78" fillId="0" borderId="37" xfId="0" applyNumberFormat="1" applyFont="1" applyBorder="1"/>
    <xf numFmtId="2" fontId="78" fillId="0" borderId="37" xfId="89" applyNumberFormat="1" applyFont="1" applyBorder="1"/>
    <xf numFmtId="0" fontId="84" fillId="0" borderId="37" xfId="0" applyFont="1" applyBorder="1"/>
    <xf numFmtId="0" fontId="80" fillId="0" borderId="37" xfId="89" applyFont="1" applyBorder="1"/>
    <xf numFmtId="166" fontId="35" fillId="2" borderId="37" xfId="18" applyFont="1" applyFill="1" applyBorder="1" applyAlignment="1">
      <alignment horizontal="center"/>
    </xf>
    <xf numFmtId="166" fontId="129" fillId="2" borderId="37" xfId="18" applyFont="1" applyFill="1" applyBorder="1"/>
    <xf numFmtId="1" fontId="113" fillId="0" borderId="36" xfId="0" applyNumberFormat="1" applyFont="1" applyBorder="1" applyAlignment="1">
      <alignment horizontal="left" vertical="center"/>
    </xf>
    <xf numFmtId="1" fontId="113" fillId="0" borderId="38" xfId="0" applyNumberFormat="1" applyFont="1" applyBorder="1" applyAlignment="1">
      <alignment horizontal="left" vertical="center"/>
    </xf>
    <xf numFmtId="1" fontId="136" fillId="0" borderId="38" xfId="0" applyNumberFormat="1" applyFont="1" applyBorder="1" applyAlignment="1">
      <alignment horizontal="center" vertical="center" wrapText="1"/>
    </xf>
    <xf numFmtId="1" fontId="113" fillId="0" borderId="35" xfId="0" applyNumberFormat="1" applyFont="1" applyBorder="1" applyAlignment="1">
      <alignment horizontal="center" vertical="center" wrapText="1"/>
    </xf>
    <xf numFmtId="2" fontId="115" fillId="63" borderId="37" xfId="0" applyNumberFormat="1" applyFont="1" applyFill="1" applyBorder="1" applyAlignment="1">
      <alignment horizontal="left" vertical="center" wrapText="1"/>
    </xf>
    <xf numFmtId="1" fontId="115" fillId="63" borderId="37" xfId="0" applyNumberFormat="1" applyFont="1" applyFill="1" applyBorder="1" applyAlignment="1">
      <alignment horizontal="center" vertical="center" wrapText="1"/>
    </xf>
    <xf numFmtId="9" fontId="127" fillId="64" borderId="37" xfId="61" applyNumberFormat="1" applyFont="1" applyFill="1" applyBorder="1" applyAlignment="1">
      <alignment horizontal="center" vertical="center"/>
    </xf>
    <xf numFmtId="0" fontId="115" fillId="63" borderId="37" xfId="0" applyFont="1" applyFill="1" applyBorder="1" applyAlignment="1">
      <alignment horizontal="left" vertical="center" wrapText="1"/>
    </xf>
    <xf numFmtId="2" fontId="115" fillId="63" borderId="37" xfId="0" applyNumberFormat="1" applyFont="1" applyFill="1" applyBorder="1" applyAlignment="1">
      <alignment horizontal="center" vertical="center" wrapText="1"/>
    </xf>
    <xf numFmtId="1" fontId="116" fillId="0" borderId="37" xfId="0" applyNumberFormat="1" applyFont="1" applyBorder="1" applyAlignment="1">
      <alignment horizontal="center" vertical="center" wrapText="1"/>
    </xf>
    <xf numFmtId="0" fontId="78" fillId="2" borderId="37" xfId="0" applyFont="1" applyFill="1" applyBorder="1" applyAlignment="1">
      <alignment vertical="center"/>
    </xf>
    <xf numFmtId="173" fontId="129" fillId="64" borderId="37" xfId="8" applyNumberFormat="1" applyFont="1" applyFill="1" applyBorder="1" applyAlignment="1">
      <alignment horizontal="center"/>
    </xf>
    <xf numFmtId="173" fontId="35" fillId="0" borderId="37" xfId="8" applyNumberFormat="1" applyFont="1" applyFill="1" applyBorder="1" applyAlignment="1">
      <alignment horizontal="center" vertical="center"/>
    </xf>
    <xf numFmtId="0" fontId="78" fillId="0" borderId="37" xfId="0" applyFont="1" applyBorder="1" applyAlignment="1">
      <alignment horizontal="center" vertical="center"/>
    </xf>
    <xf numFmtId="0" fontId="78" fillId="0" borderId="37" xfId="0" applyFont="1" applyBorder="1" applyAlignment="1">
      <alignment vertical="center"/>
    </xf>
    <xf numFmtId="173" fontId="129" fillId="0" borderId="37" xfId="8" applyNumberFormat="1" applyFont="1" applyFill="1" applyBorder="1" applyAlignment="1">
      <alignment horizontal="center"/>
    </xf>
    <xf numFmtId="49" fontId="35" fillId="0" borderId="37" xfId="0" applyNumberFormat="1" applyFont="1" applyBorder="1" applyAlignment="1">
      <alignment horizontal="center"/>
    </xf>
    <xf numFmtId="0" fontId="80" fillId="0" borderId="37" xfId="0" applyFont="1" applyBorder="1" applyAlignment="1">
      <alignment vertical="center"/>
    </xf>
    <xf numFmtId="0" fontId="129" fillId="0" borderId="37" xfId="0" applyFont="1" applyBorder="1"/>
    <xf numFmtId="173" fontId="129" fillId="0" borderId="37" xfId="8" applyNumberFormat="1" applyFont="1" applyFill="1" applyBorder="1" applyAlignment="1">
      <alignment horizontal="center" vertical="center"/>
    </xf>
    <xf numFmtId="0" fontId="80" fillId="0" borderId="37" xfId="0" applyFont="1" applyBorder="1" applyAlignment="1">
      <alignment horizontal="center" vertical="center"/>
    </xf>
    <xf numFmtId="1" fontId="115" fillId="63" borderId="37" xfId="0" applyNumberFormat="1" applyFont="1" applyFill="1" applyBorder="1" applyAlignment="1">
      <alignment horizontal="left"/>
    </xf>
    <xf numFmtId="1" fontId="115" fillId="63" borderId="37" xfId="0" applyNumberFormat="1" applyFont="1" applyFill="1" applyBorder="1" applyAlignment="1">
      <alignment horizontal="center"/>
    </xf>
    <xf numFmtId="9" fontId="130" fillId="63" borderId="32" xfId="16" applyFont="1" applyFill="1" applyBorder="1" applyAlignment="1">
      <alignment horizontal="center" vertical="top" wrapText="1"/>
    </xf>
    <xf numFmtId="0" fontId="115" fillId="63" borderId="32" xfId="0" applyFont="1" applyFill="1" applyBorder="1" applyAlignment="1">
      <alignment horizontal="left" vertical="top" wrapText="1"/>
    </xf>
    <xf numFmtId="182" fontId="115" fillId="63" borderId="32" xfId="8" applyNumberFormat="1" applyFont="1" applyFill="1" applyBorder="1" applyAlignment="1">
      <alignment horizontal="left" vertical="top" wrapText="1"/>
    </xf>
    <xf numFmtId="167" fontId="117" fillId="63" borderId="32" xfId="8" applyFont="1" applyFill="1" applyBorder="1" applyAlignment="1">
      <alignment horizontal="center" vertical="top" wrapText="1"/>
    </xf>
    <xf numFmtId="1" fontId="78" fillId="0" borderId="37" xfId="0" applyNumberFormat="1" applyFont="1" applyBorder="1" applyAlignment="1">
      <alignment horizontal="center"/>
    </xf>
    <xf numFmtId="174" fontId="35" fillId="0" borderId="37" xfId="0" applyNumberFormat="1" applyFont="1" applyBorder="1" applyAlignment="1">
      <alignment horizontal="center"/>
    </xf>
    <xf numFmtId="1" fontId="131" fillId="0" borderId="37" xfId="0" applyNumberFormat="1" applyFont="1" applyBorder="1" applyAlignment="1">
      <alignment horizontal="center"/>
    </xf>
    <xf numFmtId="1" fontId="134" fillId="0" borderId="37" xfId="8" applyNumberFormat="1" applyFont="1" applyFill="1" applyBorder="1" applyAlignment="1">
      <alignment horizontal="center"/>
    </xf>
    <xf numFmtId="2" fontId="85" fillId="0" borderId="37" xfId="8" applyNumberFormat="1" applyFont="1" applyFill="1" applyBorder="1" applyAlignment="1">
      <alignment horizontal="center"/>
    </xf>
    <xf numFmtId="173" fontId="134" fillId="0" borderId="37" xfId="8" applyNumberFormat="1" applyFont="1" applyFill="1" applyBorder="1" applyAlignment="1">
      <alignment horizontal="center"/>
    </xf>
    <xf numFmtId="0" fontId="78" fillId="0" borderId="35" xfId="0" applyFont="1" applyBorder="1"/>
    <xf numFmtId="0" fontId="78" fillId="0" borderId="39" xfId="0" applyFont="1" applyBorder="1"/>
    <xf numFmtId="2" fontId="121" fillId="63" borderId="36" xfId="13" applyNumberFormat="1" applyFont="1" applyFill="1" applyBorder="1" applyAlignment="1" applyProtection="1">
      <alignment horizontal="left" vertical="center"/>
      <protection hidden="1"/>
    </xf>
    <xf numFmtId="2" fontId="91" fillId="63" borderId="38" xfId="11" applyNumberFormat="1" applyFont="1" applyFill="1" applyBorder="1" applyProtection="1">
      <protection hidden="1"/>
    </xf>
    <xf numFmtId="2" fontId="91" fillId="63" borderId="35" xfId="11" applyNumberFormat="1" applyFont="1" applyFill="1" applyBorder="1" applyProtection="1">
      <protection hidden="1"/>
    </xf>
    <xf numFmtId="2" fontId="78" fillId="0" borderId="36" xfId="11" applyNumberFormat="1" applyFont="1" applyBorder="1" applyProtection="1">
      <protection hidden="1"/>
    </xf>
    <xf numFmtId="2" fontId="78" fillId="0" borderId="35" xfId="11" applyNumberFormat="1" applyFont="1" applyBorder="1" applyProtection="1">
      <protection hidden="1"/>
    </xf>
    <xf numFmtId="0" fontId="80" fillId="0" borderId="36" xfId="0" applyFont="1" applyBorder="1"/>
    <xf numFmtId="0" fontId="80" fillId="0" borderId="35" xfId="0" applyFont="1" applyBorder="1"/>
    <xf numFmtId="177" fontId="129" fillId="0" borderId="37" xfId="11" applyNumberFormat="1" applyFont="1" applyBorder="1" applyAlignment="1" applyProtection="1">
      <alignment vertical="center"/>
      <protection hidden="1"/>
    </xf>
    <xf numFmtId="177" fontId="35" fillId="0" borderId="37" xfId="11" applyNumberFormat="1" applyFont="1" applyBorder="1" applyAlignment="1" applyProtection="1">
      <alignment vertical="center"/>
      <protection hidden="1"/>
    </xf>
    <xf numFmtId="10" fontId="129" fillId="0" borderId="35" xfId="0" applyNumberFormat="1" applyFont="1" applyBorder="1"/>
    <xf numFmtId="2" fontId="80" fillId="0" borderId="37" xfId="11" applyNumberFormat="1" applyFont="1" applyBorder="1" applyAlignment="1" applyProtection="1">
      <alignment horizontal="center"/>
      <protection hidden="1"/>
    </xf>
    <xf numFmtId="179" fontId="138" fillId="0" borderId="37" xfId="13" applyNumberFormat="1" applyFont="1" applyBorder="1" applyAlignment="1" applyProtection="1">
      <alignment horizontal="left" vertical="center"/>
      <protection hidden="1"/>
    </xf>
    <xf numFmtId="166" fontId="138" fillId="64" borderId="37" xfId="18" applyFont="1" applyFill="1" applyBorder="1" applyAlignment="1" applyProtection="1">
      <alignment horizontal="right" vertical="center"/>
      <protection hidden="1"/>
    </xf>
    <xf numFmtId="0" fontId="78" fillId="0" borderId="36" xfId="11" applyFont="1" applyBorder="1" applyAlignment="1" applyProtection="1">
      <alignment vertical="center"/>
      <protection hidden="1"/>
    </xf>
    <xf numFmtId="10" fontId="35" fillId="64" borderId="37" xfId="11" applyNumberFormat="1" applyFont="1" applyFill="1" applyBorder="1" applyAlignment="1" applyProtection="1">
      <alignment vertical="center"/>
      <protection hidden="1"/>
    </xf>
    <xf numFmtId="0" fontId="78" fillId="0" borderId="38" xfId="0" applyFont="1" applyBorder="1"/>
    <xf numFmtId="0" fontId="80" fillId="0" borderId="36" xfId="13" applyFont="1" applyBorder="1" applyAlignment="1" applyProtection="1">
      <alignment vertical="center"/>
      <protection hidden="1"/>
    </xf>
    <xf numFmtId="0" fontId="80" fillId="0" borderId="38" xfId="0" applyFont="1" applyBorder="1"/>
    <xf numFmtId="10" fontId="129" fillId="0" borderId="37" xfId="16" applyNumberFormat="1" applyFont="1" applyFill="1" applyBorder="1" applyAlignment="1"/>
    <xf numFmtId="0" fontId="121" fillId="63" borderId="36" xfId="13" applyFont="1" applyFill="1" applyBorder="1" applyAlignment="1" applyProtection="1">
      <alignment horizontal="left" vertical="center"/>
      <protection hidden="1"/>
    </xf>
    <xf numFmtId="0" fontId="122" fillId="63" borderId="38" xfId="13" applyFont="1" applyFill="1" applyBorder="1" applyAlignment="1" applyProtection="1">
      <alignment horizontal="left" vertical="center"/>
      <protection hidden="1"/>
    </xf>
    <xf numFmtId="9" fontId="123" fillId="63" borderId="35" xfId="13" applyNumberFormat="1" applyFont="1" applyFill="1" applyBorder="1" applyAlignment="1" applyProtection="1">
      <alignment vertical="center"/>
      <protection hidden="1"/>
    </xf>
    <xf numFmtId="0" fontId="115" fillId="63" borderId="37" xfId="13" applyFont="1" applyFill="1" applyBorder="1" applyAlignment="1" applyProtection="1">
      <alignment horizontal="left" vertical="center"/>
      <protection hidden="1"/>
    </xf>
    <xf numFmtId="0" fontId="88" fillId="0" borderId="37" xfId="13" applyFont="1" applyBorder="1" applyAlignment="1" applyProtection="1">
      <alignment horizontal="left" vertical="center"/>
      <protection hidden="1"/>
    </xf>
    <xf numFmtId="2" fontId="138" fillId="2" borderId="37" xfId="13" applyNumberFormat="1" applyFont="1" applyFill="1" applyBorder="1" applyAlignment="1" applyProtection="1">
      <alignment horizontal="right" vertical="center"/>
      <protection hidden="1"/>
    </xf>
    <xf numFmtId="0" fontId="80" fillId="0" borderId="37" xfId="13" applyFont="1" applyBorder="1" applyAlignment="1" applyProtection="1">
      <alignment vertical="center"/>
      <protection hidden="1"/>
    </xf>
    <xf numFmtId="2" fontId="129" fillId="0" borderId="37" xfId="13" applyNumberFormat="1" applyFont="1" applyBorder="1" applyAlignment="1" applyProtection="1">
      <alignment vertical="center"/>
      <protection hidden="1"/>
    </xf>
    <xf numFmtId="0" fontId="92" fillId="0" borderId="37" xfId="13" applyFont="1" applyBorder="1" applyAlignment="1" applyProtection="1">
      <alignment vertical="center"/>
      <protection hidden="1"/>
    </xf>
    <xf numFmtId="0" fontId="35" fillId="0" borderId="37" xfId="0" applyFont="1" applyBorder="1" applyAlignment="1">
      <alignment vertical="center"/>
    </xf>
    <xf numFmtId="2" fontId="138" fillId="64" borderId="37" xfId="13" applyNumberFormat="1" applyFont="1" applyFill="1" applyBorder="1" applyAlignment="1" applyProtection="1">
      <alignment horizontal="right" vertical="center"/>
      <protection hidden="1"/>
    </xf>
    <xf numFmtId="0" fontId="93" fillId="0" borderId="37" xfId="13" applyFont="1" applyBorder="1" applyAlignment="1" applyProtection="1">
      <alignment vertical="center"/>
      <protection hidden="1"/>
    </xf>
    <xf numFmtId="0" fontId="78" fillId="0" borderId="37" xfId="13" applyFont="1" applyBorder="1" applyAlignment="1" applyProtection="1">
      <alignment vertical="center"/>
      <protection hidden="1"/>
    </xf>
    <xf numFmtId="10" fontId="138" fillId="0" borderId="37" xfId="16" applyNumberFormat="1" applyFont="1" applyFill="1" applyBorder="1" applyAlignment="1" applyProtection="1">
      <alignment vertical="center"/>
      <protection hidden="1"/>
    </xf>
    <xf numFmtId="10" fontId="129" fillId="0" borderId="37" xfId="16" applyNumberFormat="1" applyFont="1" applyFill="1" applyBorder="1" applyAlignment="1" applyProtection="1">
      <alignment vertical="center"/>
      <protection hidden="1"/>
    </xf>
    <xf numFmtId="2" fontId="124" fillId="63" borderId="38" xfId="13" applyNumberFormat="1" applyFont="1" applyFill="1" applyBorder="1" applyAlignment="1" applyProtection="1">
      <alignment horizontal="center" wrapText="1"/>
      <protection hidden="1"/>
    </xf>
    <xf numFmtId="2" fontId="124" fillId="63" borderId="35" xfId="13" applyNumberFormat="1" applyFont="1" applyFill="1" applyBorder="1" applyAlignment="1" applyProtection="1">
      <alignment horizontal="right" wrapText="1"/>
      <protection hidden="1"/>
    </xf>
    <xf numFmtId="2" fontId="100" fillId="0" borderId="38" xfId="3" applyNumberFormat="1" applyFont="1" applyFill="1" applyBorder="1" applyAlignment="1" applyProtection="1">
      <alignment horizontal="center" vertical="center"/>
      <protection hidden="1"/>
    </xf>
    <xf numFmtId="2" fontId="100" fillId="0" borderId="35" xfId="3" applyNumberFormat="1" applyFont="1" applyFill="1" applyBorder="1" applyAlignment="1" applyProtection="1">
      <alignment horizontal="right" vertical="center"/>
      <protection hidden="1"/>
    </xf>
    <xf numFmtId="175" fontId="139" fillId="0" borderId="40" xfId="0" applyNumberFormat="1" applyFont="1" applyBorder="1" applyAlignment="1">
      <alignment horizontal="center" vertical="center"/>
    </xf>
    <xf numFmtId="2" fontId="101" fillId="0" borderId="38" xfId="3" applyNumberFormat="1" applyFont="1" applyFill="1" applyBorder="1" applyAlignment="1" applyProtection="1">
      <alignment horizontal="left" vertical="center"/>
      <protection hidden="1"/>
    </xf>
    <xf numFmtId="2" fontId="95" fillId="0" borderId="35" xfId="3" applyNumberFormat="1" applyFont="1" applyFill="1" applyBorder="1" applyAlignment="1" applyProtection="1">
      <alignment horizontal="right" vertical="center"/>
      <protection hidden="1"/>
    </xf>
    <xf numFmtId="10" fontId="102" fillId="0" borderId="35" xfId="16" applyNumberFormat="1" applyFont="1" applyFill="1" applyBorder="1" applyAlignment="1" applyProtection="1">
      <alignment horizontal="right"/>
      <protection hidden="1"/>
    </xf>
    <xf numFmtId="0" fontId="80" fillId="0" borderId="36" xfId="13" applyFont="1" applyBorder="1" applyProtection="1">
      <protection hidden="1"/>
    </xf>
    <xf numFmtId="0" fontId="104" fillId="0" borderId="38" xfId="13" applyFont="1" applyBorder="1" applyProtection="1">
      <protection hidden="1"/>
    </xf>
    <xf numFmtId="0" fontId="104" fillId="0" borderId="35" xfId="13" applyFont="1" applyBorder="1" applyAlignment="1" applyProtection="1">
      <alignment horizontal="right"/>
      <protection hidden="1"/>
    </xf>
    <xf numFmtId="0" fontId="102" fillId="0" borderId="38" xfId="13" applyFont="1" applyBorder="1" applyAlignment="1" applyProtection="1">
      <alignment horizontal="right"/>
      <protection hidden="1"/>
    </xf>
    <xf numFmtId="0" fontId="102" fillId="0" borderId="35" xfId="13" applyFont="1" applyBorder="1" applyAlignment="1" applyProtection="1">
      <alignment horizontal="right"/>
      <protection hidden="1"/>
    </xf>
    <xf numFmtId="0" fontId="88" fillId="0" borderId="36" xfId="13" applyFont="1" applyBorder="1" applyProtection="1">
      <protection hidden="1"/>
    </xf>
    <xf numFmtId="10" fontId="144" fillId="64" borderId="37" xfId="16" applyNumberFormat="1" applyFont="1" applyFill="1" applyBorder="1" applyAlignment="1" applyProtection="1">
      <alignment horizontal="right"/>
      <protection hidden="1"/>
    </xf>
    <xf numFmtId="0" fontId="103" fillId="0" borderId="38" xfId="13" applyFont="1" applyBorder="1" applyAlignment="1" applyProtection="1">
      <alignment horizontal="center"/>
      <protection hidden="1"/>
    </xf>
    <xf numFmtId="175" fontId="140" fillId="0" borderId="37" xfId="16" applyNumberFormat="1" applyFont="1" applyFill="1" applyBorder="1" applyAlignment="1" applyProtection="1">
      <alignment horizontal="center"/>
      <protection hidden="1"/>
    </xf>
    <xf numFmtId="0" fontId="85" fillId="0" borderId="36" xfId="13" applyFont="1" applyBorder="1" applyProtection="1">
      <protection hidden="1"/>
    </xf>
    <xf numFmtId="10" fontId="102" fillId="0" borderId="38" xfId="13" applyNumberFormat="1" applyFont="1" applyBorder="1" applyAlignment="1" applyProtection="1">
      <alignment horizontal="right"/>
      <protection hidden="1"/>
    </xf>
    <xf numFmtId="175" fontId="103" fillId="0" borderId="35" xfId="16" applyNumberFormat="1" applyFont="1" applyFill="1" applyBorder="1" applyAlignment="1" applyProtection="1">
      <alignment horizontal="right"/>
      <protection hidden="1"/>
    </xf>
    <xf numFmtId="9" fontId="138" fillId="64" borderId="37" xfId="16" applyFont="1" applyFill="1" applyBorder="1" applyAlignment="1" applyProtection="1">
      <alignment horizontal="center"/>
      <protection hidden="1"/>
    </xf>
    <xf numFmtId="0" fontId="106" fillId="0" borderId="38" xfId="13" applyFont="1" applyBorder="1" applyAlignment="1" applyProtection="1">
      <alignment horizontal="center"/>
      <protection hidden="1"/>
    </xf>
    <xf numFmtId="169" fontId="103" fillId="0" borderId="38" xfId="13" applyNumberFormat="1" applyFont="1" applyBorder="1" applyAlignment="1" applyProtection="1">
      <alignment horizontal="center"/>
      <protection hidden="1"/>
    </xf>
    <xf numFmtId="165" fontId="103" fillId="0" borderId="38" xfId="13" applyNumberFormat="1" applyFont="1" applyBorder="1" applyAlignment="1" applyProtection="1">
      <alignment horizontal="center"/>
      <protection hidden="1"/>
    </xf>
    <xf numFmtId="9" fontId="129" fillId="0" borderId="37" xfId="0" applyNumberFormat="1" applyFont="1" applyBorder="1" applyAlignment="1">
      <alignment horizontal="center"/>
    </xf>
    <xf numFmtId="9" fontId="129" fillId="61" borderId="37" xfId="65" applyFont="1" applyFill="1" applyBorder="1" applyAlignment="1">
      <alignment horizontal="center"/>
    </xf>
    <xf numFmtId="0" fontId="78" fillId="64" borderId="36" xfId="13" applyFont="1" applyFill="1" applyBorder="1" applyProtection="1">
      <protection hidden="1"/>
    </xf>
    <xf numFmtId="0" fontId="103" fillId="64" borderId="38" xfId="13" applyFont="1" applyFill="1" applyBorder="1" applyAlignment="1" applyProtection="1">
      <alignment horizontal="center"/>
      <protection hidden="1"/>
    </xf>
    <xf numFmtId="0" fontId="103" fillId="64" borderId="35" xfId="13" applyFont="1" applyFill="1" applyBorder="1" applyAlignment="1" applyProtection="1">
      <alignment horizontal="right"/>
      <protection hidden="1"/>
    </xf>
    <xf numFmtId="167" fontId="103" fillId="0" borderId="35" xfId="8" applyFont="1" applyFill="1" applyBorder="1" applyAlignment="1" applyProtection="1">
      <alignment horizontal="right"/>
      <protection hidden="1"/>
    </xf>
    <xf numFmtId="10" fontId="103" fillId="0" borderId="35" xfId="16" applyNumberFormat="1" applyFont="1" applyFill="1" applyBorder="1" applyAlignment="1" applyProtection="1">
      <alignment horizontal="right"/>
      <protection hidden="1"/>
    </xf>
    <xf numFmtId="10" fontId="103" fillId="64" borderId="35" xfId="16" applyNumberFormat="1" applyFont="1" applyFill="1" applyBorder="1" applyAlignment="1" applyProtection="1">
      <alignment horizontal="right"/>
      <protection hidden="1"/>
    </xf>
    <xf numFmtId="0" fontId="103" fillId="0" borderId="38" xfId="13" applyFont="1" applyBorder="1" applyProtection="1">
      <protection hidden="1"/>
    </xf>
    <xf numFmtId="169" fontId="104" fillId="0" borderId="38" xfId="13" applyNumberFormat="1" applyFont="1" applyBorder="1" applyProtection="1">
      <protection hidden="1"/>
    </xf>
    <xf numFmtId="169" fontId="103" fillId="0" borderId="35" xfId="13" applyNumberFormat="1" applyFont="1" applyBorder="1" applyAlignment="1" applyProtection="1">
      <alignment horizontal="right"/>
      <protection hidden="1"/>
    </xf>
    <xf numFmtId="0" fontId="104" fillId="0" borderId="40" xfId="0" applyFont="1" applyBorder="1" applyAlignment="1">
      <alignment horizontal="right"/>
    </xf>
    <xf numFmtId="0" fontId="89" fillId="0" borderId="36" xfId="13" applyFont="1" applyBorder="1" applyProtection="1">
      <protection hidden="1"/>
    </xf>
    <xf numFmtId="169" fontId="102" fillId="0" borderId="38" xfId="13" applyNumberFormat="1" applyFont="1" applyBorder="1" applyProtection="1">
      <protection hidden="1"/>
    </xf>
    <xf numFmtId="169" fontId="102" fillId="0" borderId="35" xfId="13" applyNumberFormat="1" applyFont="1" applyBorder="1" applyAlignment="1" applyProtection="1">
      <alignment horizontal="right"/>
      <protection hidden="1"/>
    </xf>
    <xf numFmtId="2" fontId="122" fillId="63" borderId="36" xfId="13" applyNumberFormat="1" applyFont="1" applyFill="1" applyBorder="1" applyAlignment="1" applyProtection="1">
      <alignment horizontal="left" vertical="center" wrapText="1"/>
      <protection hidden="1"/>
    </xf>
    <xf numFmtId="175" fontId="87" fillId="0" borderId="40" xfId="0" applyNumberFormat="1" applyFont="1" applyBorder="1" applyAlignment="1">
      <alignment horizontal="center" vertical="center"/>
    </xf>
    <xf numFmtId="166" fontId="129" fillId="0" borderId="37" xfId="18" applyFont="1" applyBorder="1" applyAlignment="1">
      <alignment horizontal="center"/>
    </xf>
    <xf numFmtId="0" fontId="115" fillId="63" borderId="37" xfId="59" applyFont="1" applyFill="1" applyBorder="1" applyAlignment="1">
      <alignment horizontal="left" vertical="top" wrapText="1"/>
    </xf>
    <xf numFmtId="0" fontId="35" fillId="0" borderId="37" xfId="0" applyFont="1" applyBorder="1" applyAlignment="1">
      <alignment horizontal="center"/>
    </xf>
    <xf numFmtId="167" fontId="35" fillId="0" borderId="37" xfId="8" applyFont="1" applyBorder="1"/>
    <xf numFmtId="166" fontId="35" fillId="0" borderId="37" xfId="18" applyFont="1" applyFill="1" applyBorder="1"/>
    <xf numFmtId="167" fontId="129" fillId="0" borderId="37" xfId="8" applyFont="1" applyBorder="1"/>
    <xf numFmtId="0" fontId="122" fillId="63" borderId="36" xfId="9" applyFont="1" applyFill="1" applyBorder="1" applyAlignment="1" applyProtection="1">
      <alignment horizontal="left" vertical="center"/>
      <protection hidden="1"/>
    </xf>
    <xf numFmtId="0" fontId="78" fillId="0" borderId="36" xfId="9" applyFont="1" applyBorder="1" applyAlignment="1" applyProtection="1">
      <alignment horizontal="left"/>
      <protection hidden="1"/>
    </xf>
    <xf numFmtId="0" fontId="78" fillId="0" borderId="37" xfId="9" applyFont="1" applyBorder="1" applyAlignment="1" applyProtection="1">
      <alignment horizontal="left"/>
      <protection hidden="1"/>
    </xf>
    <xf numFmtId="0" fontId="78" fillId="0" borderId="37" xfId="10" applyFont="1" applyBorder="1"/>
    <xf numFmtId="179" fontId="145" fillId="64" borderId="37" xfId="10" applyNumberFormat="1" applyFont="1" applyFill="1" applyBorder="1"/>
    <xf numFmtId="0" fontId="91" fillId="63" borderId="38" xfId="10" applyFont="1" applyFill="1" applyBorder="1"/>
    <xf numFmtId="0" fontId="91" fillId="63" borderId="35" xfId="10" applyFont="1" applyFill="1" applyBorder="1"/>
    <xf numFmtId="0" fontId="78" fillId="0" borderId="38" xfId="10" applyFont="1" applyBorder="1"/>
    <xf numFmtId="0" fontId="78" fillId="0" borderId="37" xfId="9" applyFont="1" applyBorder="1" applyAlignment="1" applyProtection="1">
      <alignment horizontal="left" vertical="center"/>
      <protection hidden="1"/>
    </xf>
    <xf numFmtId="0" fontId="78" fillId="0" borderId="37" xfId="9" applyFont="1" applyBorder="1" applyAlignment="1" applyProtection="1">
      <alignment horizontal="left" wrapText="1"/>
      <protection hidden="1"/>
    </xf>
    <xf numFmtId="0" fontId="78" fillId="0" borderId="37" xfId="9" applyFont="1" applyBorder="1" applyAlignment="1" applyProtection="1">
      <alignment horizontal="right"/>
      <protection hidden="1"/>
    </xf>
    <xf numFmtId="173" fontId="115" fillId="63" borderId="32" xfId="8" applyNumberFormat="1" applyFont="1" applyFill="1" applyBorder="1" applyAlignment="1">
      <alignment vertical="top" wrapText="1"/>
    </xf>
    <xf numFmtId="0" fontId="78" fillId="0" borderId="37" xfId="103" applyFont="1" applyBorder="1" applyAlignment="1">
      <alignment vertical="top" wrapText="1"/>
    </xf>
    <xf numFmtId="44" fontId="35" fillId="65" borderId="37" xfId="66" applyFont="1" applyFill="1" applyBorder="1" applyAlignment="1" applyProtection="1">
      <protection locked="0"/>
    </xf>
    <xf numFmtId="0" fontId="78" fillId="0" borderId="37" xfId="103" applyFont="1" applyBorder="1" applyAlignment="1">
      <alignment vertical="top"/>
    </xf>
    <xf numFmtId="2" fontId="115" fillId="63" borderId="32" xfId="84" applyNumberFormat="1" applyFont="1" applyFill="1" applyBorder="1" applyAlignment="1">
      <alignment horizontal="left" vertical="top" wrapText="1"/>
    </xf>
    <xf numFmtId="2" fontId="115" fillId="63" borderId="32" xfId="84" applyNumberFormat="1" applyFont="1" applyFill="1" applyBorder="1" applyAlignment="1">
      <alignment vertical="top" wrapText="1"/>
    </xf>
    <xf numFmtId="2" fontId="78" fillId="0" borderId="37" xfId="84" applyNumberFormat="1" applyFont="1" applyBorder="1"/>
    <xf numFmtId="3" fontId="35" fillId="0" borderId="37" xfId="8" applyNumberFormat="1" applyFont="1" applyFill="1" applyBorder="1" applyAlignment="1">
      <alignment horizontal="center" vertical="top" wrapText="1"/>
    </xf>
    <xf numFmtId="166" fontId="35" fillId="0" borderId="37" xfId="18" applyFont="1" applyBorder="1" applyAlignment="1">
      <alignment horizontal="center" vertical="top" wrapText="1"/>
    </xf>
    <xf numFmtId="44" fontId="35" fillId="0" borderId="37" xfId="66" applyFont="1" applyBorder="1" applyAlignment="1">
      <alignment vertical="top" wrapText="1"/>
    </xf>
    <xf numFmtId="49" fontId="35" fillId="0" borderId="37" xfId="103" applyNumberFormat="1" applyFont="1" applyBorder="1" applyAlignment="1">
      <alignment horizontal="center" vertical="top" wrapText="1"/>
    </xf>
    <xf numFmtId="0" fontId="78" fillId="2" borderId="37" xfId="84" applyFont="1" applyFill="1" applyBorder="1"/>
    <xf numFmtId="0" fontId="78" fillId="2" borderId="37" xfId="89" applyFont="1" applyFill="1" applyBorder="1"/>
    <xf numFmtId="2" fontId="80" fillId="2" borderId="36" xfId="84" applyNumberFormat="1" applyFont="1" applyFill="1" applyBorder="1" applyAlignment="1">
      <alignment vertical="top" wrapText="1"/>
    </xf>
    <xf numFmtId="2" fontId="80" fillId="2" borderId="35" xfId="84" applyNumberFormat="1" applyFont="1" applyFill="1" applyBorder="1" applyAlignment="1">
      <alignment vertical="top" wrapText="1"/>
    </xf>
    <xf numFmtId="2" fontId="80" fillId="2" borderId="38" xfId="84" applyNumberFormat="1" applyFont="1" applyFill="1" applyBorder="1" applyAlignment="1">
      <alignment vertical="top" wrapText="1"/>
    </xf>
    <xf numFmtId="3" fontId="129" fillId="2" borderId="38" xfId="8" applyNumberFormat="1" applyFont="1" applyFill="1" applyBorder="1" applyAlignment="1">
      <alignment horizontal="center" vertical="top" wrapText="1"/>
    </xf>
    <xf numFmtId="2" fontId="129" fillId="2" borderId="35" xfId="84" applyNumberFormat="1" applyFont="1" applyFill="1" applyBorder="1" applyAlignment="1">
      <alignment vertical="top" wrapText="1"/>
    </xf>
    <xf numFmtId="180" fontId="129" fillId="2" borderId="36" xfId="84" applyNumberFormat="1" applyFont="1" applyFill="1" applyBorder="1" applyAlignment="1">
      <alignment vertical="top" wrapText="1"/>
    </xf>
    <xf numFmtId="2" fontId="129" fillId="2" borderId="38" xfId="84" applyNumberFormat="1" applyFont="1" applyFill="1" applyBorder="1" applyAlignment="1">
      <alignment vertical="top" wrapText="1"/>
    </xf>
    <xf numFmtId="180" fontId="129" fillId="2" borderId="35" xfId="84" applyNumberFormat="1" applyFont="1" applyFill="1" applyBorder="1" applyAlignment="1">
      <alignment vertical="top" wrapText="1"/>
    </xf>
    <xf numFmtId="3" fontId="80" fillId="2" borderId="38" xfId="8" applyNumberFormat="1" applyFont="1" applyFill="1" applyBorder="1" applyAlignment="1">
      <alignment horizontal="center" vertical="top" wrapText="1"/>
    </xf>
    <xf numFmtId="3" fontId="35" fillId="2" borderId="37" xfId="8" applyNumberFormat="1" applyFont="1" applyFill="1" applyBorder="1" applyAlignment="1">
      <alignment horizontal="center"/>
    </xf>
    <xf numFmtId="3" fontId="129" fillId="2" borderId="37" xfId="8" applyNumberFormat="1" applyFont="1" applyFill="1" applyBorder="1" applyAlignment="1">
      <alignment horizontal="center"/>
    </xf>
    <xf numFmtId="4" fontId="35" fillId="2" borderId="37" xfId="8" applyNumberFormat="1" applyFont="1" applyFill="1" applyBorder="1" applyAlignment="1">
      <alignment horizontal="center"/>
    </xf>
    <xf numFmtId="4" fontId="129" fillId="2" borderId="37" xfId="8" applyNumberFormat="1" applyFont="1" applyFill="1" applyBorder="1" applyAlignment="1">
      <alignment horizontal="center"/>
    </xf>
    <xf numFmtId="0" fontId="7" fillId="0" borderId="0" xfId="0" applyFont="1"/>
    <xf numFmtId="9" fontId="78" fillId="0" borderId="0" xfId="0" applyNumberFormat="1" applyFont="1"/>
    <xf numFmtId="166" fontId="78" fillId="0" borderId="0" xfId="18" applyFont="1"/>
    <xf numFmtId="9" fontId="78" fillId="0" borderId="0" xfId="16" applyFont="1"/>
    <xf numFmtId="44" fontId="78" fillId="0" borderId="0" xfId="0" applyNumberFormat="1" applyFont="1"/>
    <xf numFmtId="49" fontId="77" fillId="65" borderId="37" xfId="9" applyNumberFormat="1" applyFont="1" applyFill="1" applyBorder="1" applyAlignment="1" applyProtection="1">
      <alignment horizontal="left" vertical="top"/>
      <protection hidden="1"/>
    </xf>
    <xf numFmtId="0" fontId="80" fillId="64" borderId="37" xfId="13" applyFont="1" applyFill="1" applyBorder="1" applyProtection="1">
      <protection hidden="1"/>
    </xf>
    <xf numFmtId="166" fontId="35" fillId="0" borderId="37" xfId="18" applyFont="1" applyFill="1" applyBorder="1" applyAlignment="1" applyProtection="1">
      <protection hidden="1"/>
    </xf>
    <xf numFmtId="166" fontId="138" fillId="2" borderId="37" xfId="18" applyFont="1" applyFill="1" applyBorder="1" applyAlignment="1" applyProtection="1">
      <alignment horizontal="center"/>
      <protection hidden="1"/>
    </xf>
    <xf numFmtId="9" fontId="131" fillId="64" borderId="37" xfId="16" applyFont="1" applyFill="1" applyBorder="1" applyAlignment="1" applyProtection="1">
      <alignment horizontal="center"/>
      <protection hidden="1"/>
    </xf>
    <xf numFmtId="9" fontId="135" fillId="64" borderId="37" xfId="16" applyFont="1" applyFill="1" applyBorder="1" applyAlignment="1" applyProtection="1">
      <alignment horizontal="center"/>
      <protection hidden="1"/>
    </xf>
    <xf numFmtId="173" fontId="81" fillId="0" borderId="0" xfId="8" applyNumberFormat="1" applyFont="1" applyAlignment="1">
      <alignment horizontal="left"/>
    </xf>
    <xf numFmtId="173" fontId="81" fillId="0" borderId="0" xfId="8" applyNumberFormat="1" applyFont="1" applyAlignment="1">
      <alignment horizontal="left" vertical="top"/>
    </xf>
    <xf numFmtId="180" fontId="77" fillId="65" borderId="37" xfId="18" applyNumberFormat="1" applyFont="1" applyFill="1" applyBorder="1" applyAlignment="1" applyProtection="1">
      <alignment horizontal="left" vertical="top"/>
      <protection hidden="1"/>
    </xf>
    <xf numFmtId="10" fontId="135" fillId="64" borderId="37" xfId="16" applyNumberFormat="1" applyFont="1" applyFill="1" applyBorder="1" applyAlignment="1" applyProtection="1">
      <alignment horizontal="center"/>
      <protection hidden="1"/>
    </xf>
    <xf numFmtId="0" fontId="80" fillId="2" borderId="36" xfId="84" applyFont="1" applyFill="1" applyBorder="1" applyAlignment="1">
      <alignment vertical="top" wrapText="1"/>
    </xf>
    <xf numFmtId="0" fontId="80" fillId="2" borderId="35" xfId="84" applyFont="1" applyFill="1" applyBorder="1" applyAlignment="1">
      <alignment vertical="top" wrapText="1"/>
    </xf>
    <xf numFmtId="0" fontId="80" fillId="2" borderId="38" xfId="84" applyFont="1" applyFill="1" applyBorder="1" applyAlignment="1">
      <alignment vertical="top" wrapText="1"/>
    </xf>
    <xf numFmtId="49" fontId="78" fillId="0" borderId="37" xfId="0" applyNumberFormat="1" applyFont="1" applyBorder="1"/>
    <xf numFmtId="49" fontId="78" fillId="0" borderId="39" xfId="0" applyNumberFormat="1" applyFont="1" applyBorder="1"/>
    <xf numFmtId="49" fontId="78" fillId="0" borderId="0" xfId="0" applyNumberFormat="1" applyFont="1"/>
    <xf numFmtId="0" fontId="91" fillId="0" borderId="0" xfId="13" applyFont="1" applyProtection="1">
      <protection hidden="1"/>
    </xf>
    <xf numFmtId="175" fontId="78" fillId="0" borderId="0" xfId="0" applyNumberFormat="1" applyFont="1"/>
    <xf numFmtId="9" fontId="129" fillId="0" borderId="0" xfId="0" applyNumberFormat="1" applyFont="1" applyAlignment="1">
      <alignment horizontal="center"/>
    </xf>
    <xf numFmtId="44" fontId="78" fillId="0" borderId="0" xfId="89" applyNumberFormat="1" applyFont="1"/>
    <xf numFmtId="2" fontId="35" fillId="0" borderId="37" xfId="0" applyNumberFormat="1" applyFont="1" applyBorder="1" applyAlignment="1">
      <alignment horizontal="center"/>
    </xf>
    <xf numFmtId="0" fontId="78" fillId="0" borderId="37" xfId="0" applyFont="1" applyBorder="1" applyAlignment="1">
      <alignment wrapText="1"/>
    </xf>
    <xf numFmtId="0" fontId="35" fillId="0" borderId="37" xfId="0" applyFont="1" applyBorder="1" applyAlignment="1">
      <alignment horizontal="center" wrapText="1"/>
    </xf>
    <xf numFmtId="2" fontId="35" fillId="0" borderId="37" xfId="0" applyNumberFormat="1" applyFont="1" applyBorder="1" applyAlignment="1">
      <alignment horizontal="center" wrapText="1"/>
    </xf>
    <xf numFmtId="49" fontId="78" fillId="0" borderId="37" xfId="0" applyNumberFormat="1" applyFont="1" applyBorder="1" applyAlignment="1">
      <alignment wrapText="1"/>
    </xf>
    <xf numFmtId="0" fontId="35" fillId="2" borderId="37" xfId="0" applyFont="1" applyFill="1" applyBorder="1" applyAlignment="1">
      <alignment horizontal="center" wrapText="1"/>
    </xf>
    <xf numFmtId="0" fontId="78" fillId="2" borderId="37" xfId="0" applyFont="1" applyFill="1" applyBorder="1" applyAlignment="1">
      <alignment wrapText="1"/>
    </xf>
    <xf numFmtId="0" fontId="78" fillId="2" borderId="37" xfId="0" applyFont="1" applyFill="1" applyBorder="1"/>
    <xf numFmtId="1" fontId="78" fillId="0" borderId="39" xfId="61" applyNumberFormat="1" applyFont="1" applyBorder="1" applyAlignment="1">
      <alignment horizontal="center"/>
    </xf>
    <xf numFmtId="1" fontId="80" fillId="0" borderId="39" xfId="61" applyNumberFormat="1" applyFont="1" applyBorder="1" applyAlignment="1">
      <alignment horizontal="center"/>
    </xf>
    <xf numFmtId="1" fontId="88" fillId="0" borderId="0" xfId="61" applyNumberFormat="1" applyFont="1" applyAlignment="1">
      <alignment horizontal="center"/>
    </xf>
    <xf numFmtId="1" fontId="80" fillId="0" borderId="0" xfId="61" applyNumberFormat="1" applyFont="1" applyAlignment="1">
      <alignment horizontal="center"/>
    </xf>
    <xf numFmtId="43" fontId="134" fillId="0" borderId="35" xfId="8" applyNumberFormat="1" applyFont="1" applyFill="1" applyBorder="1" applyAlignment="1">
      <alignment horizontal="center"/>
    </xf>
    <xf numFmtId="0" fontId="78" fillId="0" borderId="37" xfId="8" applyNumberFormat="1" applyFont="1" applyFill="1" applyBorder="1" applyAlignment="1"/>
    <xf numFmtId="2" fontId="78" fillId="0" borderId="37" xfId="0" applyNumberFormat="1" applyFont="1" applyBorder="1" applyAlignment="1">
      <alignment horizontal="center"/>
    </xf>
    <xf numFmtId="1" fontId="84" fillId="0" borderId="37" xfId="0" applyNumberFormat="1" applyFont="1" applyBorder="1" applyAlignment="1">
      <alignment horizontal="center"/>
    </xf>
    <xf numFmtId="198" fontId="138" fillId="64" borderId="37" xfId="62" applyNumberFormat="1" applyFont="1" applyFill="1" applyBorder="1" applyAlignment="1" applyProtection="1">
      <alignment horizontal="center"/>
      <protection hidden="1"/>
    </xf>
    <xf numFmtId="166" fontId="35" fillId="2" borderId="37" xfId="18" applyFont="1" applyFill="1" applyBorder="1" applyAlignment="1">
      <alignment horizontal="right"/>
    </xf>
    <xf numFmtId="3" fontId="88" fillId="0" borderId="37" xfId="62" applyNumberFormat="1" applyFont="1" applyBorder="1" applyAlignment="1" applyProtection="1">
      <alignment horizontal="left"/>
      <protection hidden="1"/>
    </xf>
    <xf numFmtId="3" fontId="78" fillId="0" borderId="37" xfId="62" applyNumberFormat="1" applyFont="1" applyBorder="1" applyAlignment="1" applyProtection="1">
      <alignment horizontal="left"/>
      <protection hidden="1"/>
    </xf>
    <xf numFmtId="166" fontId="80" fillId="2" borderId="37" xfId="18" applyFont="1" applyFill="1" applyBorder="1" applyAlignment="1">
      <alignment vertical="top" wrapText="1"/>
    </xf>
    <xf numFmtId="166" fontId="35" fillId="0" borderId="37" xfId="18" applyFont="1" applyFill="1" applyBorder="1" applyAlignment="1">
      <alignment horizontal="center"/>
    </xf>
    <xf numFmtId="173" fontId="79" fillId="63" borderId="36" xfId="8" applyNumberFormat="1" applyFont="1" applyFill="1" applyBorder="1" applyAlignment="1">
      <alignment horizontal="center" vertical="center"/>
    </xf>
    <xf numFmtId="173" fontId="79" fillId="63" borderId="35" xfId="8" applyNumberFormat="1" applyFont="1" applyFill="1" applyBorder="1" applyAlignment="1">
      <alignment horizontal="center" vertical="center"/>
    </xf>
    <xf numFmtId="173" fontId="79" fillId="63" borderId="38" xfId="8" applyNumberFormat="1" applyFont="1" applyFill="1" applyBorder="1" applyAlignment="1">
      <alignment horizontal="center" vertical="center"/>
    </xf>
    <xf numFmtId="2" fontId="115" fillId="63" borderId="36" xfId="0" applyNumberFormat="1" applyFont="1" applyFill="1" applyBorder="1" applyAlignment="1">
      <alignment horizontal="center" vertical="center" wrapText="1"/>
    </xf>
    <xf numFmtId="2" fontId="115" fillId="63" borderId="38" xfId="0" applyNumberFormat="1" applyFont="1" applyFill="1" applyBorder="1" applyAlignment="1">
      <alignment horizontal="center" vertical="center" wrapText="1"/>
    </xf>
    <xf numFmtId="167" fontId="117" fillId="63" borderId="33" xfId="8" applyFont="1" applyFill="1" applyBorder="1" applyAlignment="1">
      <alignment horizontal="center" vertical="top" wrapText="1"/>
    </xf>
    <xf numFmtId="167" fontId="117" fillId="63" borderId="34" xfId="8" applyFont="1" applyFill="1" applyBorder="1" applyAlignment="1">
      <alignment horizontal="center" vertical="top" wrapText="1"/>
    </xf>
    <xf numFmtId="49" fontId="115" fillId="63" borderId="36" xfId="63" applyNumberFormat="1" applyFont="1" applyFill="1" applyBorder="1" applyAlignment="1">
      <alignment horizontal="left" vertical="top" wrapText="1"/>
    </xf>
    <xf numFmtId="49" fontId="115" fillId="62" borderId="38" xfId="63" applyNumberFormat="1" applyFont="1" applyFill="1" applyBorder="1" applyAlignment="1">
      <alignment horizontal="left" vertical="top" wrapText="1"/>
    </xf>
    <xf numFmtId="49" fontId="115" fillId="62" borderId="35" xfId="63" applyNumberFormat="1" applyFont="1" applyFill="1" applyBorder="1" applyAlignment="1">
      <alignment horizontal="left" vertical="top" wrapText="1"/>
    </xf>
    <xf numFmtId="0" fontId="78" fillId="0" borderId="36" xfId="0" applyFont="1" applyBorder="1" applyAlignment="1">
      <alignment horizontal="left"/>
    </xf>
    <xf numFmtId="0" fontId="78" fillId="0" borderId="35" xfId="0" applyFont="1" applyBorder="1" applyAlignment="1">
      <alignment horizontal="left"/>
    </xf>
    <xf numFmtId="0" fontId="80" fillId="0" borderId="36" xfId="13" applyFont="1" applyBorder="1" applyAlignment="1" applyProtection="1">
      <alignment horizontal="left" vertical="center"/>
      <protection hidden="1"/>
    </xf>
    <xf numFmtId="0" fontId="80" fillId="0" borderId="35" xfId="13" applyFont="1" applyBorder="1" applyAlignment="1" applyProtection="1">
      <alignment horizontal="left" vertical="center"/>
      <protection hidden="1"/>
    </xf>
    <xf numFmtId="2" fontId="124" fillId="63" borderId="36" xfId="13" applyNumberFormat="1" applyFont="1" applyFill="1" applyBorder="1" applyAlignment="1" applyProtection="1">
      <alignment horizontal="center" vertical="center" wrapText="1"/>
      <protection hidden="1"/>
    </xf>
    <xf numFmtId="2" fontId="124" fillId="63" borderId="38" xfId="13" applyNumberFormat="1" applyFont="1" applyFill="1" applyBorder="1" applyAlignment="1" applyProtection="1">
      <alignment horizontal="center" vertical="center" wrapText="1"/>
      <protection hidden="1"/>
    </xf>
    <xf numFmtId="2" fontId="124" fillId="63" borderId="35" xfId="13" applyNumberFormat="1" applyFont="1" applyFill="1" applyBorder="1" applyAlignment="1" applyProtection="1">
      <alignment horizontal="center" vertical="center" wrapText="1"/>
      <protection hidden="1"/>
    </xf>
    <xf numFmtId="2" fontId="124" fillId="63" borderId="36" xfId="13" applyNumberFormat="1" applyFont="1" applyFill="1" applyBorder="1" applyAlignment="1" applyProtection="1">
      <alignment horizontal="left" vertical="center" wrapText="1"/>
      <protection hidden="1"/>
    </xf>
    <xf numFmtId="2" fontId="124" fillId="63" borderId="38" xfId="13" applyNumberFormat="1" applyFont="1" applyFill="1" applyBorder="1" applyAlignment="1" applyProtection="1">
      <alignment horizontal="left" vertical="center" wrapText="1"/>
      <protection hidden="1"/>
    </xf>
    <xf numFmtId="2" fontId="124" fillId="63" borderId="35" xfId="13" applyNumberFormat="1" applyFont="1" applyFill="1" applyBorder="1" applyAlignment="1" applyProtection="1">
      <alignment horizontal="left" vertical="center" wrapText="1"/>
      <protection hidden="1"/>
    </xf>
    <xf numFmtId="2" fontId="124" fillId="63" borderId="36" xfId="3" applyNumberFormat="1" applyFont="1" applyFill="1" applyBorder="1" applyAlignment="1" applyProtection="1">
      <alignment horizontal="center" vertical="center" wrapText="1"/>
      <protection hidden="1"/>
    </xf>
    <xf numFmtId="0" fontId="115" fillId="62" borderId="35" xfId="0" applyFont="1" applyFill="1" applyBorder="1" applyAlignment="1">
      <alignment horizontal="center" vertical="center" wrapText="1"/>
    </xf>
    <xf numFmtId="0" fontId="78" fillId="0" borderId="0" xfId="0" applyFont="1" applyAlignment="1">
      <alignment horizontal="left" vertical="top" wrapText="1"/>
    </xf>
    <xf numFmtId="2" fontId="124" fillId="63" borderId="37" xfId="13" applyNumberFormat="1" applyFont="1" applyFill="1" applyBorder="1" applyAlignment="1" applyProtection="1">
      <alignment horizontal="center" vertical="center" wrapText="1"/>
      <protection hidden="1"/>
    </xf>
    <xf numFmtId="2" fontId="124" fillId="62" borderId="37" xfId="13" applyNumberFormat="1" applyFont="1" applyFill="1" applyBorder="1" applyAlignment="1" applyProtection="1">
      <alignment horizontal="center" vertical="center" wrapText="1"/>
      <protection hidden="1"/>
    </xf>
    <xf numFmtId="0" fontId="78" fillId="0" borderId="36" xfId="10" applyFont="1" applyBorder="1" applyAlignment="1">
      <alignment horizontal="left"/>
    </xf>
    <xf numFmtId="0" fontId="78" fillId="0" borderId="38" xfId="10" applyFont="1" applyBorder="1" applyAlignment="1">
      <alignment horizontal="left"/>
    </xf>
    <xf numFmtId="0" fontId="78" fillId="0" borderId="35" xfId="10" applyFont="1" applyBorder="1" applyAlignment="1">
      <alignment horizontal="left"/>
    </xf>
    <xf numFmtId="0" fontId="78" fillId="0" borderId="36" xfId="9" applyFont="1" applyBorder="1" applyAlignment="1" applyProtection="1">
      <alignment horizontal="left" vertical="center"/>
      <protection hidden="1"/>
    </xf>
    <xf numFmtId="0" fontId="78" fillId="0" borderId="38" xfId="9" applyFont="1" applyBorder="1" applyAlignment="1" applyProtection="1">
      <alignment horizontal="left" vertical="center"/>
      <protection hidden="1"/>
    </xf>
    <xf numFmtId="0" fontId="78" fillId="0" borderId="35" xfId="9" applyFont="1" applyBorder="1" applyAlignment="1" applyProtection="1">
      <alignment horizontal="left" vertical="center"/>
      <protection hidden="1"/>
    </xf>
    <xf numFmtId="0" fontId="115" fillId="63" borderId="32" xfId="84" applyFont="1" applyFill="1" applyBorder="1" applyAlignment="1">
      <alignment horizontal="left" vertical="top" wrapText="1"/>
    </xf>
    <xf numFmtId="0" fontId="115" fillId="62" borderId="41" xfId="84" applyFont="1" applyFill="1" applyBorder="1" applyAlignment="1">
      <alignment horizontal="left" vertical="top" wrapText="1"/>
    </xf>
    <xf numFmtId="0" fontId="115" fillId="62" borderId="4" xfId="84" applyFont="1" applyFill="1" applyBorder="1" applyAlignment="1">
      <alignment horizontal="left" vertical="top" wrapText="1"/>
    </xf>
    <xf numFmtId="0" fontId="110" fillId="0" borderId="39" xfId="84" applyFont="1" applyBorder="1" applyAlignment="1">
      <alignment horizontal="left" vertical="top" wrapText="1"/>
    </xf>
    <xf numFmtId="0" fontId="110" fillId="0" borderId="0" xfId="84" applyFont="1" applyAlignment="1">
      <alignment horizontal="left" vertical="top" wrapText="1"/>
    </xf>
    <xf numFmtId="0" fontId="111" fillId="0" borderId="0" xfId="89" applyFont="1" applyAlignment="1">
      <alignment horizontal="left" vertical="center" wrapText="1"/>
    </xf>
    <xf numFmtId="2" fontId="76" fillId="0" borderId="0" xfId="12" applyNumberFormat="1" applyFont="1" applyFill="1"/>
    <xf numFmtId="2" fontId="75" fillId="0" borderId="0" xfId="12" applyNumberFormat="1" applyFont="1" applyFill="1"/>
    <xf numFmtId="0" fontId="35" fillId="0" borderId="37" xfId="103" applyNumberFormat="1" applyFont="1" applyBorder="1" applyAlignment="1">
      <alignment horizontal="center" vertical="top" wrapText="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9">
    <dxf>
      <fill>
        <patternFill>
          <bgColor rgb="FFFF0000"/>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26669</xdr:rowOff>
    </xdr:from>
    <xdr:to>
      <xdr:col>16</xdr:col>
      <xdr:colOff>135255</xdr:colOff>
      <xdr:row>49</xdr:row>
      <xdr:rowOff>76200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88694"/>
          <a:ext cx="11172825" cy="71742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100" b="1">
              <a:solidFill>
                <a:schemeClr val="dk1"/>
              </a:solidFill>
              <a:effectLst/>
              <a:latin typeface="Georgia" panose="02040502050405020303" pitchFamily="18" charset="0"/>
              <a:ea typeface="+mn-ea"/>
              <a:cs typeface="+mn-cs"/>
            </a:rPr>
            <a:t>Algemeen</a:t>
          </a:r>
        </a:p>
        <a:p>
          <a:pPr marL="0" lvl="0" indent="0"/>
          <a:r>
            <a:rPr lang="nl-NL" sz="11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100" b="0">
            <a:solidFill>
              <a:schemeClr val="dk1"/>
            </a:solidFill>
            <a:effectLst/>
            <a:latin typeface="Georgia" panose="02040502050405020303" pitchFamily="18" charset="0"/>
            <a:ea typeface="+mn-ea"/>
            <a:cs typeface="+mn-cs"/>
          </a:endParaRPr>
        </a:p>
        <a:p>
          <a:pPr lvl="0"/>
          <a:r>
            <a:rPr lang="nl-NL" sz="11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Prijsniveau</a:t>
          </a:r>
        </a:p>
        <a:p>
          <a:r>
            <a:rPr lang="nl-NL" sz="1100" b="0">
              <a:solidFill>
                <a:schemeClr val="dk1"/>
              </a:solidFill>
              <a:effectLst/>
              <a:latin typeface="Georgia" panose="02040502050405020303" pitchFamily="18" charset="0"/>
              <a:ea typeface="+mn-ea"/>
              <a:cs typeface="+mn-cs"/>
            </a:rPr>
            <a:t>Het loon- en </a:t>
          </a:r>
          <a:r>
            <a:rPr lang="nl-NL" sz="1100" b="0">
              <a:solidFill>
                <a:sysClr val="windowText" lastClr="000000"/>
              </a:solidFill>
              <a:effectLst/>
              <a:latin typeface="Georgia" panose="02040502050405020303" pitchFamily="18" charset="0"/>
              <a:ea typeface="+mn-ea"/>
              <a:cs typeface="+mn-cs"/>
            </a:rPr>
            <a:t>prijspeil van 1 januari 2027 is het uitgangspunt </a:t>
          </a:r>
          <a:r>
            <a:rPr lang="nl-NL" sz="11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Ruimtestaat</a:t>
          </a:r>
        </a:p>
        <a:p>
          <a:r>
            <a:rPr lang="nl-NL" sz="11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Contractjaarprijs</a:t>
          </a:r>
        </a:p>
        <a:p>
          <a:r>
            <a:rPr lang="nl-NL" sz="11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100" b="0">
              <a:solidFill>
                <a:sysClr val="windowText" lastClr="000000"/>
              </a:solidFill>
              <a:effectLst/>
              <a:latin typeface="Georgia" panose="02040502050405020303" pitchFamily="18" charset="0"/>
              <a:ea typeface="+mn-ea"/>
              <a:cs typeface="+mn-cs"/>
            </a:rPr>
            <a:t>van de afroepprijzen.</a:t>
          </a:r>
          <a:endParaRPr lang="nl-NL" sz="1100" b="1">
            <a:solidFill>
              <a:sysClr val="windowText" lastClr="000000"/>
            </a:solidFill>
            <a:effectLst/>
            <a:latin typeface="Georgia" panose="02040502050405020303" pitchFamily="18" charset="0"/>
            <a:ea typeface="+mn-ea"/>
            <a:cs typeface="+mn-cs"/>
          </a:endParaRP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Uurtarieven</a:t>
          </a:r>
        </a:p>
        <a:p>
          <a:pPr marL="0" indent="0"/>
          <a:r>
            <a:rPr lang="nl-NL" sz="11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100" b="0">
              <a:solidFill>
                <a:schemeClr val="dk1"/>
              </a:solidFill>
              <a:effectLst/>
              <a:latin typeface="Georgia" panose="02040502050405020303" pitchFamily="18" charset="0"/>
              <a:ea typeface="+mn-ea"/>
              <a:cs typeface="+mn-cs"/>
            </a:rPr>
            <a:t> </a:t>
          </a:r>
        </a:p>
        <a:p>
          <a:pPr marL="0" indent="0"/>
          <a:r>
            <a:rPr lang="nl-NL" sz="11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indent="0"/>
          <a:endParaRPr lang="nl-NL" sz="1100" b="1">
            <a:solidFill>
              <a:schemeClr val="dk1"/>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Machinekosten </a:t>
          </a:r>
        </a:p>
        <a:p>
          <a:pPr lvl="0"/>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1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a:t>
          </a:r>
        </a:p>
        <a:p>
          <a:r>
            <a:rPr lang="nl-NL" sz="11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4 jaar. </a:t>
          </a:r>
          <a:endParaRPr lang="nl-NL" sz="1100" b="1">
            <a:solidFill>
              <a:sysClr val="windowText" lastClr="000000"/>
            </a:solidFill>
            <a:effectLst/>
            <a:latin typeface="Georgia" panose="02040502050405020303" pitchFamily="18" charset="0"/>
            <a:ea typeface="+mn-ea"/>
            <a:cs typeface="+mn-cs"/>
          </a:endParaRPr>
        </a:p>
        <a:p>
          <a:endParaRPr lang="nl-NL" sz="1100">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100">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217170</xdr:colOff>
      <xdr:row>30</xdr:row>
      <xdr:rowOff>15241</xdr:rowOff>
    </xdr:from>
    <xdr:to>
      <xdr:col>9</xdr:col>
      <xdr:colOff>112395</xdr:colOff>
      <xdr:row>36</xdr:row>
      <xdr:rowOff>89648</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4340935" y="6021594"/>
          <a:ext cx="4343960" cy="108293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53763</xdr:colOff>
      <xdr:row>4</xdr:row>
      <xdr:rowOff>21167</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69106" y="59691"/>
          <a:ext cx="6619240" cy="659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Tabellen"/>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workbookViewId="0">
      <pane ySplit="4" topLeftCell="A5" activePane="bottomLeft" state="frozen"/>
      <selection pane="bottomLeft"/>
    </sheetView>
  </sheetViews>
  <sheetFormatPr defaultRowHeight="12.6"/>
  <cols>
    <col min="1" max="1" width="27.6640625" customWidth="1"/>
  </cols>
  <sheetData>
    <row r="1" spans="1:13" ht="15.6">
      <c r="A1" s="40" t="s">
        <v>1</v>
      </c>
      <c r="B1" s="41" t="str">
        <f>'2-Kosten per locatie'!B3</f>
        <v>Gemeente Barneveld</v>
      </c>
    </row>
    <row r="2" spans="1:13" ht="15.6">
      <c r="A2" s="40" t="s">
        <v>2</v>
      </c>
      <c r="B2" s="41" t="str">
        <f ca="1">MID(CELL("bestandsnaam",$B$11),SEARCH("]",CELL("bestandsnaam",$B$11),1)+1,256)</f>
        <v>1-Uitgangspunten</v>
      </c>
    </row>
    <row r="3" spans="1:13" ht="15.6">
      <c r="A3" s="40" t="s">
        <v>3</v>
      </c>
      <c r="B3" s="41" t="str">
        <f>'2-Kosten per locatie'!B5</f>
        <v>Divers</v>
      </c>
    </row>
    <row r="4" spans="1:13" ht="15.6">
      <c r="A4" s="40" t="s">
        <v>4</v>
      </c>
      <c r="B4" s="41">
        <f>'2-Kosten per locatie'!B6</f>
        <v>0</v>
      </c>
      <c r="G4" s="39"/>
      <c r="H4" s="39"/>
      <c r="I4" s="39"/>
      <c r="J4" s="39"/>
      <c r="K4" s="39"/>
      <c r="L4" s="39"/>
      <c r="M4" s="39"/>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32"/>
  <sheetViews>
    <sheetView showGridLines="0" zoomScale="85" zoomScaleNormal="85"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46.109375" style="178" customWidth="1"/>
    <col min="2" max="2" width="30.5546875" style="179" bestFit="1" customWidth="1"/>
    <col min="3" max="3" width="33.77734375" style="179" customWidth="1"/>
    <col min="4" max="4" width="12.109375" style="178" customWidth="1"/>
    <col min="5" max="5" width="24.33203125" style="180" customWidth="1"/>
    <col min="6" max="6" width="16.109375" style="181" customWidth="1"/>
    <col min="7" max="7" width="13.6640625" style="180" customWidth="1"/>
    <col min="8" max="8" width="15.88671875" style="180" customWidth="1"/>
    <col min="9" max="247" width="13.6640625" style="29"/>
    <col min="248" max="248" width="22.109375" style="29" customWidth="1"/>
    <col min="249" max="255" width="13.6640625" style="29" customWidth="1"/>
    <col min="256" max="256" width="15.88671875" style="29" customWidth="1"/>
    <col min="257" max="257" width="16.5546875" style="29" bestFit="1" customWidth="1"/>
    <col min="258" max="258" width="13.6640625" style="29" customWidth="1"/>
    <col min="259" max="259" width="17.109375" style="29" bestFit="1" customWidth="1"/>
    <col min="260" max="260" width="4" style="29" customWidth="1"/>
    <col min="261" max="261" width="13.6640625" style="29" customWidth="1"/>
    <col min="262" max="503" width="13.6640625" style="29"/>
    <col min="504" max="504" width="22.109375" style="29" customWidth="1"/>
    <col min="505" max="511" width="13.6640625" style="29" customWidth="1"/>
    <col min="512" max="512" width="15.88671875" style="29" customWidth="1"/>
    <col min="513" max="513" width="16.5546875" style="29" bestFit="1" customWidth="1"/>
    <col min="514" max="514" width="13.6640625" style="29" customWidth="1"/>
    <col min="515" max="515" width="17.109375" style="29" bestFit="1" customWidth="1"/>
    <col min="516" max="516" width="4" style="29" customWidth="1"/>
    <col min="517" max="517" width="13.6640625" style="29" customWidth="1"/>
    <col min="518" max="759" width="13.6640625" style="29"/>
    <col min="760" max="760" width="22.109375" style="29" customWidth="1"/>
    <col min="761" max="767" width="13.6640625" style="29" customWidth="1"/>
    <col min="768" max="768" width="15.88671875" style="29" customWidth="1"/>
    <col min="769" max="769" width="16.5546875" style="29" bestFit="1" customWidth="1"/>
    <col min="770" max="770" width="13.6640625" style="29" customWidth="1"/>
    <col min="771" max="771" width="17.109375" style="29" bestFit="1" customWidth="1"/>
    <col min="772" max="772" width="4" style="29" customWidth="1"/>
    <col min="773" max="773" width="13.6640625" style="29" customWidth="1"/>
    <col min="774" max="1015" width="13.6640625" style="29"/>
    <col min="1016" max="1016" width="22.109375" style="29" customWidth="1"/>
    <col min="1017" max="1023" width="13.6640625" style="29" customWidth="1"/>
    <col min="1024" max="1024" width="15.88671875" style="29" customWidth="1"/>
    <col min="1025" max="1025" width="16.5546875" style="29" bestFit="1" customWidth="1"/>
    <col min="1026" max="1026" width="13.6640625" style="29" customWidth="1"/>
    <col min="1027" max="1027" width="17.109375" style="29" bestFit="1" customWidth="1"/>
    <col min="1028" max="1028" width="4" style="29" customWidth="1"/>
    <col min="1029" max="1029" width="13.6640625" style="29" customWidth="1"/>
    <col min="1030" max="1271" width="13.6640625" style="29"/>
    <col min="1272" max="1272" width="22.109375" style="29" customWidth="1"/>
    <col min="1273" max="1279" width="13.6640625" style="29" customWidth="1"/>
    <col min="1280" max="1280" width="15.88671875" style="29" customWidth="1"/>
    <col min="1281" max="1281" width="16.5546875" style="29" bestFit="1" customWidth="1"/>
    <col min="1282" max="1282" width="13.6640625" style="29" customWidth="1"/>
    <col min="1283" max="1283" width="17.109375" style="29" bestFit="1" customWidth="1"/>
    <col min="1284" max="1284" width="4" style="29" customWidth="1"/>
    <col min="1285" max="1285" width="13.6640625" style="29" customWidth="1"/>
    <col min="1286" max="1527" width="13.6640625" style="29"/>
    <col min="1528" max="1528" width="22.109375" style="29" customWidth="1"/>
    <col min="1529" max="1535" width="13.6640625" style="29" customWidth="1"/>
    <col min="1536" max="1536" width="15.88671875" style="29" customWidth="1"/>
    <col min="1537" max="1537" width="16.5546875" style="29" bestFit="1" customWidth="1"/>
    <col min="1538" max="1538" width="13.6640625" style="29" customWidth="1"/>
    <col min="1539" max="1539" width="17.109375" style="29" bestFit="1" customWidth="1"/>
    <col min="1540" max="1540" width="4" style="29" customWidth="1"/>
    <col min="1541" max="1541" width="13.6640625" style="29" customWidth="1"/>
    <col min="1542" max="1783" width="13.6640625" style="29"/>
    <col min="1784" max="1784" width="22.109375" style="29" customWidth="1"/>
    <col min="1785" max="1791" width="13.6640625" style="29" customWidth="1"/>
    <col min="1792" max="1792" width="15.88671875" style="29" customWidth="1"/>
    <col min="1793" max="1793" width="16.5546875" style="29" bestFit="1" customWidth="1"/>
    <col min="1794" max="1794" width="13.6640625" style="29" customWidth="1"/>
    <col min="1795" max="1795" width="17.109375" style="29" bestFit="1" customWidth="1"/>
    <col min="1796" max="1796" width="4" style="29" customWidth="1"/>
    <col min="1797" max="1797" width="13.6640625" style="29" customWidth="1"/>
    <col min="1798" max="2039" width="13.6640625" style="29"/>
    <col min="2040" max="2040" width="22.109375" style="29" customWidth="1"/>
    <col min="2041" max="2047" width="13.6640625" style="29" customWidth="1"/>
    <col min="2048" max="2048" width="15.88671875" style="29" customWidth="1"/>
    <col min="2049" max="2049" width="16.5546875" style="29" bestFit="1" customWidth="1"/>
    <col min="2050" max="2050" width="13.6640625" style="29" customWidth="1"/>
    <col min="2051" max="2051" width="17.109375" style="29" bestFit="1" customWidth="1"/>
    <col min="2052" max="2052" width="4" style="29" customWidth="1"/>
    <col min="2053" max="2053" width="13.6640625" style="29" customWidth="1"/>
    <col min="2054" max="2295" width="13.6640625" style="29"/>
    <col min="2296" max="2296" width="22.109375" style="29" customWidth="1"/>
    <col min="2297" max="2303" width="13.6640625" style="29" customWidth="1"/>
    <col min="2304" max="2304" width="15.88671875" style="29" customWidth="1"/>
    <col min="2305" max="2305" width="16.5546875" style="29" bestFit="1" customWidth="1"/>
    <col min="2306" max="2306" width="13.6640625" style="29" customWidth="1"/>
    <col min="2307" max="2307" width="17.109375" style="29" bestFit="1" customWidth="1"/>
    <col min="2308" max="2308" width="4" style="29" customWidth="1"/>
    <col min="2309" max="2309" width="13.6640625" style="29" customWidth="1"/>
    <col min="2310" max="2551" width="13.6640625" style="29"/>
    <col min="2552" max="2552" width="22.109375" style="29" customWidth="1"/>
    <col min="2553" max="2559" width="13.6640625" style="29" customWidth="1"/>
    <col min="2560" max="2560" width="15.88671875" style="29" customWidth="1"/>
    <col min="2561" max="2561" width="16.5546875" style="29" bestFit="1" customWidth="1"/>
    <col min="2562" max="2562" width="13.6640625" style="29" customWidth="1"/>
    <col min="2563" max="2563" width="17.109375" style="29" bestFit="1" customWidth="1"/>
    <col min="2564" max="2564" width="4" style="29" customWidth="1"/>
    <col min="2565" max="2565" width="13.6640625" style="29" customWidth="1"/>
    <col min="2566" max="2807" width="13.6640625" style="29"/>
    <col min="2808" max="2808" width="22.109375" style="29" customWidth="1"/>
    <col min="2809" max="2815" width="13.6640625" style="29" customWidth="1"/>
    <col min="2816" max="2816" width="15.88671875" style="29" customWidth="1"/>
    <col min="2817" max="2817" width="16.5546875" style="29" bestFit="1" customWidth="1"/>
    <col min="2818" max="2818" width="13.6640625" style="29" customWidth="1"/>
    <col min="2819" max="2819" width="17.109375" style="29" bestFit="1" customWidth="1"/>
    <col min="2820" max="2820" width="4" style="29" customWidth="1"/>
    <col min="2821" max="2821" width="13.6640625" style="29" customWidth="1"/>
    <col min="2822" max="3063" width="13.6640625" style="29"/>
    <col min="3064" max="3064" width="22.109375" style="29" customWidth="1"/>
    <col min="3065" max="3071" width="13.6640625" style="29" customWidth="1"/>
    <col min="3072" max="3072" width="15.88671875" style="29" customWidth="1"/>
    <col min="3073" max="3073" width="16.5546875" style="29" bestFit="1" customWidth="1"/>
    <col min="3074" max="3074" width="13.6640625" style="29" customWidth="1"/>
    <col min="3075" max="3075" width="17.109375" style="29" bestFit="1" customWidth="1"/>
    <col min="3076" max="3076" width="4" style="29" customWidth="1"/>
    <col min="3077" max="3077" width="13.6640625" style="29" customWidth="1"/>
    <col min="3078" max="3319" width="13.6640625" style="29"/>
    <col min="3320" max="3320" width="22.109375" style="29" customWidth="1"/>
    <col min="3321" max="3327" width="13.6640625" style="29" customWidth="1"/>
    <col min="3328" max="3328" width="15.88671875" style="29" customWidth="1"/>
    <col min="3329" max="3329" width="16.5546875" style="29" bestFit="1" customWidth="1"/>
    <col min="3330" max="3330" width="13.6640625" style="29" customWidth="1"/>
    <col min="3331" max="3331" width="17.109375" style="29" bestFit="1" customWidth="1"/>
    <col min="3332" max="3332" width="4" style="29" customWidth="1"/>
    <col min="3333" max="3333" width="13.6640625" style="29" customWidth="1"/>
    <col min="3334" max="3575" width="13.6640625" style="29"/>
    <col min="3576" max="3576" width="22.109375" style="29" customWidth="1"/>
    <col min="3577" max="3583" width="13.6640625" style="29" customWidth="1"/>
    <col min="3584" max="3584" width="15.88671875" style="29" customWidth="1"/>
    <col min="3585" max="3585" width="16.5546875" style="29" bestFit="1" customWidth="1"/>
    <col min="3586" max="3586" width="13.6640625" style="29" customWidth="1"/>
    <col min="3587" max="3587" width="17.109375" style="29" bestFit="1" customWidth="1"/>
    <col min="3588" max="3588" width="4" style="29" customWidth="1"/>
    <col min="3589" max="3589" width="13.6640625" style="29" customWidth="1"/>
    <col min="3590" max="3831" width="13.6640625" style="29"/>
    <col min="3832" max="3832" width="22.109375" style="29" customWidth="1"/>
    <col min="3833" max="3839" width="13.6640625" style="29" customWidth="1"/>
    <col min="3840" max="3840" width="15.88671875" style="29" customWidth="1"/>
    <col min="3841" max="3841" width="16.5546875" style="29" bestFit="1" customWidth="1"/>
    <col min="3842" max="3842" width="13.6640625" style="29" customWidth="1"/>
    <col min="3843" max="3843" width="17.109375" style="29" bestFit="1" customWidth="1"/>
    <col min="3844" max="3844" width="4" style="29" customWidth="1"/>
    <col min="3845" max="3845" width="13.6640625" style="29" customWidth="1"/>
    <col min="3846" max="4087" width="13.6640625" style="29"/>
    <col min="4088" max="4088" width="22.109375" style="29" customWidth="1"/>
    <col min="4089" max="4095" width="13.6640625" style="29" customWidth="1"/>
    <col min="4096" max="4096" width="15.88671875" style="29" customWidth="1"/>
    <col min="4097" max="4097" width="16.5546875" style="29" bestFit="1" customWidth="1"/>
    <col min="4098" max="4098" width="13.6640625" style="29" customWidth="1"/>
    <col min="4099" max="4099" width="17.109375" style="29" bestFit="1" customWidth="1"/>
    <col min="4100" max="4100" width="4" style="29" customWidth="1"/>
    <col min="4101" max="4101" width="13.6640625" style="29" customWidth="1"/>
    <col min="4102" max="4343" width="13.6640625" style="29"/>
    <col min="4344" max="4344" width="22.109375" style="29" customWidth="1"/>
    <col min="4345" max="4351" width="13.6640625" style="29" customWidth="1"/>
    <col min="4352" max="4352" width="15.88671875" style="29" customWidth="1"/>
    <col min="4353" max="4353" width="16.5546875" style="29" bestFit="1" customWidth="1"/>
    <col min="4354" max="4354" width="13.6640625" style="29" customWidth="1"/>
    <col min="4355" max="4355" width="17.109375" style="29" bestFit="1" customWidth="1"/>
    <col min="4356" max="4356" width="4" style="29" customWidth="1"/>
    <col min="4357" max="4357" width="13.6640625" style="29" customWidth="1"/>
    <col min="4358" max="4599" width="13.6640625" style="29"/>
    <col min="4600" max="4600" width="22.109375" style="29" customWidth="1"/>
    <col min="4601" max="4607" width="13.6640625" style="29" customWidth="1"/>
    <col min="4608" max="4608" width="15.88671875" style="29" customWidth="1"/>
    <col min="4609" max="4609" width="16.5546875" style="29" bestFit="1" customWidth="1"/>
    <col min="4610" max="4610" width="13.6640625" style="29" customWidth="1"/>
    <col min="4611" max="4611" width="17.109375" style="29" bestFit="1" customWidth="1"/>
    <col min="4612" max="4612" width="4" style="29" customWidth="1"/>
    <col min="4613" max="4613" width="13.6640625" style="29" customWidth="1"/>
    <col min="4614" max="4855" width="13.6640625" style="29"/>
    <col min="4856" max="4856" width="22.109375" style="29" customWidth="1"/>
    <col min="4857" max="4863" width="13.6640625" style="29" customWidth="1"/>
    <col min="4864" max="4864" width="15.88671875" style="29" customWidth="1"/>
    <col min="4865" max="4865" width="16.5546875" style="29" bestFit="1" customWidth="1"/>
    <col min="4866" max="4866" width="13.6640625" style="29" customWidth="1"/>
    <col min="4867" max="4867" width="17.109375" style="29" bestFit="1" customWidth="1"/>
    <col min="4868" max="4868" width="4" style="29" customWidth="1"/>
    <col min="4869" max="4869" width="13.6640625" style="29" customWidth="1"/>
    <col min="4870" max="5111" width="13.6640625" style="29"/>
    <col min="5112" max="5112" width="22.109375" style="29" customWidth="1"/>
    <col min="5113" max="5119" width="13.6640625" style="29" customWidth="1"/>
    <col min="5120" max="5120" width="15.88671875" style="29" customWidth="1"/>
    <col min="5121" max="5121" width="16.5546875" style="29" bestFit="1" customWidth="1"/>
    <col min="5122" max="5122" width="13.6640625" style="29" customWidth="1"/>
    <col min="5123" max="5123" width="17.109375" style="29" bestFit="1" customWidth="1"/>
    <col min="5124" max="5124" width="4" style="29" customWidth="1"/>
    <col min="5125" max="5125" width="13.6640625" style="29" customWidth="1"/>
    <col min="5126" max="5367" width="13.6640625" style="29"/>
    <col min="5368" max="5368" width="22.109375" style="29" customWidth="1"/>
    <col min="5369" max="5375" width="13.6640625" style="29" customWidth="1"/>
    <col min="5376" max="5376" width="15.88671875" style="29" customWidth="1"/>
    <col min="5377" max="5377" width="16.5546875" style="29" bestFit="1" customWidth="1"/>
    <col min="5378" max="5378" width="13.6640625" style="29" customWidth="1"/>
    <col min="5379" max="5379" width="17.109375" style="29" bestFit="1" customWidth="1"/>
    <col min="5380" max="5380" width="4" style="29" customWidth="1"/>
    <col min="5381" max="5381" width="13.6640625" style="29" customWidth="1"/>
    <col min="5382" max="5623" width="13.6640625" style="29"/>
    <col min="5624" max="5624" width="22.109375" style="29" customWidth="1"/>
    <col min="5625" max="5631" width="13.6640625" style="29" customWidth="1"/>
    <col min="5632" max="5632" width="15.88671875" style="29" customWidth="1"/>
    <col min="5633" max="5633" width="16.5546875" style="29" bestFit="1" customWidth="1"/>
    <col min="5634" max="5634" width="13.6640625" style="29" customWidth="1"/>
    <col min="5635" max="5635" width="17.109375" style="29" bestFit="1" customWidth="1"/>
    <col min="5636" max="5636" width="4" style="29" customWidth="1"/>
    <col min="5637" max="5637" width="13.6640625" style="29" customWidth="1"/>
    <col min="5638" max="5879" width="13.6640625" style="29"/>
    <col min="5880" max="5880" width="22.109375" style="29" customWidth="1"/>
    <col min="5881" max="5887" width="13.6640625" style="29" customWidth="1"/>
    <col min="5888" max="5888" width="15.88671875" style="29" customWidth="1"/>
    <col min="5889" max="5889" width="16.5546875" style="29" bestFit="1" customWidth="1"/>
    <col min="5890" max="5890" width="13.6640625" style="29" customWidth="1"/>
    <col min="5891" max="5891" width="17.109375" style="29" bestFit="1" customWidth="1"/>
    <col min="5892" max="5892" width="4" style="29" customWidth="1"/>
    <col min="5893" max="5893" width="13.6640625" style="29" customWidth="1"/>
    <col min="5894" max="6135" width="13.6640625" style="29"/>
    <col min="6136" max="6136" width="22.109375" style="29" customWidth="1"/>
    <col min="6137" max="6143" width="13.6640625" style="29" customWidth="1"/>
    <col min="6144" max="6144" width="15.88671875" style="29" customWidth="1"/>
    <col min="6145" max="6145" width="16.5546875" style="29" bestFit="1" customWidth="1"/>
    <col min="6146" max="6146" width="13.6640625" style="29" customWidth="1"/>
    <col min="6147" max="6147" width="17.109375" style="29" bestFit="1" customWidth="1"/>
    <col min="6148" max="6148" width="4" style="29" customWidth="1"/>
    <col min="6149" max="6149" width="13.6640625" style="29" customWidth="1"/>
    <col min="6150" max="6391" width="13.6640625" style="29"/>
    <col min="6392" max="6392" width="22.109375" style="29" customWidth="1"/>
    <col min="6393" max="6399" width="13.6640625" style="29" customWidth="1"/>
    <col min="6400" max="6400" width="15.88671875" style="29" customWidth="1"/>
    <col min="6401" max="6401" width="16.5546875" style="29" bestFit="1" customWidth="1"/>
    <col min="6402" max="6402" width="13.6640625" style="29" customWidth="1"/>
    <col min="6403" max="6403" width="17.109375" style="29" bestFit="1" customWidth="1"/>
    <col min="6404" max="6404" width="4" style="29" customWidth="1"/>
    <col min="6405" max="6405" width="13.6640625" style="29" customWidth="1"/>
    <col min="6406" max="6647" width="13.6640625" style="29"/>
    <col min="6648" max="6648" width="22.109375" style="29" customWidth="1"/>
    <col min="6649" max="6655" width="13.6640625" style="29" customWidth="1"/>
    <col min="6656" max="6656" width="15.88671875" style="29" customWidth="1"/>
    <col min="6657" max="6657" width="16.5546875" style="29" bestFit="1" customWidth="1"/>
    <col min="6658" max="6658" width="13.6640625" style="29" customWidth="1"/>
    <col min="6659" max="6659" width="17.109375" style="29" bestFit="1" customWidth="1"/>
    <col min="6660" max="6660" width="4" style="29" customWidth="1"/>
    <col min="6661" max="6661" width="13.6640625" style="29" customWidth="1"/>
    <col min="6662" max="6903" width="13.6640625" style="29"/>
    <col min="6904" max="6904" width="22.109375" style="29" customWidth="1"/>
    <col min="6905" max="6911" width="13.6640625" style="29" customWidth="1"/>
    <col min="6912" max="6912" width="15.88671875" style="29" customWidth="1"/>
    <col min="6913" max="6913" width="16.5546875" style="29" bestFit="1" customWidth="1"/>
    <col min="6914" max="6914" width="13.6640625" style="29" customWidth="1"/>
    <col min="6915" max="6915" width="17.109375" style="29" bestFit="1" customWidth="1"/>
    <col min="6916" max="6916" width="4" style="29" customWidth="1"/>
    <col min="6917" max="6917" width="13.6640625" style="29" customWidth="1"/>
    <col min="6918" max="7159" width="13.6640625" style="29"/>
    <col min="7160" max="7160" width="22.109375" style="29" customWidth="1"/>
    <col min="7161" max="7167" width="13.6640625" style="29" customWidth="1"/>
    <col min="7168" max="7168" width="15.88671875" style="29" customWidth="1"/>
    <col min="7169" max="7169" width="16.5546875" style="29" bestFit="1" customWidth="1"/>
    <col min="7170" max="7170" width="13.6640625" style="29" customWidth="1"/>
    <col min="7171" max="7171" width="17.109375" style="29" bestFit="1" customWidth="1"/>
    <col min="7172" max="7172" width="4" style="29" customWidth="1"/>
    <col min="7173" max="7173" width="13.6640625" style="29" customWidth="1"/>
    <col min="7174" max="7415" width="13.6640625" style="29"/>
    <col min="7416" max="7416" width="22.109375" style="29" customWidth="1"/>
    <col min="7417" max="7423" width="13.6640625" style="29" customWidth="1"/>
    <col min="7424" max="7424" width="15.88671875" style="29" customWidth="1"/>
    <col min="7425" max="7425" width="16.5546875" style="29" bestFit="1" customWidth="1"/>
    <col min="7426" max="7426" width="13.6640625" style="29" customWidth="1"/>
    <col min="7427" max="7427" width="17.109375" style="29" bestFit="1" customWidth="1"/>
    <col min="7428" max="7428" width="4" style="29" customWidth="1"/>
    <col min="7429" max="7429" width="13.6640625" style="29" customWidth="1"/>
    <col min="7430" max="7671" width="13.6640625" style="29"/>
    <col min="7672" max="7672" width="22.109375" style="29" customWidth="1"/>
    <col min="7673" max="7679" width="13.6640625" style="29" customWidth="1"/>
    <col min="7680" max="7680" width="15.88671875" style="29" customWidth="1"/>
    <col min="7681" max="7681" width="16.5546875" style="29" bestFit="1" customWidth="1"/>
    <col min="7682" max="7682" width="13.6640625" style="29" customWidth="1"/>
    <col min="7683" max="7683" width="17.109375" style="29" bestFit="1" customWidth="1"/>
    <col min="7684" max="7684" width="4" style="29" customWidth="1"/>
    <col min="7685" max="7685" width="13.6640625" style="29" customWidth="1"/>
    <col min="7686" max="7927" width="13.6640625" style="29"/>
    <col min="7928" max="7928" width="22.109375" style="29" customWidth="1"/>
    <col min="7929" max="7935" width="13.6640625" style="29" customWidth="1"/>
    <col min="7936" max="7936" width="15.88671875" style="29" customWidth="1"/>
    <col min="7937" max="7937" width="16.5546875" style="29" bestFit="1" customWidth="1"/>
    <col min="7938" max="7938" width="13.6640625" style="29" customWidth="1"/>
    <col min="7939" max="7939" width="17.109375" style="29" bestFit="1" customWidth="1"/>
    <col min="7940" max="7940" width="4" style="29" customWidth="1"/>
    <col min="7941" max="7941" width="13.6640625" style="29" customWidth="1"/>
    <col min="7942" max="8183" width="13.6640625" style="29"/>
    <col min="8184" max="8184" width="22.109375" style="29" customWidth="1"/>
    <col min="8185" max="8191" width="13.6640625" style="29" customWidth="1"/>
    <col min="8192" max="8192" width="15.88671875" style="29" customWidth="1"/>
    <col min="8193" max="8193" width="16.5546875" style="29" bestFit="1" customWidth="1"/>
    <col min="8194" max="8194" width="13.6640625" style="29" customWidth="1"/>
    <col min="8195" max="8195" width="17.109375" style="29" bestFit="1" customWidth="1"/>
    <col min="8196" max="8196" width="4" style="29" customWidth="1"/>
    <col min="8197" max="8197" width="13.6640625" style="29" customWidth="1"/>
    <col min="8198" max="8439" width="13.6640625" style="29"/>
    <col min="8440" max="8440" width="22.109375" style="29" customWidth="1"/>
    <col min="8441" max="8447" width="13.6640625" style="29" customWidth="1"/>
    <col min="8448" max="8448" width="15.88671875" style="29" customWidth="1"/>
    <col min="8449" max="8449" width="16.5546875" style="29" bestFit="1" customWidth="1"/>
    <col min="8450" max="8450" width="13.6640625" style="29" customWidth="1"/>
    <col min="8451" max="8451" width="17.109375" style="29" bestFit="1" customWidth="1"/>
    <col min="8452" max="8452" width="4" style="29" customWidth="1"/>
    <col min="8453" max="8453" width="13.6640625" style="29" customWidth="1"/>
    <col min="8454" max="8695" width="13.6640625" style="29"/>
    <col min="8696" max="8696" width="22.109375" style="29" customWidth="1"/>
    <col min="8697" max="8703" width="13.6640625" style="29" customWidth="1"/>
    <col min="8704" max="8704" width="15.88671875" style="29" customWidth="1"/>
    <col min="8705" max="8705" width="16.5546875" style="29" bestFit="1" customWidth="1"/>
    <col min="8706" max="8706" width="13.6640625" style="29" customWidth="1"/>
    <col min="8707" max="8707" width="17.109375" style="29" bestFit="1" customWidth="1"/>
    <col min="8708" max="8708" width="4" style="29" customWidth="1"/>
    <col min="8709" max="8709" width="13.6640625" style="29" customWidth="1"/>
    <col min="8710" max="8951" width="13.6640625" style="29"/>
    <col min="8952" max="8952" width="22.109375" style="29" customWidth="1"/>
    <col min="8953" max="8959" width="13.6640625" style="29" customWidth="1"/>
    <col min="8960" max="8960" width="15.88671875" style="29" customWidth="1"/>
    <col min="8961" max="8961" width="16.5546875" style="29" bestFit="1" customWidth="1"/>
    <col min="8962" max="8962" width="13.6640625" style="29" customWidth="1"/>
    <col min="8963" max="8963" width="17.109375" style="29" bestFit="1" customWidth="1"/>
    <col min="8964" max="8964" width="4" style="29" customWidth="1"/>
    <col min="8965" max="8965" width="13.6640625" style="29" customWidth="1"/>
    <col min="8966" max="9207" width="13.6640625" style="29"/>
    <col min="9208" max="9208" width="22.109375" style="29" customWidth="1"/>
    <col min="9209" max="9215" width="13.6640625" style="29" customWidth="1"/>
    <col min="9216" max="9216" width="15.88671875" style="29" customWidth="1"/>
    <col min="9217" max="9217" width="16.5546875" style="29" bestFit="1" customWidth="1"/>
    <col min="9218" max="9218" width="13.6640625" style="29" customWidth="1"/>
    <col min="9219" max="9219" width="17.109375" style="29" bestFit="1" customWidth="1"/>
    <col min="9220" max="9220" width="4" style="29" customWidth="1"/>
    <col min="9221" max="9221" width="13.6640625" style="29" customWidth="1"/>
    <col min="9222" max="9463" width="13.6640625" style="29"/>
    <col min="9464" max="9464" width="22.109375" style="29" customWidth="1"/>
    <col min="9465" max="9471" width="13.6640625" style="29" customWidth="1"/>
    <col min="9472" max="9472" width="15.88671875" style="29" customWidth="1"/>
    <col min="9473" max="9473" width="16.5546875" style="29" bestFit="1" customWidth="1"/>
    <col min="9474" max="9474" width="13.6640625" style="29" customWidth="1"/>
    <col min="9475" max="9475" width="17.109375" style="29" bestFit="1" customWidth="1"/>
    <col min="9476" max="9476" width="4" style="29" customWidth="1"/>
    <col min="9477" max="9477" width="13.6640625" style="29" customWidth="1"/>
    <col min="9478" max="9719" width="13.6640625" style="29"/>
    <col min="9720" max="9720" width="22.109375" style="29" customWidth="1"/>
    <col min="9721" max="9727" width="13.6640625" style="29" customWidth="1"/>
    <col min="9728" max="9728" width="15.88671875" style="29" customWidth="1"/>
    <col min="9729" max="9729" width="16.5546875" style="29" bestFit="1" customWidth="1"/>
    <col min="9730" max="9730" width="13.6640625" style="29" customWidth="1"/>
    <col min="9731" max="9731" width="17.109375" style="29" bestFit="1" customWidth="1"/>
    <col min="9732" max="9732" width="4" style="29" customWidth="1"/>
    <col min="9733" max="9733" width="13.6640625" style="29" customWidth="1"/>
    <col min="9734" max="9975" width="13.6640625" style="29"/>
    <col min="9976" max="9976" width="22.109375" style="29" customWidth="1"/>
    <col min="9977" max="9983" width="13.6640625" style="29" customWidth="1"/>
    <col min="9984" max="9984" width="15.88671875" style="29" customWidth="1"/>
    <col min="9985" max="9985" width="16.5546875" style="29" bestFit="1" customWidth="1"/>
    <col min="9986" max="9986" width="13.6640625" style="29" customWidth="1"/>
    <col min="9987" max="9987" width="17.109375" style="29" bestFit="1" customWidth="1"/>
    <col min="9988" max="9988" width="4" style="29" customWidth="1"/>
    <col min="9989" max="9989" width="13.6640625" style="29" customWidth="1"/>
    <col min="9990" max="10231" width="13.6640625" style="29"/>
    <col min="10232" max="10232" width="22.109375" style="29" customWidth="1"/>
    <col min="10233" max="10239" width="13.6640625" style="29" customWidth="1"/>
    <col min="10240" max="10240" width="15.88671875" style="29" customWidth="1"/>
    <col min="10241" max="10241" width="16.5546875" style="29" bestFit="1" customWidth="1"/>
    <col min="10242" max="10242" width="13.6640625" style="29" customWidth="1"/>
    <col min="10243" max="10243" width="17.109375" style="29" bestFit="1" customWidth="1"/>
    <col min="10244" max="10244" width="4" style="29" customWidth="1"/>
    <col min="10245" max="10245" width="13.6640625" style="29" customWidth="1"/>
    <col min="10246" max="10487" width="13.6640625" style="29"/>
    <col min="10488" max="10488" width="22.109375" style="29" customWidth="1"/>
    <col min="10489" max="10495" width="13.6640625" style="29" customWidth="1"/>
    <col min="10496" max="10496" width="15.88671875" style="29" customWidth="1"/>
    <col min="10497" max="10497" width="16.5546875" style="29" bestFit="1" customWidth="1"/>
    <col min="10498" max="10498" width="13.6640625" style="29" customWidth="1"/>
    <col min="10499" max="10499" width="17.109375" style="29" bestFit="1" customWidth="1"/>
    <col min="10500" max="10500" width="4" style="29" customWidth="1"/>
    <col min="10501" max="10501" width="13.6640625" style="29" customWidth="1"/>
    <col min="10502" max="10743" width="13.6640625" style="29"/>
    <col min="10744" max="10744" width="22.109375" style="29" customWidth="1"/>
    <col min="10745" max="10751" width="13.6640625" style="29" customWidth="1"/>
    <col min="10752" max="10752" width="15.88671875" style="29" customWidth="1"/>
    <col min="10753" max="10753" width="16.5546875" style="29" bestFit="1" customWidth="1"/>
    <col min="10754" max="10754" width="13.6640625" style="29" customWidth="1"/>
    <col min="10755" max="10755" width="17.109375" style="29" bestFit="1" customWidth="1"/>
    <col min="10756" max="10756" width="4" style="29" customWidth="1"/>
    <col min="10757" max="10757" width="13.6640625" style="29" customWidth="1"/>
    <col min="10758" max="10999" width="13.6640625" style="29"/>
    <col min="11000" max="11000" width="22.109375" style="29" customWidth="1"/>
    <col min="11001" max="11007" width="13.6640625" style="29" customWidth="1"/>
    <col min="11008" max="11008" width="15.88671875" style="29" customWidth="1"/>
    <col min="11009" max="11009" width="16.5546875" style="29" bestFit="1" customWidth="1"/>
    <col min="11010" max="11010" width="13.6640625" style="29" customWidth="1"/>
    <col min="11011" max="11011" width="17.109375" style="29" bestFit="1" customWidth="1"/>
    <col min="11012" max="11012" width="4" style="29" customWidth="1"/>
    <col min="11013" max="11013" width="13.6640625" style="29" customWidth="1"/>
    <col min="11014" max="11255" width="13.6640625" style="29"/>
    <col min="11256" max="11256" width="22.109375" style="29" customWidth="1"/>
    <col min="11257" max="11263" width="13.6640625" style="29" customWidth="1"/>
    <col min="11264" max="11264" width="15.88671875" style="29" customWidth="1"/>
    <col min="11265" max="11265" width="16.5546875" style="29" bestFit="1" customWidth="1"/>
    <col min="11266" max="11266" width="13.6640625" style="29" customWidth="1"/>
    <col min="11267" max="11267" width="17.109375" style="29" bestFit="1" customWidth="1"/>
    <col min="11268" max="11268" width="4" style="29" customWidth="1"/>
    <col min="11269" max="11269" width="13.6640625" style="29" customWidth="1"/>
    <col min="11270" max="11511" width="13.6640625" style="29"/>
    <col min="11512" max="11512" width="22.109375" style="29" customWidth="1"/>
    <col min="11513" max="11519" width="13.6640625" style="29" customWidth="1"/>
    <col min="11520" max="11520" width="15.88671875" style="29" customWidth="1"/>
    <col min="11521" max="11521" width="16.5546875" style="29" bestFit="1" customWidth="1"/>
    <col min="11522" max="11522" width="13.6640625" style="29" customWidth="1"/>
    <col min="11523" max="11523" width="17.109375" style="29" bestFit="1" customWidth="1"/>
    <col min="11524" max="11524" width="4" style="29" customWidth="1"/>
    <col min="11525" max="11525" width="13.6640625" style="29" customWidth="1"/>
    <col min="11526" max="11767" width="13.6640625" style="29"/>
    <col min="11768" max="11768" width="22.109375" style="29" customWidth="1"/>
    <col min="11769" max="11775" width="13.6640625" style="29" customWidth="1"/>
    <col min="11776" max="11776" width="15.88671875" style="29" customWidth="1"/>
    <col min="11777" max="11777" width="16.5546875" style="29" bestFit="1" customWidth="1"/>
    <col min="11778" max="11778" width="13.6640625" style="29" customWidth="1"/>
    <col min="11779" max="11779" width="17.109375" style="29" bestFit="1" customWidth="1"/>
    <col min="11780" max="11780" width="4" style="29" customWidth="1"/>
    <col min="11781" max="11781" width="13.6640625" style="29" customWidth="1"/>
    <col min="11782" max="12023" width="13.6640625" style="29"/>
    <col min="12024" max="12024" width="22.109375" style="29" customWidth="1"/>
    <col min="12025" max="12031" width="13.6640625" style="29" customWidth="1"/>
    <col min="12032" max="12032" width="15.88671875" style="29" customWidth="1"/>
    <col min="12033" max="12033" width="16.5546875" style="29" bestFit="1" customWidth="1"/>
    <col min="12034" max="12034" width="13.6640625" style="29" customWidth="1"/>
    <col min="12035" max="12035" width="17.109375" style="29" bestFit="1" customWidth="1"/>
    <col min="12036" max="12036" width="4" style="29" customWidth="1"/>
    <col min="12037" max="12037" width="13.6640625" style="29" customWidth="1"/>
    <col min="12038" max="12279" width="13.6640625" style="29"/>
    <col min="12280" max="12280" width="22.109375" style="29" customWidth="1"/>
    <col min="12281" max="12287" width="13.6640625" style="29" customWidth="1"/>
    <col min="12288" max="12288" width="15.88671875" style="29" customWidth="1"/>
    <col min="12289" max="12289" width="16.5546875" style="29" bestFit="1" customWidth="1"/>
    <col min="12290" max="12290" width="13.6640625" style="29" customWidth="1"/>
    <col min="12291" max="12291" width="17.109375" style="29" bestFit="1" customWidth="1"/>
    <col min="12292" max="12292" width="4" style="29" customWidth="1"/>
    <col min="12293" max="12293" width="13.6640625" style="29" customWidth="1"/>
    <col min="12294" max="12535" width="13.6640625" style="29"/>
    <col min="12536" max="12536" width="22.109375" style="29" customWidth="1"/>
    <col min="12537" max="12543" width="13.6640625" style="29" customWidth="1"/>
    <col min="12544" max="12544" width="15.88671875" style="29" customWidth="1"/>
    <col min="12545" max="12545" width="16.5546875" style="29" bestFit="1" customWidth="1"/>
    <col min="12546" max="12546" width="13.6640625" style="29" customWidth="1"/>
    <col min="12547" max="12547" width="17.109375" style="29" bestFit="1" customWidth="1"/>
    <col min="12548" max="12548" width="4" style="29" customWidth="1"/>
    <col min="12549" max="12549" width="13.6640625" style="29" customWidth="1"/>
    <col min="12550" max="12791" width="13.6640625" style="29"/>
    <col min="12792" max="12792" width="22.109375" style="29" customWidth="1"/>
    <col min="12793" max="12799" width="13.6640625" style="29" customWidth="1"/>
    <col min="12800" max="12800" width="15.88671875" style="29" customWidth="1"/>
    <col min="12801" max="12801" width="16.5546875" style="29" bestFit="1" customWidth="1"/>
    <col min="12802" max="12802" width="13.6640625" style="29" customWidth="1"/>
    <col min="12803" max="12803" width="17.109375" style="29" bestFit="1" customWidth="1"/>
    <col min="12804" max="12804" width="4" style="29" customWidth="1"/>
    <col min="12805" max="12805" width="13.6640625" style="29" customWidth="1"/>
    <col min="12806" max="13047" width="13.6640625" style="29"/>
    <col min="13048" max="13048" width="22.109375" style="29" customWidth="1"/>
    <col min="13049" max="13055" width="13.6640625" style="29" customWidth="1"/>
    <col min="13056" max="13056" width="15.88671875" style="29" customWidth="1"/>
    <col min="13057" max="13057" width="16.5546875" style="29" bestFit="1" customWidth="1"/>
    <col min="13058" max="13058" width="13.6640625" style="29" customWidth="1"/>
    <col min="13059" max="13059" width="17.109375" style="29" bestFit="1" customWidth="1"/>
    <col min="13060" max="13060" width="4" style="29" customWidth="1"/>
    <col min="13061" max="13061" width="13.6640625" style="29" customWidth="1"/>
    <col min="13062" max="13303" width="13.6640625" style="29"/>
    <col min="13304" max="13304" width="22.109375" style="29" customWidth="1"/>
    <col min="13305" max="13311" width="13.6640625" style="29" customWidth="1"/>
    <col min="13312" max="13312" width="15.88671875" style="29" customWidth="1"/>
    <col min="13313" max="13313" width="16.5546875" style="29" bestFit="1" customWidth="1"/>
    <col min="13314" max="13314" width="13.6640625" style="29" customWidth="1"/>
    <col min="13315" max="13315" width="17.109375" style="29" bestFit="1" customWidth="1"/>
    <col min="13316" max="13316" width="4" style="29" customWidth="1"/>
    <col min="13317" max="13317" width="13.6640625" style="29" customWidth="1"/>
    <col min="13318" max="13559" width="13.6640625" style="29"/>
    <col min="13560" max="13560" width="22.109375" style="29" customWidth="1"/>
    <col min="13561" max="13567" width="13.6640625" style="29" customWidth="1"/>
    <col min="13568" max="13568" width="15.88671875" style="29" customWidth="1"/>
    <col min="13569" max="13569" width="16.5546875" style="29" bestFit="1" customWidth="1"/>
    <col min="13570" max="13570" width="13.6640625" style="29" customWidth="1"/>
    <col min="13571" max="13571" width="17.109375" style="29" bestFit="1" customWidth="1"/>
    <col min="13572" max="13572" width="4" style="29" customWidth="1"/>
    <col min="13573" max="13573" width="13.6640625" style="29" customWidth="1"/>
    <col min="13574" max="13815" width="13.6640625" style="29"/>
    <col min="13816" max="13816" width="22.109375" style="29" customWidth="1"/>
    <col min="13817" max="13823" width="13.6640625" style="29" customWidth="1"/>
    <col min="13824" max="13824" width="15.88671875" style="29" customWidth="1"/>
    <col min="13825" max="13825" width="16.5546875" style="29" bestFit="1" customWidth="1"/>
    <col min="13826" max="13826" width="13.6640625" style="29" customWidth="1"/>
    <col min="13827" max="13827" width="17.109375" style="29" bestFit="1" customWidth="1"/>
    <col min="13828" max="13828" width="4" style="29" customWidth="1"/>
    <col min="13829" max="13829" width="13.6640625" style="29" customWidth="1"/>
    <col min="13830" max="14071" width="13.6640625" style="29"/>
    <col min="14072" max="14072" width="22.109375" style="29" customWidth="1"/>
    <col min="14073" max="14079" width="13.6640625" style="29" customWidth="1"/>
    <col min="14080" max="14080" width="15.88671875" style="29" customWidth="1"/>
    <col min="14081" max="14081" width="16.5546875" style="29" bestFit="1" customWidth="1"/>
    <col min="14082" max="14082" width="13.6640625" style="29" customWidth="1"/>
    <col min="14083" max="14083" width="17.109375" style="29" bestFit="1" customWidth="1"/>
    <col min="14084" max="14084" width="4" style="29" customWidth="1"/>
    <col min="14085" max="14085" width="13.6640625" style="29" customWidth="1"/>
    <col min="14086" max="14327" width="13.6640625" style="29"/>
    <col min="14328" max="14328" width="22.109375" style="29" customWidth="1"/>
    <col min="14329" max="14335" width="13.6640625" style="29" customWidth="1"/>
    <col min="14336" max="14336" width="15.88671875" style="29" customWidth="1"/>
    <col min="14337" max="14337" width="16.5546875" style="29" bestFit="1" customWidth="1"/>
    <col min="14338" max="14338" width="13.6640625" style="29" customWidth="1"/>
    <col min="14339" max="14339" width="17.109375" style="29" bestFit="1" customWidth="1"/>
    <col min="14340" max="14340" width="4" style="29" customWidth="1"/>
    <col min="14341" max="14341" width="13.6640625" style="29" customWidth="1"/>
    <col min="14342" max="14583" width="13.6640625" style="29"/>
    <col min="14584" max="14584" width="22.109375" style="29" customWidth="1"/>
    <col min="14585" max="14591" width="13.6640625" style="29" customWidth="1"/>
    <col min="14592" max="14592" width="15.88671875" style="29" customWidth="1"/>
    <col min="14593" max="14593" width="16.5546875" style="29" bestFit="1" customWidth="1"/>
    <col min="14594" max="14594" width="13.6640625" style="29" customWidth="1"/>
    <col min="14595" max="14595" width="17.109375" style="29" bestFit="1" customWidth="1"/>
    <col min="14596" max="14596" width="4" style="29" customWidth="1"/>
    <col min="14597" max="14597" width="13.6640625" style="29" customWidth="1"/>
    <col min="14598" max="14839" width="13.6640625" style="29"/>
    <col min="14840" max="14840" width="22.109375" style="29" customWidth="1"/>
    <col min="14841" max="14847" width="13.6640625" style="29" customWidth="1"/>
    <col min="14848" max="14848" width="15.88671875" style="29" customWidth="1"/>
    <col min="14849" max="14849" width="16.5546875" style="29" bestFit="1" customWidth="1"/>
    <col min="14850" max="14850" width="13.6640625" style="29" customWidth="1"/>
    <col min="14851" max="14851" width="17.109375" style="29" bestFit="1" customWidth="1"/>
    <col min="14852" max="14852" width="4" style="29" customWidth="1"/>
    <col min="14853" max="14853" width="13.6640625" style="29" customWidth="1"/>
    <col min="14854" max="15095" width="13.6640625" style="29"/>
    <col min="15096" max="15096" width="22.109375" style="29" customWidth="1"/>
    <col min="15097" max="15103" width="13.6640625" style="29" customWidth="1"/>
    <col min="15104" max="15104" width="15.88671875" style="29" customWidth="1"/>
    <col min="15105" max="15105" width="16.5546875" style="29" bestFit="1" customWidth="1"/>
    <col min="15106" max="15106" width="13.6640625" style="29" customWidth="1"/>
    <col min="15107" max="15107" width="17.109375" style="29" bestFit="1" customWidth="1"/>
    <col min="15108" max="15108" width="4" style="29" customWidth="1"/>
    <col min="15109" max="15109" width="13.6640625" style="29" customWidth="1"/>
    <col min="15110" max="15351" width="13.6640625" style="29"/>
    <col min="15352" max="15352" width="22.109375" style="29" customWidth="1"/>
    <col min="15353" max="15359" width="13.6640625" style="29" customWidth="1"/>
    <col min="15360" max="15360" width="15.88671875" style="29" customWidth="1"/>
    <col min="15361" max="15361" width="16.5546875" style="29" bestFit="1" customWidth="1"/>
    <col min="15362" max="15362" width="13.6640625" style="29" customWidth="1"/>
    <col min="15363" max="15363" width="17.109375" style="29" bestFit="1" customWidth="1"/>
    <col min="15364" max="15364" width="4" style="29" customWidth="1"/>
    <col min="15365" max="15365" width="13.6640625" style="29" customWidth="1"/>
    <col min="15366" max="15607" width="13.6640625" style="29"/>
    <col min="15608" max="15608" width="22.109375" style="29" customWidth="1"/>
    <col min="15609" max="15615" width="13.6640625" style="29" customWidth="1"/>
    <col min="15616" max="15616" width="15.88671875" style="29" customWidth="1"/>
    <col min="15617" max="15617" width="16.5546875" style="29" bestFit="1" customWidth="1"/>
    <col min="15618" max="15618" width="13.6640625" style="29" customWidth="1"/>
    <col min="15619" max="15619" width="17.109375" style="29" bestFit="1" customWidth="1"/>
    <col min="15620" max="15620" width="4" style="29" customWidth="1"/>
    <col min="15621" max="15621" width="13.6640625" style="29" customWidth="1"/>
    <col min="15622" max="15863" width="13.6640625" style="29"/>
    <col min="15864" max="15864" width="22.109375" style="29" customWidth="1"/>
    <col min="15865" max="15871" width="13.6640625" style="29" customWidth="1"/>
    <col min="15872" max="15872" width="15.88671875" style="29" customWidth="1"/>
    <col min="15873" max="15873" width="16.5546875" style="29" bestFit="1" customWidth="1"/>
    <col min="15874" max="15874" width="13.6640625" style="29" customWidth="1"/>
    <col min="15875" max="15875" width="17.109375" style="29" bestFit="1" customWidth="1"/>
    <col min="15876" max="15876" width="4" style="29" customWidth="1"/>
    <col min="15877" max="15877" width="13.6640625" style="29" customWidth="1"/>
    <col min="15878" max="16119" width="13.6640625" style="29"/>
    <col min="16120" max="16120" width="22.109375" style="29" customWidth="1"/>
    <col min="16121" max="16127" width="13.6640625" style="29" customWidth="1"/>
    <col min="16128" max="16128" width="15.88671875" style="29" customWidth="1"/>
    <col min="16129" max="16129" width="16.5546875" style="29" bestFit="1" customWidth="1"/>
    <col min="16130" max="16130" width="13.6640625" style="29" customWidth="1"/>
    <col min="16131" max="16131" width="17.109375" style="29" bestFit="1" customWidth="1"/>
    <col min="16132" max="16132" width="4" style="29" customWidth="1"/>
    <col min="16133" max="16133" width="13.6640625" style="29" customWidth="1"/>
    <col min="16134" max="16384" width="13.6640625" style="29"/>
  </cols>
  <sheetData>
    <row r="1" spans="1:26" s="23" customFormat="1">
      <c r="A1" s="485" t="s">
        <v>5</v>
      </c>
      <c r="B1" s="171"/>
      <c r="C1" s="171"/>
      <c r="D1" s="96"/>
      <c r="E1" s="96"/>
      <c r="F1" s="172"/>
      <c r="G1" s="96"/>
      <c r="H1" s="96"/>
    </row>
    <row r="2" spans="1:26" s="23" customFormat="1" ht="16.2">
      <c r="A2" s="96"/>
      <c r="B2" s="171"/>
      <c r="C2" s="171"/>
      <c r="D2" s="173"/>
      <c r="E2" s="453" t="s">
        <v>206</v>
      </c>
      <c r="F2" s="453" t="s">
        <v>207</v>
      </c>
      <c r="G2" s="173"/>
      <c r="H2" s="96"/>
    </row>
    <row r="3" spans="1:26" s="23" customFormat="1" ht="15.6">
      <c r="A3" s="40" t="str">
        <f>'2-Kosten per locatie'!A3</f>
        <v>Naam opdrachtgever</v>
      </c>
      <c r="B3" s="154" t="str">
        <f>'2-Kosten per locatie'!B3</f>
        <v>Gemeente Barneveld</v>
      </c>
      <c r="C3" s="154"/>
      <c r="D3" s="173"/>
      <c r="E3" s="454" t="s">
        <v>208</v>
      </c>
      <c r="F3" s="455"/>
      <c r="G3" s="173"/>
      <c r="H3" s="96"/>
    </row>
    <row r="4" spans="1:26" s="23" customFormat="1" ht="15.6">
      <c r="A4" s="40" t="str">
        <f>'2-Kosten per locatie'!A4</f>
        <v>Calculatie onderdeel</v>
      </c>
      <c r="B4" s="154" t="str">
        <f ca="1">MID(CELL("bestandsnaam",$C$9),SEARCH("]",CELL("bestandsnaam",$C$9),1)+1,256)</f>
        <v>10-Glasbewassing</v>
      </c>
      <c r="C4" s="154"/>
      <c r="D4" s="173"/>
      <c r="E4" s="454" t="s">
        <v>209</v>
      </c>
      <c r="F4" s="455"/>
      <c r="G4" s="173"/>
      <c r="H4" s="96"/>
    </row>
    <row r="5" spans="1:26" s="23" customFormat="1" ht="15.6">
      <c r="A5" s="40" t="str">
        <f>'2-Kosten per locatie'!A5</f>
        <v>Gebouw/plaats</v>
      </c>
      <c r="B5" s="154" t="str">
        <f>'2-Kosten per locatie'!B5</f>
        <v>Divers</v>
      </c>
      <c r="C5" s="154"/>
      <c r="D5" s="173"/>
      <c r="E5" s="456" t="s">
        <v>518</v>
      </c>
      <c r="F5" s="455"/>
      <c r="G5" s="173"/>
      <c r="H5" s="174"/>
      <c r="J5" s="25"/>
      <c r="K5" s="24"/>
      <c r="L5" s="25"/>
      <c r="M5" s="25"/>
      <c r="N5" s="24"/>
      <c r="O5" s="26"/>
      <c r="P5" s="25"/>
      <c r="Q5" s="24"/>
      <c r="R5" s="25"/>
      <c r="S5" s="25"/>
      <c r="T5" s="24"/>
      <c r="U5" s="25"/>
      <c r="V5" s="25"/>
      <c r="W5" s="24"/>
      <c r="X5" s="25"/>
      <c r="Y5" s="25"/>
      <c r="Z5" s="24"/>
    </row>
    <row r="6" spans="1:26" s="23" customFormat="1" ht="17.25" customHeight="1">
      <c r="A6" s="40" t="str">
        <f>'2-Kosten per locatie'!A6</f>
        <v>Referentie nummer</v>
      </c>
      <c r="B6" s="154">
        <f>'2-Kosten per locatie'!B6</f>
        <v>0</v>
      </c>
      <c r="C6" s="154"/>
      <c r="D6" s="173"/>
      <c r="E6" s="454" t="s">
        <v>516</v>
      </c>
      <c r="F6" s="455"/>
      <c r="G6" s="173"/>
      <c r="H6" s="174"/>
      <c r="J6" s="27"/>
      <c r="K6" s="28"/>
      <c r="L6" s="25"/>
      <c r="M6" s="27"/>
      <c r="N6" s="28"/>
      <c r="O6" s="26"/>
      <c r="P6" s="27"/>
      <c r="Q6" s="28"/>
      <c r="R6" s="25"/>
      <c r="S6" s="27"/>
      <c r="T6" s="28"/>
      <c r="U6" s="25"/>
      <c r="V6" s="27"/>
      <c r="W6" s="28"/>
      <c r="X6" s="25"/>
      <c r="Y6" s="27"/>
      <c r="Z6" s="28"/>
    </row>
    <row r="7" spans="1:26" s="23" customFormat="1" ht="17.25" customHeight="1">
      <c r="A7" s="40" t="str">
        <f>'2-Kosten per locatie'!A7</f>
        <v>Naam dienstverlener</v>
      </c>
      <c r="B7" s="154">
        <f>'2-Kosten per locatie'!B7</f>
        <v>0</v>
      </c>
      <c r="C7" s="118"/>
      <c r="D7" s="173"/>
      <c r="E7" s="454" t="s">
        <v>517</v>
      </c>
      <c r="F7" s="455"/>
      <c r="G7" s="173"/>
      <c r="H7" s="174"/>
    </row>
    <row r="8" spans="1:26" s="23" customFormat="1" ht="17.25" customHeight="1">
      <c r="A8" s="40" t="str">
        <f>'2-Kosten per locatie'!A8</f>
        <v>Prijspeil</v>
      </c>
      <c r="B8" s="293">
        <f>'2-Kosten per locatie'!B8</f>
        <v>46388</v>
      </c>
      <c r="C8" s="50"/>
      <c r="D8" s="173"/>
      <c r="E8" s="173"/>
      <c r="F8" s="173"/>
      <c r="G8" s="173"/>
      <c r="H8" s="174"/>
    </row>
    <row r="9" spans="1:26" s="23" customFormat="1" ht="17.25" customHeight="1">
      <c r="A9" s="173"/>
      <c r="B9" s="173"/>
      <c r="C9" s="173"/>
      <c r="D9" s="173"/>
      <c r="E9" s="173"/>
      <c r="F9" s="173"/>
      <c r="G9" s="173"/>
      <c r="H9" s="174"/>
    </row>
    <row r="10" spans="1:26" s="23" customFormat="1" ht="17.25" customHeight="1">
      <c r="A10" s="173"/>
      <c r="B10" s="173"/>
      <c r="C10" s="173"/>
      <c r="D10" s="173"/>
      <c r="E10" s="173"/>
      <c r="F10" s="173"/>
      <c r="G10" s="173"/>
      <c r="H10" s="174"/>
    </row>
    <row r="11" spans="1:26" s="23" customFormat="1" ht="15.6">
      <c r="A11" s="175"/>
      <c r="B11" s="173"/>
      <c r="C11" s="173"/>
      <c r="D11" s="176"/>
      <c r="E11" s="173"/>
      <c r="F11" s="177"/>
      <c r="G11" s="176"/>
      <c r="H11" s="174"/>
    </row>
    <row r="12" spans="1:26" s="30" customFormat="1" ht="43.5" customHeight="1">
      <c r="A12" s="457" t="s">
        <v>25</v>
      </c>
      <c r="B12" s="458" t="s">
        <v>206</v>
      </c>
      <c r="C12" s="458" t="s">
        <v>210</v>
      </c>
      <c r="D12" s="453" t="s">
        <v>211</v>
      </c>
      <c r="E12" s="458" t="s">
        <v>212</v>
      </c>
      <c r="F12" s="458" t="s">
        <v>213</v>
      </c>
      <c r="G12" s="458" t="s">
        <v>214</v>
      </c>
      <c r="H12" s="458" t="s">
        <v>215</v>
      </c>
    </row>
    <row r="13" spans="1:26">
      <c r="A13" s="459" t="s">
        <v>272</v>
      </c>
      <c r="B13" s="454" t="s">
        <v>208</v>
      </c>
      <c r="C13" s="454"/>
      <c r="D13" s="460">
        <v>710</v>
      </c>
      <c r="E13" s="461">
        <f>VLOOKUP(B13,$E$3:$F$10,2,FALSE)</f>
        <v>0</v>
      </c>
      <c r="F13" s="462">
        <f>(D13*E13)</f>
        <v>0</v>
      </c>
      <c r="G13" s="463" t="s">
        <v>515</v>
      </c>
      <c r="H13" s="462">
        <f t="shared" ref="H13:H30" si="0">G13*F13</f>
        <v>0</v>
      </c>
    </row>
    <row r="14" spans="1:26">
      <c r="A14" s="459" t="s">
        <v>272</v>
      </c>
      <c r="B14" s="454" t="s">
        <v>209</v>
      </c>
      <c r="C14" s="454"/>
      <c r="D14" s="460">
        <v>710</v>
      </c>
      <c r="E14" s="461">
        <f>VLOOKUP(B14,$E$3:$F$10,2,FALSE)</f>
        <v>0</v>
      </c>
      <c r="F14" s="462">
        <f t="shared" ref="F14:F30" si="1">(D14*E14)</f>
        <v>0</v>
      </c>
      <c r="G14" s="463" t="s">
        <v>515</v>
      </c>
      <c r="H14" s="462">
        <f t="shared" si="0"/>
        <v>0</v>
      </c>
    </row>
    <row r="15" spans="1:26">
      <c r="A15" s="459" t="s">
        <v>272</v>
      </c>
      <c r="B15" s="456" t="s">
        <v>516</v>
      </c>
      <c r="C15" s="456"/>
      <c r="D15" s="460">
        <v>195</v>
      </c>
      <c r="E15" s="461">
        <f>VLOOKUP(B15,$E$3:$F$10,2,FALSE)</f>
        <v>0</v>
      </c>
      <c r="F15" s="462">
        <f t="shared" si="1"/>
        <v>0</v>
      </c>
      <c r="G15" s="463" t="s">
        <v>216</v>
      </c>
      <c r="H15" s="462">
        <f t="shared" si="0"/>
        <v>0</v>
      </c>
    </row>
    <row r="16" spans="1:26">
      <c r="A16" s="459" t="s">
        <v>272</v>
      </c>
      <c r="B16" s="454" t="s">
        <v>517</v>
      </c>
      <c r="C16" s="454"/>
      <c r="D16" s="460">
        <v>200</v>
      </c>
      <c r="E16" s="461">
        <f t="shared" ref="E16:E30" si="2">VLOOKUP(B16,$E$3:$F$10,2,FALSE)</f>
        <v>0</v>
      </c>
      <c r="F16" s="462">
        <f t="shared" si="1"/>
        <v>0</v>
      </c>
      <c r="G16" s="463" t="s">
        <v>216</v>
      </c>
      <c r="H16" s="462">
        <f t="shared" si="0"/>
        <v>0</v>
      </c>
    </row>
    <row r="17" spans="1:8">
      <c r="A17" s="459" t="s">
        <v>272</v>
      </c>
      <c r="B17" s="454" t="s">
        <v>518</v>
      </c>
      <c r="C17" s="454" t="s">
        <v>519</v>
      </c>
      <c r="D17" s="460">
        <v>4740</v>
      </c>
      <c r="E17" s="461">
        <f t="shared" si="2"/>
        <v>0</v>
      </c>
      <c r="F17" s="462">
        <f t="shared" si="1"/>
        <v>0</v>
      </c>
      <c r="G17" s="463" t="s">
        <v>515</v>
      </c>
      <c r="H17" s="462">
        <f t="shared" si="0"/>
        <v>0</v>
      </c>
    </row>
    <row r="18" spans="1:8">
      <c r="A18" s="459" t="s">
        <v>272</v>
      </c>
      <c r="B18" s="454" t="s">
        <v>217</v>
      </c>
      <c r="C18" s="454"/>
      <c r="D18" s="460"/>
      <c r="E18" s="461"/>
      <c r="F18" s="455"/>
      <c r="G18" s="463" t="s">
        <v>515</v>
      </c>
      <c r="H18" s="462">
        <f t="shared" si="0"/>
        <v>0</v>
      </c>
    </row>
    <row r="19" spans="1:8">
      <c r="A19" s="186" t="s">
        <v>270</v>
      </c>
      <c r="B19" s="456" t="s">
        <v>208</v>
      </c>
      <c r="C19" s="456"/>
      <c r="D19" s="460">
        <v>150</v>
      </c>
      <c r="E19" s="461">
        <f t="shared" si="2"/>
        <v>0</v>
      </c>
      <c r="F19" s="462">
        <f t="shared" si="1"/>
        <v>0</v>
      </c>
      <c r="G19" s="463" t="s">
        <v>216</v>
      </c>
      <c r="H19" s="462">
        <f t="shared" si="0"/>
        <v>0</v>
      </c>
    </row>
    <row r="20" spans="1:8">
      <c r="A20" s="186" t="s">
        <v>270</v>
      </c>
      <c r="B20" s="456" t="s">
        <v>209</v>
      </c>
      <c r="C20" s="456"/>
      <c r="D20" s="460">
        <v>150</v>
      </c>
      <c r="E20" s="461">
        <f t="shared" si="2"/>
        <v>0</v>
      </c>
      <c r="F20" s="462">
        <f t="shared" si="1"/>
        <v>0</v>
      </c>
      <c r="G20" s="463" t="s">
        <v>216</v>
      </c>
      <c r="H20" s="462">
        <f t="shared" si="0"/>
        <v>0</v>
      </c>
    </row>
    <row r="21" spans="1:8">
      <c r="A21" s="186" t="s">
        <v>270</v>
      </c>
      <c r="B21" s="454" t="s">
        <v>518</v>
      </c>
      <c r="C21" s="454" t="s">
        <v>519</v>
      </c>
      <c r="D21" s="460">
        <v>80</v>
      </c>
      <c r="E21" s="461">
        <f t="shared" si="2"/>
        <v>0</v>
      </c>
      <c r="F21" s="462">
        <f t="shared" si="1"/>
        <v>0</v>
      </c>
      <c r="G21" s="463" t="s">
        <v>515</v>
      </c>
      <c r="H21" s="462">
        <f t="shared" si="0"/>
        <v>0</v>
      </c>
    </row>
    <row r="22" spans="1:8">
      <c r="A22" s="186" t="s">
        <v>464</v>
      </c>
      <c r="B22" s="456" t="s">
        <v>208</v>
      </c>
      <c r="C22" s="456"/>
      <c r="D22" s="460">
        <v>139</v>
      </c>
      <c r="E22" s="461">
        <f t="shared" si="2"/>
        <v>0</v>
      </c>
      <c r="F22" s="462">
        <f t="shared" si="1"/>
        <v>0</v>
      </c>
      <c r="G22" s="463" t="s">
        <v>515</v>
      </c>
      <c r="H22" s="462">
        <f t="shared" si="0"/>
        <v>0</v>
      </c>
    </row>
    <row r="23" spans="1:8">
      <c r="A23" s="186" t="s">
        <v>464</v>
      </c>
      <c r="B23" s="456" t="s">
        <v>209</v>
      </c>
      <c r="C23" s="456"/>
      <c r="D23" s="460">
        <v>139</v>
      </c>
      <c r="E23" s="461">
        <f t="shared" si="2"/>
        <v>0</v>
      </c>
      <c r="F23" s="462">
        <f t="shared" si="1"/>
        <v>0</v>
      </c>
      <c r="G23" s="463" t="s">
        <v>515</v>
      </c>
      <c r="H23" s="462">
        <f t="shared" si="0"/>
        <v>0</v>
      </c>
    </row>
    <row r="24" spans="1:8">
      <c r="A24" s="186" t="s">
        <v>464</v>
      </c>
      <c r="B24" s="454" t="s">
        <v>518</v>
      </c>
      <c r="C24" s="454" t="s">
        <v>519</v>
      </c>
      <c r="D24" s="460">
        <v>195</v>
      </c>
      <c r="E24" s="461">
        <f t="shared" si="2"/>
        <v>0</v>
      </c>
      <c r="F24" s="462">
        <f t="shared" si="1"/>
        <v>0</v>
      </c>
      <c r="G24" s="463" t="s">
        <v>515</v>
      </c>
      <c r="H24" s="462">
        <f t="shared" si="0"/>
        <v>0</v>
      </c>
    </row>
    <row r="25" spans="1:8">
      <c r="A25" s="186" t="s">
        <v>496</v>
      </c>
      <c r="B25" s="456" t="s">
        <v>208</v>
      </c>
      <c r="C25" s="456"/>
      <c r="D25" s="460">
        <v>100</v>
      </c>
      <c r="E25" s="461">
        <f t="shared" si="2"/>
        <v>0</v>
      </c>
      <c r="F25" s="462">
        <f t="shared" si="1"/>
        <v>0</v>
      </c>
      <c r="G25" s="463" t="s">
        <v>515</v>
      </c>
      <c r="H25" s="462">
        <f t="shared" si="0"/>
        <v>0</v>
      </c>
    </row>
    <row r="26" spans="1:8">
      <c r="A26" s="186" t="s">
        <v>496</v>
      </c>
      <c r="B26" s="456" t="s">
        <v>209</v>
      </c>
      <c r="C26" s="456"/>
      <c r="D26" s="460">
        <v>100</v>
      </c>
      <c r="E26" s="461">
        <f t="shared" si="2"/>
        <v>0</v>
      </c>
      <c r="F26" s="462">
        <f t="shared" si="1"/>
        <v>0</v>
      </c>
      <c r="G26" s="463" t="s">
        <v>515</v>
      </c>
      <c r="H26" s="462">
        <f t="shared" si="0"/>
        <v>0</v>
      </c>
    </row>
    <row r="27" spans="1:8">
      <c r="A27" s="186" t="s">
        <v>496</v>
      </c>
      <c r="B27" s="454" t="s">
        <v>518</v>
      </c>
      <c r="C27" s="454" t="s">
        <v>519</v>
      </c>
      <c r="D27" s="460">
        <v>12</v>
      </c>
      <c r="E27" s="461">
        <f t="shared" si="2"/>
        <v>0</v>
      </c>
      <c r="F27" s="462">
        <f t="shared" si="1"/>
        <v>0</v>
      </c>
      <c r="G27" s="463" t="s">
        <v>515</v>
      </c>
      <c r="H27" s="462">
        <f t="shared" si="0"/>
        <v>0</v>
      </c>
    </row>
    <row r="28" spans="1:8">
      <c r="A28" s="186" t="s">
        <v>497</v>
      </c>
      <c r="B28" s="456" t="s">
        <v>208</v>
      </c>
      <c r="C28" s="454" t="s">
        <v>558</v>
      </c>
      <c r="D28" s="460">
        <v>0</v>
      </c>
      <c r="E28" s="461">
        <f t="shared" si="2"/>
        <v>0</v>
      </c>
      <c r="F28" s="462">
        <f t="shared" si="1"/>
        <v>0</v>
      </c>
      <c r="G28" s="463"/>
      <c r="H28" s="462">
        <f t="shared" si="0"/>
        <v>0</v>
      </c>
    </row>
    <row r="29" spans="1:8">
      <c r="A29" s="186" t="s">
        <v>497</v>
      </c>
      <c r="B29" s="456" t="s">
        <v>209</v>
      </c>
      <c r="C29" s="456" t="s">
        <v>558</v>
      </c>
      <c r="D29" s="460">
        <v>0</v>
      </c>
      <c r="E29" s="461">
        <f t="shared" si="2"/>
        <v>0</v>
      </c>
      <c r="F29" s="462">
        <f t="shared" si="1"/>
        <v>0</v>
      </c>
      <c r="G29" s="463"/>
      <c r="H29" s="462">
        <f t="shared" si="0"/>
        <v>0</v>
      </c>
    </row>
    <row r="30" spans="1:8">
      <c r="A30" s="186" t="s">
        <v>497</v>
      </c>
      <c r="B30" s="454" t="s">
        <v>518</v>
      </c>
      <c r="C30" s="454" t="s">
        <v>558</v>
      </c>
      <c r="D30" s="460">
        <v>0</v>
      </c>
      <c r="E30" s="461">
        <f t="shared" si="2"/>
        <v>0</v>
      </c>
      <c r="F30" s="462">
        <f t="shared" si="1"/>
        <v>0</v>
      </c>
      <c r="G30" s="463"/>
      <c r="H30" s="462">
        <f t="shared" si="0"/>
        <v>0</v>
      </c>
    </row>
    <row r="31" spans="1:8">
      <c r="B31" s="178"/>
      <c r="C31" s="178"/>
      <c r="D31" s="294"/>
      <c r="E31" s="294"/>
      <c r="F31" s="294"/>
      <c r="G31" s="294"/>
      <c r="H31" s="294"/>
    </row>
    <row r="32" spans="1:8">
      <c r="A32" s="466" t="s">
        <v>36</v>
      </c>
      <c r="B32" s="467"/>
      <c r="C32" s="468"/>
      <c r="D32" s="469">
        <f>SUM(D13:D30)</f>
        <v>7620</v>
      </c>
      <c r="E32" s="470"/>
      <c r="F32" s="471"/>
      <c r="G32" s="472"/>
      <c r="H32" s="473">
        <f>SUM(H13:H30)</f>
        <v>0</v>
      </c>
    </row>
  </sheetData>
  <autoFilter ref="A12:Z32" xr:uid="{00000000-0009-0000-0000-00000A000000}"/>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AA40"/>
  <sheetViews>
    <sheetView showGridLines="0" zoomScale="85" zoomScaleNormal="85"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46.109375" style="178" customWidth="1"/>
    <col min="2" max="2" width="23.33203125" style="179" customWidth="1"/>
    <col min="3" max="3" width="38" style="179" bestFit="1" customWidth="1"/>
    <col min="4" max="4" width="32.5546875" style="179" customWidth="1"/>
    <col min="5" max="5" width="12.109375" style="178" customWidth="1"/>
    <col min="6" max="6" width="30.6640625" style="180" customWidth="1"/>
    <col min="7" max="7" width="16.109375" style="181" customWidth="1"/>
    <col min="8" max="8" width="13.6640625" style="180" customWidth="1"/>
    <col min="9" max="9" width="15.88671875" style="180" customWidth="1"/>
    <col min="10" max="248" width="13.6640625" style="29"/>
    <col min="249" max="249" width="22.109375" style="29" customWidth="1"/>
    <col min="250" max="256" width="13.6640625" style="29" customWidth="1"/>
    <col min="257" max="257" width="15.88671875" style="29" customWidth="1"/>
    <col min="258" max="258" width="16.5546875" style="29" bestFit="1" customWidth="1"/>
    <col min="259" max="259" width="13.6640625" style="29" customWidth="1"/>
    <col min="260" max="260" width="17.109375" style="29" bestFit="1" customWidth="1"/>
    <col min="261" max="261" width="4" style="29" customWidth="1"/>
    <col min="262" max="262" width="13.6640625" style="29" customWidth="1"/>
    <col min="263" max="504" width="13.6640625" style="29"/>
    <col min="505" max="505" width="22.109375" style="29" customWidth="1"/>
    <col min="506" max="512" width="13.6640625" style="29" customWidth="1"/>
    <col min="513" max="513" width="15.88671875" style="29" customWidth="1"/>
    <col min="514" max="514" width="16.5546875" style="29" bestFit="1" customWidth="1"/>
    <col min="515" max="515" width="13.6640625" style="29" customWidth="1"/>
    <col min="516" max="516" width="17.109375" style="29" bestFit="1" customWidth="1"/>
    <col min="517" max="517" width="4" style="29" customWidth="1"/>
    <col min="518" max="518" width="13.6640625" style="29" customWidth="1"/>
    <col min="519" max="760" width="13.6640625" style="29"/>
    <col min="761" max="761" width="22.109375" style="29" customWidth="1"/>
    <col min="762" max="768" width="13.6640625" style="29" customWidth="1"/>
    <col min="769" max="769" width="15.88671875" style="29" customWidth="1"/>
    <col min="770" max="770" width="16.5546875" style="29" bestFit="1" customWidth="1"/>
    <col min="771" max="771" width="13.6640625" style="29" customWidth="1"/>
    <col min="772" max="772" width="17.109375" style="29" bestFit="1" customWidth="1"/>
    <col min="773" max="773" width="4" style="29" customWidth="1"/>
    <col min="774" max="774" width="13.6640625" style="29" customWidth="1"/>
    <col min="775" max="1016" width="13.6640625" style="29"/>
    <col min="1017" max="1017" width="22.109375" style="29" customWidth="1"/>
    <col min="1018" max="1024" width="13.6640625" style="29" customWidth="1"/>
    <col min="1025" max="1025" width="15.88671875" style="29" customWidth="1"/>
    <col min="1026" max="1026" width="16.5546875" style="29" bestFit="1" customWidth="1"/>
    <col min="1027" max="1027" width="13.6640625" style="29" customWidth="1"/>
    <col min="1028" max="1028" width="17.109375" style="29" bestFit="1" customWidth="1"/>
    <col min="1029" max="1029" width="4" style="29" customWidth="1"/>
    <col min="1030" max="1030" width="13.6640625" style="29" customWidth="1"/>
    <col min="1031" max="1272" width="13.6640625" style="29"/>
    <col min="1273" max="1273" width="22.109375" style="29" customWidth="1"/>
    <col min="1274" max="1280" width="13.6640625" style="29" customWidth="1"/>
    <col min="1281" max="1281" width="15.88671875" style="29" customWidth="1"/>
    <col min="1282" max="1282" width="16.5546875" style="29" bestFit="1" customWidth="1"/>
    <col min="1283" max="1283" width="13.6640625" style="29" customWidth="1"/>
    <col min="1284" max="1284" width="17.109375" style="29" bestFit="1" customWidth="1"/>
    <col min="1285" max="1285" width="4" style="29" customWidth="1"/>
    <col min="1286" max="1286" width="13.6640625" style="29" customWidth="1"/>
    <col min="1287" max="1528" width="13.6640625" style="29"/>
    <col min="1529" max="1529" width="22.109375" style="29" customWidth="1"/>
    <col min="1530" max="1536" width="13.6640625" style="29" customWidth="1"/>
    <col min="1537" max="1537" width="15.88671875" style="29" customWidth="1"/>
    <col min="1538" max="1538" width="16.5546875" style="29" bestFit="1" customWidth="1"/>
    <col min="1539" max="1539" width="13.6640625" style="29" customWidth="1"/>
    <col min="1540" max="1540" width="17.109375" style="29" bestFit="1" customWidth="1"/>
    <col min="1541" max="1541" width="4" style="29" customWidth="1"/>
    <col min="1542" max="1542" width="13.6640625" style="29" customWidth="1"/>
    <col min="1543" max="1784" width="13.6640625" style="29"/>
    <col min="1785" max="1785" width="22.109375" style="29" customWidth="1"/>
    <col min="1786" max="1792" width="13.6640625" style="29" customWidth="1"/>
    <col min="1793" max="1793" width="15.88671875" style="29" customWidth="1"/>
    <col min="1794" max="1794" width="16.5546875" style="29" bestFit="1" customWidth="1"/>
    <col min="1795" max="1795" width="13.6640625" style="29" customWidth="1"/>
    <col min="1796" max="1796" width="17.109375" style="29" bestFit="1" customWidth="1"/>
    <col min="1797" max="1797" width="4" style="29" customWidth="1"/>
    <col min="1798" max="1798" width="13.6640625" style="29" customWidth="1"/>
    <col min="1799" max="2040" width="13.6640625" style="29"/>
    <col min="2041" max="2041" width="22.109375" style="29" customWidth="1"/>
    <col min="2042" max="2048" width="13.6640625" style="29" customWidth="1"/>
    <col min="2049" max="2049" width="15.88671875" style="29" customWidth="1"/>
    <col min="2050" max="2050" width="16.5546875" style="29" bestFit="1" customWidth="1"/>
    <col min="2051" max="2051" width="13.6640625" style="29" customWidth="1"/>
    <col min="2052" max="2052" width="17.109375" style="29" bestFit="1" customWidth="1"/>
    <col min="2053" max="2053" width="4" style="29" customWidth="1"/>
    <col min="2054" max="2054" width="13.6640625" style="29" customWidth="1"/>
    <col min="2055" max="2296" width="13.6640625" style="29"/>
    <col min="2297" max="2297" width="22.109375" style="29" customWidth="1"/>
    <col min="2298" max="2304" width="13.6640625" style="29" customWidth="1"/>
    <col min="2305" max="2305" width="15.88671875" style="29" customWidth="1"/>
    <col min="2306" max="2306" width="16.5546875" style="29" bestFit="1" customWidth="1"/>
    <col min="2307" max="2307" width="13.6640625" style="29" customWidth="1"/>
    <col min="2308" max="2308" width="17.109375" style="29" bestFit="1" customWidth="1"/>
    <col min="2309" max="2309" width="4" style="29" customWidth="1"/>
    <col min="2310" max="2310" width="13.6640625" style="29" customWidth="1"/>
    <col min="2311" max="2552" width="13.6640625" style="29"/>
    <col min="2553" max="2553" width="22.109375" style="29" customWidth="1"/>
    <col min="2554" max="2560" width="13.6640625" style="29" customWidth="1"/>
    <col min="2561" max="2561" width="15.88671875" style="29" customWidth="1"/>
    <col min="2562" max="2562" width="16.5546875" style="29" bestFit="1" customWidth="1"/>
    <col min="2563" max="2563" width="13.6640625" style="29" customWidth="1"/>
    <col min="2564" max="2564" width="17.109375" style="29" bestFit="1" customWidth="1"/>
    <col min="2565" max="2565" width="4" style="29" customWidth="1"/>
    <col min="2566" max="2566" width="13.6640625" style="29" customWidth="1"/>
    <col min="2567" max="2808" width="13.6640625" style="29"/>
    <col min="2809" max="2809" width="22.109375" style="29" customWidth="1"/>
    <col min="2810" max="2816" width="13.6640625" style="29" customWidth="1"/>
    <col min="2817" max="2817" width="15.88671875" style="29" customWidth="1"/>
    <col min="2818" max="2818" width="16.5546875" style="29" bestFit="1" customWidth="1"/>
    <col min="2819" max="2819" width="13.6640625" style="29" customWidth="1"/>
    <col min="2820" max="2820" width="17.109375" style="29" bestFit="1" customWidth="1"/>
    <col min="2821" max="2821" width="4" style="29" customWidth="1"/>
    <col min="2822" max="2822" width="13.6640625" style="29" customWidth="1"/>
    <col min="2823" max="3064" width="13.6640625" style="29"/>
    <col min="3065" max="3065" width="22.109375" style="29" customWidth="1"/>
    <col min="3066" max="3072" width="13.6640625" style="29" customWidth="1"/>
    <col min="3073" max="3073" width="15.88671875" style="29" customWidth="1"/>
    <col min="3074" max="3074" width="16.5546875" style="29" bestFit="1" customWidth="1"/>
    <col min="3075" max="3075" width="13.6640625" style="29" customWidth="1"/>
    <col min="3076" max="3076" width="17.109375" style="29" bestFit="1" customWidth="1"/>
    <col min="3077" max="3077" width="4" style="29" customWidth="1"/>
    <col min="3078" max="3078" width="13.6640625" style="29" customWidth="1"/>
    <col min="3079" max="3320" width="13.6640625" style="29"/>
    <col min="3321" max="3321" width="22.109375" style="29" customWidth="1"/>
    <col min="3322" max="3328" width="13.6640625" style="29" customWidth="1"/>
    <col min="3329" max="3329" width="15.88671875" style="29" customWidth="1"/>
    <col min="3330" max="3330" width="16.5546875" style="29" bestFit="1" customWidth="1"/>
    <col min="3331" max="3331" width="13.6640625" style="29" customWidth="1"/>
    <col min="3332" max="3332" width="17.109375" style="29" bestFit="1" customWidth="1"/>
    <col min="3333" max="3333" width="4" style="29" customWidth="1"/>
    <col min="3334" max="3334" width="13.6640625" style="29" customWidth="1"/>
    <col min="3335" max="3576" width="13.6640625" style="29"/>
    <col min="3577" max="3577" width="22.109375" style="29" customWidth="1"/>
    <col min="3578" max="3584" width="13.6640625" style="29" customWidth="1"/>
    <col min="3585" max="3585" width="15.88671875" style="29" customWidth="1"/>
    <col min="3586" max="3586" width="16.5546875" style="29" bestFit="1" customWidth="1"/>
    <col min="3587" max="3587" width="13.6640625" style="29" customWidth="1"/>
    <col min="3588" max="3588" width="17.109375" style="29" bestFit="1" customWidth="1"/>
    <col min="3589" max="3589" width="4" style="29" customWidth="1"/>
    <col min="3590" max="3590" width="13.6640625" style="29" customWidth="1"/>
    <col min="3591" max="3832" width="13.6640625" style="29"/>
    <col min="3833" max="3833" width="22.109375" style="29" customWidth="1"/>
    <col min="3834" max="3840" width="13.6640625" style="29" customWidth="1"/>
    <col min="3841" max="3841" width="15.88671875" style="29" customWidth="1"/>
    <col min="3842" max="3842" width="16.5546875" style="29" bestFit="1" customWidth="1"/>
    <col min="3843" max="3843" width="13.6640625" style="29" customWidth="1"/>
    <col min="3844" max="3844" width="17.109375" style="29" bestFit="1" customWidth="1"/>
    <col min="3845" max="3845" width="4" style="29" customWidth="1"/>
    <col min="3846" max="3846" width="13.6640625" style="29" customWidth="1"/>
    <col min="3847" max="4088" width="13.6640625" style="29"/>
    <col min="4089" max="4089" width="22.109375" style="29" customWidth="1"/>
    <col min="4090" max="4096" width="13.6640625" style="29" customWidth="1"/>
    <col min="4097" max="4097" width="15.88671875" style="29" customWidth="1"/>
    <col min="4098" max="4098" width="16.5546875" style="29" bestFit="1" customWidth="1"/>
    <col min="4099" max="4099" width="13.6640625" style="29" customWidth="1"/>
    <col min="4100" max="4100" width="17.109375" style="29" bestFit="1" customWidth="1"/>
    <col min="4101" max="4101" width="4" style="29" customWidth="1"/>
    <col min="4102" max="4102" width="13.6640625" style="29" customWidth="1"/>
    <col min="4103" max="4344" width="13.6640625" style="29"/>
    <col min="4345" max="4345" width="22.109375" style="29" customWidth="1"/>
    <col min="4346" max="4352" width="13.6640625" style="29" customWidth="1"/>
    <col min="4353" max="4353" width="15.88671875" style="29" customWidth="1"/>
    <col min="4354" max="4354" width="16.5546875" style="29" bestFit="1" customWidth="1"/>
    <col min="4355" max="4355" width="13.6640625" style="29" customWidth="1"/>
    <col min="4356" max="4356" width="17.109375" style="29" bestFit="1" customWidth="1"/>
    <col min="4357" max="4357" width="4" style="29" customWidth="1"/>
    <col min="4358" max="4358" width="13.6640625" style="29" customWidth="1"/>
    <col min="4359" max="4600" width="13.6640625" style="29"/>
    <col min="4601" max="4601" width="22.109375" style="29" customWidth="1"/>
    <col min="4602" max="4608" width="13.6640625" style="29" customWidth="1"/>
    <col min="4609" max="4609" width="15.88671875" style="29" customWidth="1"/>
    <col min="4610" max="4610" width="16.5546875" style="29" bestFit="1" customWidth="1"/>
    <col min="4611" max="4611" width="13.6640625" style="29" customWidth="1"/>
    <col min="4612" max="4612" width="17.109375" style="29" bestFit="1" customWidth="1"/>
    <col min="4613" max="4613" width="4" style="29" customWidth="1"/>
    <col min="4614" max="4614" width="13.6640625" style="29" customWidth="1"/>
    <col min="4615" max="4856" width="13.6640625" style="29"/>
    <col min="4857" max="4857" width="22.109375" style="29" customWidth="1"/>
    <col min="4858" max="4864" width="13.6640625" style="29" customWidth="1"/>
    <col min="4865" max="4865" width="15.88671875" style="29" customWidth="1"/>
    <col min="4866" max="4866" width="16.5546875" style="29" bestFit="1" customWidth="1"/>
    <col min="4867" max="4867" width="13.6640625" style="29" customWidth="1"/>
    <col min="4868" max="4868" width="17.109375" style="29" bestFit="1" customWidth="1"/>
    <col min="4869" max="4869" width="4" style="29" customWidth="1"/>
    <col min="4870" max="4870" width="13.6640625" style="29" customWidth="1"/>
    <col min="4871" max="5112" width="13.6640625" style="29"/>
    <col min="5113" max="5113" width="22.109375" style="29" customWidth="1"/>
    <col min="5114" max="5120" width="13.6640625" style="29" customWidth="1"/>
    <col min="5121" max="5121" width="15.88671875" style="29" customWidth="1"/>
    <col min="5122" max="5122" width="16.5546875" style="29" bestFit="1" customWidth="1"/>
    <col min="5123" max="5123" width="13.6640625" style="29" customWidth="1"/>
    <col min="5124" max="5124" width="17.109375" style="29" bestFit="1" customWidth="1"/>
    <col min="5125" max="5125" width="4" style="29" customWidth="1"/>
    <col min="5126" max="5126" width="13.6640625" style="29" customWidth="1"/>
    <col min="5127" max="5368" width="13.6640625" style="29"/>
    <col min="5369" max="5369" width="22.109375" style="29" customWidth="1"/>
    <col min="5370" max="5376" width="13.6640625" style="29" customWidth="1"/>
    <col min="5377" max="5377" width="15.88671875" style="29" customWidth="1"/>
    <col min="5378" max="5378" width="16.5546875" style="29" bestFit="1" customWidth="1"/>
    <col min="5379" max="5379" width="13.6640625" style="29" customWidth="1"/>
    <col min="5380" max="5380" width="17.109375" style="29" bestFit="1" customWidth="1"/>
    <col min="5381" max="5381" width="4" style="29" customWidth="1"/>
    <col min="5382" max="5382" width="13.6640625" style="29" customWidth="1"/>
    <col min="5383" max="5624" width="13.6640625" style="29"/>
    <col min="5625" max="5625" width="22.109375" style="29" customWidth="1"/>
    <col min="5626" max="5632" width="13.6640625" style="29" customWidth="1"/>
    <col min="5633" max="5633" width="15.88671875" style="29" customWidth="1"/>
    <col min="5634" max="5634" width="16.5546875" style="29" bestFit="1" customWidth="1"/>
    <col min="5635" max="5635" width="13.6640625" style="29" customWidth="1"/>
    <col min="5636" max="5636" width="17.109375" style="29" bestFit="1" customWidth="1"/>
    <col min="5637" max="5637" width="4" style="29" customWidth="1"/>
    <col min="5638" max="5638" width="13.6640625" style="29" customWidth="1"/>
    <col min="5639" max="5880" width="13.6640625" style="29"/>
    <col min="5881" max="5881" width="22.109375" style="29" customWidth="1"/>
    <col min="5882" max="5888" width="13.6640625" style="29" customWidth="1"/>
    <col min="5889" max="5889" width="15.88671875" style="29" customWidth="1"/>
    <col min="5890" max="5890" width="16.5546875" style="29" bestFit="1" customWidth="1"/>
    <col min="5891" max="5891" width="13.6640625" style="29" customWidth="1"/>
    <col min="5892" max="5892" width="17.109375" style="29" bestFit="1" customWidth="1"/>
    <col min="5893" max="5893" width="4" style="29" customWidth="1"/>
    <col min="5894" max="5894" width="13.6640625" style="29" customWidth="1"/>
    <col min="5895" max="6136" width="13.6640625" style="29"/>
    <col min="6137" max="6137" width="22.109375" style="29" customWidth="1"/>
    <col min="6138" max="6144" width="13.6640625" style="29" customWidth="1"/>
    <col min="6145" max="6145" width="15.88671875" style="29" customWidth="1"/>
    <col min="6146" max="6146" width="16.5546875" style="29" bestFit="1" customWidth="1"/>
    <col min="6147" max="6147" width="13.6640625" style="29" customWidth="1"/>
    <col min="6148" max="6148" width="17.109375" style="29" bestFit="1" customWidth="1"/>
    <col min="6149" max="6149" width="4" style="29" customWidth="1"/>
    <col min="6150" max="6150" width="13.6640625" style="29" customWidth="1"/>
    <col min="6151" max="6392" width="13.6640625" style="29"/>
    <col min="6393" max="6393" width="22.109375" style="29" customWidth="1"/>
    <col min="6394" max="6400" width="13.6640625" style="29" customWidth="1"/>
    <col min="6401" max="6401" width="15.88671875" style="29" customWidth="1"/>
    <col min="6402" max="6402" width="16.5546875" style="29" bestFit="1" customWidth="1"/>
    <col min="6403" max="6403" width="13.6640625" style="29" customWidth="1"/>
    <col min="6404" max="6404" width="17.109375" style="29" bestFit="1" customWidth="1"/>
    <col min="6405" max="6405" width="4" style="29" customWidth="1"/>
    <col min="6406" max="6406" width="13.6640625" style="29" customWidth="1"/>
    <col min="6407" max="6648" width="13.6640625" style="29"/>
    <col min="6649" max="6649" width="22.109375" style="29" customWidth="1"/>
    <col min="6650" max="6656" width="13.6640625" style="29" customWidth="1"/>
    <col min="6657" max="6657" width="15.88671875" style="29" customWidth="1"/>
    <col min="6658" max="6658" width="16.5546875" style="29" bestFit="1" customWidth="1"/>
    <col min="6659" max="6659" width="13.6640625" style="29" customWidth="1"/>
    <col min="6660" max="6660" width="17.109375" style="29" bestFit="1" customWidth="1"/>
    <col min="6661" max="6661" width="4" style="29" customWidth="1"/>
    <col min="6662" max="6662" width="13.6640625" style="29" customWidth="1"/>
    <col min="6663" max="6904" width="13.6640625" style="29"/>
    <col min="6905" max="6905" width="22.109375" style="29" customWidth="1"/>
    <col min="6906" max="6912" width="13.6640625" style="29" customWidth="1"/>
    <col min="6913" max="6913" width="15.88671875" style="29" customWidth="1"/>
    <col min="6914" max="6914" width="16.5546875" style="29" bestFit="1" customWidth="1"/>
    <col min="6915" max="6915" width="13.6640625" style="29" customWidth="1"/>
    <col min="6916" max="6916" width="17.109375" style="29" bestFit="1" customWidth="1"/>
    <col min="6917" max="6917" width="4" style="29" customWidth="1"/>
    <col min="6918" max="6918" width="13.6640625" style="29" customWidth="1"/>
    <col min="6919" max="7160" width="13.6640625" style="29"/>
    <col min="7161" max="7161" width="22.109375" style="29" customWidth="1"/>
    <col min="7162" max="7168" width="13.6640625" style="29" customWidth="1"/>
    <col min="7169" max="7169" width="15.88671875" style="29" customWidth="1"/>
    <col min="7170" max="7170" width="16.5546875" style="29" bestFit="1" customWidth="1"/>
    <col min="7171" max="7171" width="13.6640625" style="29" customWidth="1"/>
    <col min="7172" max="7172" width="17.109375" style="29" bestFit="1" customWidth="1"/>
    <col min="7173" max="7173" width="4" style="29" customWidth="1"/>
    <col min="7174" max="7174" width="13.6640625" style="29" customWidth="1"/>
    <col min="7175" max="7416" width="13.6640625" style="29"/>
    <col min="7417" max="7417" width="22.109375" style="29" customWidth="1"/>
    <col min="7418" max="7424" width="13.6640625" style="29" customWidth="1"/>
    <col min="7425" max="7425" width="15.88671875" style="29" customWidth="1"/>
    <col min="7426" max="7426" width="16.5546875" style="29" bestFit="1" customWidth="1"/>
    <col min="7427" max="7427" width="13.6640625" style="29" customWidth="1"/>
    <col min="7428" max="7428" width="17.109375" style="29" bestFit="1" customWidth="1"/>
    <col min="7429" max="7429" width="4" style="29" customWidth="1"/>
    <col min="7430" max="7430" width="13.6640625" style="29" customWidth="1"/>
    <col min="7431" max="7672" width="13.6640625" style="29"/>
    <col min="7673" max="7673" width="22.109375" style="29" customWidth="1"/>
    <col min="7674" max="7680" width="13.6640625" style="29" customWidth="1"/>
    <col min="7681" max="7681" width="15.88671875" style="29" customWidth="1"/>
    <col min="7682" max="7682" width="16.5546875" style="29" bestFit="1" customWidth="1"/>
    <col min="7683" max="7683" width="13.6640625" style="29" customWidth="1"/>
    <col min="7684" max="7684" width="17.109375" style="29" bestFit="1" customWidth="1"/>
    <col min="7685" max="7685" width="4" style="29" customWidth="1"/>
    <col min="7686" max="7686" width="13.6640625" style="29" customWidth="1"/>
    <col min="7687" max="7928" width="13.6640625" style="29"/>
    <col min="7929" max="7929" width="22.109375" style="29" customWidth="1"/>
    <col min="7930" max="7936" width="13.6640625" style="29" customWidth="1"/>
    <col min="7937" max="7937" width="15.88671875" style="29" customWidth="1"/>
    <col min="7938" max="7938" width="16.5546875" style="29" bestFit="1" customWidth="1"/>
    <col min="7939" max="7939" width="13.6640625" style="29" customWidth="1"/>
    <col min="7940" max="7940" width="17.109375" style="29" bestFit="1" customWidth="1"/>
    <col min="7941" max="7941" width="4" style="29" customWidth="1"/>
    <col min="7942" max="7942" width="13.6640625" style="29" customWidth="1"/>
    <col min="7943" max="8184" width="13.6640625" style="29"/>
    <col min="8185" max="8185" width="22.109375" style="29" customWidth="1"/>
    <col min="8186" max="8192" width="13.6640625" style="29" customWidth="1"/>
    <col min="8193" max="8193" width="15.88671875" style="29" customWidth="1"/>
    <col min="8194" max="8194" width="16.5546875" style="29" bestFit="1" customWidth="1"/>
    <col min="8195" max="8195" width="13.6640625" style="29" customWidth="1"/>
    <col min="8196" max="8196" width="17.109375" style="29" bestFit="1" customWidth="1"/>
    <col min="8197" max="8197" width="4" style="29" customWidth="1"/>
    <col min="8198" max="8198" width="13.6640625" style="29" customWidth="1"/>
    <col min="8199" max="8440" width="13.6640625" style="29"/>
    <col min="8441" max="8441" width="22.109375" style="29" customWidth="1"/>
    <col min="8442" max="8448" width="13.6640625" style="29" customWidth="1"/>
    <col min="8449" max="8449" width="15.88671875" style="29" customWidth="1"/>
    <col min="8450" max="8450" width="16.5546875" style="29" bestFit="1" customWidth="1"/>
    <col min="8451" max="8451" width="13.6640625" style="29" customWidth="1"/>
    <col min="8452" max="8452" width="17.109375" style="29" bestFit="1" customWidth="1"/>
    <col min="8453" max="8453" width="4" style="29" customWidth="1"/>
    <col min="8454" max="8454" width="13.6640625" style="29" customWidth="1"/>
    <col min="8455" max="8696" width="13.6640625" style="29"/>
    <col min="8697" max="8697" width="22.109375" style="29" customWidth="1"/>
    <col min="8698" max="8704" width="13.6640625" style="29" customWidth="1"/>
    <col min="8705" max="8705" width="15.88671875" style="29" customWidth="1"/>
    <col min="8706" max="8706" width="16.5546875" style="29" bestFit="1" customWidth="1"/>
    <col min="8707" max="8707" width="13.6640625" style="29" customWidth="1"/>
    <col min="8708" max="8708" width="17.109375" style="29" bestFit="1" customWidth="1"/>
    <col min="8709" max="8709" width="4" style="29" customWidth="1"/>
    <col min="8710" max="8710" width="13.6640625" style="29" customWidth="1"/>
    <col min="8711" max="8952" width="13.6640625" style="29"/>
    <col min="8953" max="8953" width="22.109375" style="29" customWidth="1"/>
    <col min="8954" max="8960" width="13.6640625" style="29" customWidth="1"/>
    <col min="8961" max="8961" width="15.88671875" style="29" customWidth="1"/>
    <col min="8962" max="8962" width="16.5546875" style="29" bestFit="1" customWidth="1"/>
    <col min="8963" max="8963" width="13.6640625" style="29" customWidth="1"/>
    <col min="8964" max="8964" width="17.109375" style="29" bestFit="1" customWidth="1"/>
    <col min="8965" max="8965" width="4" style="29" customWidth="1"/>
    <col min="8966" max="8966" width="13.6640625" style="29" customWidth="1"/>
    <col min="8967" max="9208" width="13.6640625" style="29"/>
    <col min="9209" max="9209" width="22.109375" style="29" customWidth="1"/>
    <col min="9210" max="9216" width="13.6640625" style="29" customWidth="1"/>
    <col min="9217" max="9217" width="15.88671875" style="29" customWidth="1"/>
    <col min="9218" max="9218" width="16.5546875" style="29" bestFit="1" customWidth="1"/>
    <col min="9219" max="9219" width="13.6640625" style="29" customWidth="1"/>
    <col min="9220" max="9220" width="17.109375" style="29" bestFit="1" customWidth="1"/>
    <col min="9221" max="9221" width="4" style="29" customWidth="1"/>
    <col min="9222" max="9222" width="13.6640625" style="29" customWidth="1"/>
    <col min="9223" max="9464" width="13.6640625" style="29"/>
    <col min="9465" max="9465" width="22.109375" style="29" customWidth="1"/>
    <col min="9466" max="9472" width="13.6640625" style="29" customWidth="1"/>
    <col min="9473" max="9473" width="15.88671875" style="29" customWidth="1"/>
    <col min="9474" max="9474" width="16.5546875" style="29" bestFit="1" customWidth="1"/>
    <col min="9475" max="9475" width="13.6640625" style="29" customWidth="1"/>
    <col min="9476" max="9476" width="17.109375" style="29" bestFit="1" customWidth="1"/>
    <col min="9477" max="9477" width="4" style="29" customWidth="1"/>
    <col min="9478" max="9478" width="13.6640625" style="29" customWidth="1"/>
    <col min="9479" max="9720" width="13.6640625" style="29"/>
    <col min="9721" max="9721" width="22.109375" style="29" customWidth="1"/>
    <col min="9722" max="9728" width="13.6640625" style="29" customWidth="1"/>
    <col min="9729" max="9729" width="15.88671875" style="29" customWidth="1"/>
    <col min="9730" max="9730" width="16.5546875" style="29" bestFit="1" customWidth="1"/>
    <col min="9731" max="9731" width="13.6640625" style="29" customWidth="1"/>
    <col min="9732" max="9732" width="17.109375" style="29" bestFit="1" customWidth="1"/>
    <col min="9733" max="9733" width="4" style="29" customWidth="1"/>
    <col min="9734" max="9734" width="13.6640625" style="29" customWidth="1"/>
    <col min="9735" max="9976" width="13.6640625" style="29"/>
    <col min="9977" max="9977" width="22.109375" style="29" customWidth="1"/>
    <col min="9978" max="9984" width="13.6640625" style="29" customWidth="1"/>
    <col min="9985" max="9985" width="15.88671875" style="29" customWidth="1"/>
    <col min="9986" max="9986" width="16.5546875" style="29" bestFit="1" customWidth="1"/>
    <col min="9987" max="9987" width="13.6640625" style="29" customWidth="1"/>
    <col min="9988" max="9988" width="17.109375" style="29" bestFit="1" customWidth="1"/>
    <col min="9989" max="9989" width="4" style="29" customWidth="1"/>
    <col min="9990" max="9990" width="13.6640625" style="29" customWidth="1"/>
    <col min="9991" max="10232" width="13.6640625" style="29"/>
    <col min="10233" max="10233" width="22.109375" style="29" customWidth="1"/>
    <col min="10234" max="10240" width="13.6640625" style="29" customWidth="1"/>
    <col min="10241" max="10241" width="15.88671875" style="29" customWidth="1"/>
    <col min="10242" max="10242" width="16.5546875" style="29" bestFit="1" customWidth="1"/>
    <col min="10243" max="10243" width="13.6640625" style="29" customWidth="1"/>
    <col min="10244" max="10244" width="17.109375" style="29" bestFit="1" customWidth="1"/>
    <col min="10245" max="10245" width="4" style="29" customWidth="1"/>
    <col min="10246" max="10246" width="13.6640625" style="29" customWidth="1"/>
    <col min="10247" max="10488" width="13.6640625" style="29"/>
    <col min="10489" max="10489" width="22.109375" style="29" customWidth="1"/>
    <col min="10490" max="10496" width="13.6640625" style="29" customWidth="1"/>
    <col min="10497" max="10497" width="15.88671875" style="29" customWidth="1"/>
    <col min="10498" max="10498" width="16.5546875" style="29" bestFit="1" customWidth="1"/>
    <col min="10499" max="10499" width="13.6640625" style="29" customWidth="1"/>
    <col min="10500" max="10500" width="17.109375" style="29" bestFit="1" customWidth="1"/>
    <col min="10501" max="10501" width="4" style="29" customWidth="1"/>
    <col min="10502" max="10502" width="13.6640625" style="29" customWidth="1"/>
    <col min="10503" max="10744" width="13.6640625" style="29"/>
    <col min="10745" max="10745" width="22.109375" style="29" customWidth="1"/>
    <col min="10746" max="10752" width="13.6640625" style="29" customWidth="1"/>
    <col min="10753" max="10753" width="15.88671875" style="29" customWidth="1"/>
    <col min="10754" max="10754" width="16.5546875" style="29" bestFit="1" customWidth="1"/>
    <col min="10755" max="10755" width="13.6640625" style="29" customWidth="1"/>
    <col min="10756" max="10756" width="17.109375" style="29" bestFit="1" customWidth="1"/>
    <col min="10757" max="10757" width="4" style="29" customWidth="1"/>
    <col min="10758" max="10758" width="13.6640625" style="29" customWidth="1"/>
    <col min="10759" max="11000" width="13.6640625" style="29"/>
    <col min="11001" max="11001" width="22.109375" style="29" customWidth="1"/>
    <col min="11002" max="11008" width="13.6640625" style="29" customWidth="1"/>
    <col min="11009" max="11009" width="15.88671875" style="29" customWidth="1"/>
    <col min="11010" max="11010" width="16.5546875" style="29" bestFit="1" customWidth="1"/>
    <col min="11011" max="11011" width="13.6640625" style="29" customWidth="1"/>
    <col min="11012" max="11012" width="17.109375" style="29" bestFit="1" customWidth="1"/>
    <col min="11013" max="11013" width="4" style="29" customWidth="1"/>
    <col min="11014" max="11014" width="13.6640625" style="29" customWidth="1"/>
    <col min="11015" max="11256" width="13.6640625" style="29"/>
    <col min="11257" max="11257" width="22.109375" style="29" customWidth="1"/>
    <col min="11258" max="11264" width="13.6640625" style="29" customWidth="1"/>
    <col min="11265" max="11265" width="15.88671875" style="29" customWidth="1"/>
    <col min="11266" max="11266" width="16.5546875" style="29" bestFit="1" customWidth="1"/>
    <col min="11267" max="11267" width="13.6640625" style="29" customWidth="1"/>
    <col min="11268" max="11268" width="17.109375" style="29" bestFit="1" customWidth="1"/>
    <col min="11269" max="11269" width="4" style="29" customWidth="1"/>
    <col min="11270" max="11270" width="13.6640625" style="29" customWidth="1"/>
    <col min="11271" max="11512" width="13.6640625" style="29"/>
    <col min="11513" max="11513" width="22.109375" style="29" customWidth="1"/>
    <col min="11514" max="11520" width="13.6640625" style="29" customWidth="1"/>
    <col min="11521" max="11521" width="15.88671875" style="29" customWidth="1"/>
    <col min="11522" max="11522" width="16.5546875" style="29" bestFit="1" customWidth="1"/>
    <col min="11523" max="11523" width="13.6640625" style="29" customWidth="1"/>
    <col min="11524" max="11524" width="17.109375" style="29" bestFit="1" customWidth="1"/>
    <col min="11525" max="11525" width="4" style="29" customWidth="1"/>
    <col min="11526" max="11526" width="13.6640625" style="29" customWidth="1"/>
    <col min="11527" max="11768" width="13.6640625" style="29"/>
    <col min="11769" max="11769" width="22.109375" style="29" customWidth="1"/>
    <col min="11770" max="11776" width="13.6640625" style="29" customWidth="1"/>
    <col min="11777" max="11777" width="15.88671875" style="29" customWidth="1"/>
    <col min="11778" max="11778" width="16.5546875" style="29" bestFit="1" customWidth="1"/>
    <col min="11779" max="11779" width="13.6640625" style="29" customWidth="1"/>
    <col min="11780" max="11780" width="17.109375" style="29" bestFit="1" customWidth="1"/>
    <col min="11781" max="11781" width="4" style="29" customWidth="1"/>
    <col min="11782" max="11782" width="13.6640625" style="29" customWidth="1"/>
    <col min="11783" max="12024" width="13.6640625" style="29"/>
    <col min="12025" max="12025" width="22.109375" style="29" customWidth="1"/>
    <col min="12026" max="12032" width="13.6640625" style="29" customWidth="1"/>
    <col min="12033" max="12033" width="15.88671875" style="29" customWidth="1"/>
    <col min="12034" max="12034" width="16.5546875" style="29" bestFit="1" customWidth="1"/>
    <col min="12035" max="12035" width="13.6640625" style="29" customWidth="1"/>
    <col min="12036" max="12036" width="17.109375" style="29" bestFit="1" customWidth="1"/>
    <col min="12037" max="12037" width="4" style="29" customWidth="1"/>
    <col min="12038" max="12038" width="13.6640625" style="29" customWidth="1"/>
    <col min="12039" max="12280" width="13.6640625" style="29"/>
    <col min="12281" max="12281" width="22.109375" style="29" customWidth="1"/>
    <col min="12282" max="12288" width="13.6640625" style="29" customWidth="1"/>
    <col min="12289" max="12289" width="15.88671875" style="29" customWidth="1"/>
    <col min="12290" max="12290" width="16.5546875" style="29" bestFit="1" customWidth="1"/>
    <col min="12291" max="12291" width="13.6640625" style="29" customWidth="1"/>
    <col min="12292" max="12292" width="17.109375" style="29" bestFit="1" customWidth="1"/>
    <col min="12293" max="12293" width="4" style="29" customWidth="1"/>
    <col min="12294" max="12294" width="13.6640625" style="29" customWidth="1"/>
    <col min="12295" max="12536" width="13.6640625" style="29"/>
    <col min="12537" max="12537" width="22.109375" style="29" customWidth="1"/>
    <col min="12538" max="12544" width="13.6640625" style="29" customWidth="1"/>
    <col min="12545" max="12545" width="15.88671875" style="29" customWidth="1"/>
    <col min="12546" max="12546" width="16.5546875" style="29" bestFit="1" customWidth="1"/>
    <col min="12547" max="12547" width="13.6640625" style="29" customWidth="1"/>
    <col min="12548" max="12548" width="17.109375" style="29" bestFit="1" customWidth="1"/>
    <col min="12549" max="12549" width="4" style="29" customWidth="1"/>
    <col min="12550" max="12550" width="13.6640625" style="29" customWidth="1"/>
    <col min="12551" max="12792" width="13.6640625" style="29"/>
    <col min="12793" max="12793" width="22.109375" style="29" customWidth="1"/>
    <col min="12794" max="12800" width="13.6640625" style="29" customWidth="1"/>
    <col min="12801" max="12801" width="15.88671875" style="29" customWidth="1"/>
    <col min="12802" max="12802" width="16.5546875" style="29" bestFit="1" customWidth="1"/>
    <col min="12803" max="12803" width="13.6640625" style="29" customWidth="1"/>
    <col min="12804" max="12804" width="17.109375" style="29" bestFit="1" customWidth="1"/>
    <col min="12805" max="12805" width="4" style="29" customWidth="1"/>
    <col min="12806" max="12806" width="13.6640625" style="29" customWidth="1"/>
    <col min="12807" max="13048" width="13.6640625" style="29"/>
    <col min="13049" max="13049" width="22.109375" style="29" customWidth="1"/>
    <col min="13050" max="13056" width="13.6640625" style="29" customWidth="1"/>
    <col min="13057" max="13057" width="15.88671875" style="29" customWidth="1"/>
    <col min="13058" max="13058" width="16.5546875" style="29" bestFit="1" customWidth="1"/>
    <col min="13059" max="13059" width="13.6640625" style="29" customWidth="1"/>
    <col min="13060" max="13060" width="17.109375" style="29" bestFit="1" customWidth="1"/>
    <col min="13061" max="13061" width="4" style="29" customWidth="1"/>
    <col min="13062" max="13062" width="13.6640625" style="29" customWidth="1"/>
    <col min="13063" max="13304" width="13.6640625" style="29"/>
    <col min="13305" max="13305" width="22.109375" style="29" customWidth="1"/>
    <col min="13306" max="13312" width="13.6640625" style="29" customWidth="1"/>
    <col min="13313" max="13313" width="15.88671875" style="29" customWidth="1"/>
    <col min="13314" max="13314" width="16.5546875" style="29" bestFit="1" customWidth="1"/>
    <col min="13315" max="13315" width="13.6640625" style="29" customWidth="1"/>
    <col min="13316" max="13316" width="17.109375" style="29" bestFit="1" customWidth="1"/>
    <col min="13317" max="13317" width="4" style="29" customWidth="1"/>
    <col min="13318" max="13318" width="13.6640625" style="29" customWidth="1"/>
    <col min="13319" max="13560" width="13.6640625" style="29"/>
    <col min="13561" max="13561" width="22.109375" style="29" customWidth="1"/>
    <col min="13562" max="13568" width="13.6640625" style="29" customWidth="1"/>
    <col min="13569" max="13569" width="15.88671875" style="29" customWidth="1"/>
    <col min="13570" max="13570" width="16.5546875" style="29" bestFit="1" customWidth="1"/>
    <col min="13571" max="13571" width="13.6640625" style="29" customWidth="1"/>
    <col min="13572" max="13572" width="17.109375" style="29" bestFit="1" customWidth="1"/>
    <col min="13573" max="13573" width="4" style="29" customWidth="1"/>
    <col min="13574" max="13574" width="13.6640625" style="29" customWidth="1"/>
    <col min="13575" max="13816" width="13.6640625" style="29"/>
    <col min="13817" max="13817" width="22.109375" style="29" customWidth="1"/>
    <col min="13818" max="13824" width="13.6640625" style="29" customWidth="1"/>
    <col min="13825" max="13825" width="15.88671875" style="29" customWidth="1"/>
    <col min="13826" max="13826" width="16.5546875" style="29" bestFit="1" customWidth="1"/>
    <col min="13827" max="13827" width="13.6640625" style="29" customWidth="1"/>
    <col min="13828" max="13828" width="17.109375" style="29" bestFit="1" customWidth="1"/>
    <col min="13829" max="13829" width="4" style="29" customWidth="1"/>
    <col min="13830" max="13830" width="13.6640625" style="29" customWidth="1"/>
    <col min="13831" max="14072" width="13.6640625" style="29"/>
    <col min="14073" max="14073" width="22.109375" style="29" customWidth="1"/>
    <col min="14074" max="14080" width="13.6640625" style="29" customWidth="1"/>
    <col min="14081" max="14081" width="15.88671875" style="29" customWidth="1"/>
    <col min="14082" max="14082" width="16.5546875" style="29" bestFit="1" customWidth="1"/>
    <col min="14083" max="14083" width="13.6640625" style="29" customWidth="1"/>
    <col min="14084" max="14084" width="17.109375" style="29" bestFit="1" customWidth="1"/>
    <col min="14085" max="14085" width="4" style="29" customWidth="1"/>
    <col min="14086" max="14086" width="13.6640625" style="29" customWidth="1"/>
    <col min="14087" max="14328" width="13.6640625" style="29"/>
    <col min="14329" max="14329" width="22.109375" style="29" customWidth="1"/>
    <col min="14330" max="14336" width="13.6640625" style="29" customWidth="1"/>
    <col min="14337" max="14337" width="15.88671875" style="29" customWidth="1"/>
    <col min="14338" max="14338" width="16.5546875" style="29" bestFit="1" customWidth="1"/>
    <col min="14339" max="14339" width="13.6640625" style="29" customWidth="1"/>
    <col min="14340" max="14340" width="17.109375" style="29" bestFit="1" customWidth="1"/>
    <col min="14341" max="14341" width="4" style="29" customWidth="1"/>
    <col min="14342" max="14342" width="13.6640625" style="29" customWidth="1"/>
    <col min="14343" max="14584" width="13.6640625" style="29"/>
    <col min="14585" max="14585" width="22.109375" style="29" customWidth="1"/>
    <col min="14586" max="14592" width="13.6640625" style="29" customWidth="1"/>
    <col min="14593" max="14593" width="15.88671875" style="29" customWidth="1"/>
    <col min="14594" max="14594" width="16.5546875" style="29" bestFit="1" customWidth="1"/>
    <col min="14595" max="14595" width="13.6640625" style="29" customWidth="1"/>
    <col min="14596" max="14596" width="17.109375" style="29" bestFit="1" customWidth="1"/>
    <col min="14597" max="14597" width="4" style="29" customWidth="1"/>
    <col min="14598" max="14598" width="13.6640625" style="29" customWidth="1"/>
    <col min="14599" max="14840" width="13.6640625" style="29"/>
    <col min="14841" max="14841" width="22.109375" style="29" customWidth="1"/>
    <col min="14842" max="14848" width="13.6640625" style="29" customWidth="1"/>
    <col min="14849" max="14849" width="15.88671875" style="29" customWidth="1"/>
    <col min="14850" max="14850" width="16.5546875" style="29" bestFit="1" customWidth="1"/>
    <col min="14851" max="14851" width="13.6640625" style="29" customWidth="1"/>
    <col min="14852" max="14852" width="17.109375" style="29" bestFit="1" customWidth="1"/>
    <col min="14853" max="14853" width="4" style="29" customWidth="1"/>
    <col min="14854" max="14854" width="13.6640625" style="29" customWidth="1"/>
    <col min="14855" max="15096" width="13.6640625" style="29"/>
    <col min="15097" max="15097" width="22.109375" style="29" customWidth="1"/>
    <col min="15098" max="15104" width="13.6640625" style="29" customWidth="1"/>
    <col min="15105" max="15105" width="15.88671875" style="29" customWidth="1"/>
    <col min="15106" max="15106" width="16.5546875" style="29" bestFit="1" customWidth="1"/>
    <col min="15107" max="15107" width="13.6640625" style="29" customWidth="1"/>
    <col min="15108" max="15108" width="17.109375" style="29" bestFit="1" customWidth="1"/>
    <col min="15109" max="15109" width="4" style="29" customWidth="1"/>
    <col min="15110" max="15110" width="13.6640625" style="29" customWidth="1"/>
    <col min="15111" max="15352" width="13.6640625" style="29"/>
    <col min="15353" max="15353" width="22.109375" style="29" customWidth="1"/>
    <col min="15354" max="15360" width="13.6640625" style="29" customWidth="1"/>
    <col min="15361" max="15361" width="15.88671875" style="29" customWidth="1"/>
    <col min="15362" max="15362" width="16.5546875" style="29" bestFit="1" customWidth="1"/>
    <col min="15363" max="15363" width="13.6640625" style="29" customWidth="1"/>
    <col min="15364" max="15364" width="17.109375" style="29" bestFit="1" customWidth="1"/>
    <col min="15365" max="15365" width="4" style="29" customWidth="1"/>
    <col min="15366" max="15366" width="13.6640625" style="29" customWidth="1"/>
    <col min="15367" max="15608" width="13.6640625" style="29"/>
    <col min="15609" max="15609" width="22.109375" style="29" customWidth="1"/>
    <col min="15610" max="15616" width="13.6640625" style="29" customWidth="1"/>
    <col min="15617" max="15617" width="15.88671875" style="29" customWidth="1"/>
    <col min="15618" max="15618" width="16.5546875" style="29" bestFit="1" customWidth="1"/>
    <col min="15619" max="15619" width="13.6640625" style="29" customWidth="1"/>
    <col min="15620" max="15620" width="17.109375" style="29" bestFit="1" customWidth="1"/>
    <col min="15621" max="15621" width="4" style="29" customWidth="1"/>
    <col min="15622" max="15622" width="13.6640625" style="29" customWidth="1"/>
    <col min="15623" max="15864" width="13.6640625" style="29"/>
    <col min="15865" max="15865" width="22.109375" style="29" customWidth="1"/>
    <col min="15866" max="15872" width="13.6640625" style="29" customWidth="1"/>
    <col min="15873" max="15873" width="15.88671875" style="29" customWidth="1"/>
    <col min="15874" max="15874" width="16.5546875" style="29" bestFit="1" customWidth="1"/>
    <col min="15875" max="15875" width="13.6640625" style="29" customWidth="1"/>
    <col min="15876" max="15876" width="17.109375" style="29" bestFit="1" customWidth="1"/>
    <col min="15877" max="15877" width="4" style="29" customWidth="1"/>
    <col min="15878" max="15878" width="13.6640625" style="29" customWidth="1"/>
    <col min="15879" max="16120" width="13.6640625" style="29"/>
    <col min="16121" max="16121" width="22.109375" style="29" customWidth="1"/>
    <col min="16122" max="16128" width="13.6640625" style="29" customWidth="1"/>
    <col min="16129" max="16129" width="15.88671875" style="29" customWidth="1"/>
    <col min="16130" max="16130" width="16.5546875" style="29" bestFit="1" customWidth="1"/>
    <col min="16131" max="16131" width="13.6640625" style="29" customWidth="1"/>
    <col min="16132" max="16132" width="17.109375" style="29" bestFit="1" customWidth="1"/>
    <col min="16133" max="16133" width="4" style="29" customWidth="1"/>
    <col min="16134" max="16134" width="13.6640625" style="29" customWidth="1"/>
    <col min="16135" max="16384" width="13.6640625" style="29"/>
  </cols>
  <sheetData>
    <row r="1" spans="1:27" s="23" customFormat="1">
      <c r="A1" s="485" t="s">
        <v>5</v>
      </c>
      <c r="B1" s="171"/>
      <c r="C1" s="171"/>
      <c r="D1" s="171"/>
      <c r="E1" s="96"/>
      <c r="F1" s="96"/>
      <c r="G1" s="172"/>
      <c r="H1" s="96"/>
      <c r="I1" s="96"/>
    </row>
    <row r="2" spans="1:27" s="23" customFormat="1" ht="48.6">
      <c r="A2" s="96"/>
      <c r="B2" s="171"/>
      <c r="C2" s="171"/>
      <c r="D2" s="171"/>
      <c r="E2" s="173"/>
      <c r="F2" s="453" t="s">
        <v>218</v>
      </c>
      <c r="G2" s="453" t="s">
        <v>219</v>
      </c>
      <c r="H2" s="173"/>
      <c r="I2" s="96"/>
    </row>
    <row r="3" spans="1:27" s="23" customFormat="1" ht="15.6">
      <c r="A3" s="40" t="str">
        <f>'2-Kosten per locatie'!A3</f>
        <v>Naam opdrachtgever</v>
      </c>
      <c r="B3" s="154" t="str">
        <f>'2-Kosten per locatie'!B3</f>
        <v>Gemeente Barneveld</v>
      </c>
      <c r="C3" s="154"/>
      <c r="D3" s="154"/>
      <c r="E3" s="173"/>
      <c r="F3" s="454" t="s">
        <v>220</v>
      </c>
      <c r="G3" s="455"/>
      <c r="H3" s="173"/>
      <c r="I3" s="500" t="s">
        <v>95</v>
      </c>
    </row>
    <row r="4" spans="1:27" s="23" customFormat="1" ht="15.6">
      <c r="A4" s="40" t="str">
        <f>'2-Kosten per locatie'!A4</f>
        <v>Calculatie onderdeel</v>
      </c>
      <c r="B4" s="154" t="str">
        <f ca="1">MID(CELL("bestandsnaam",$D$9),SEARCH("]",CELL("bestandsnaam",$D$9),1)+1,256)</f>
        <v>11-Vloeronderhoud</v>
      </c>
      <c r="C4" s="154"/>
      <c r="D4" s="154"/>
      <c r="E4" s="173"/>
      <c r="F4" s="454" t="s">
        <v>221</v>
      </c>
      <c r="G4" s="455"/>
      <c r="H4" s="173"/>
      <c r="I4" s="500" t="s">
        <v>96</v>
      </c>
    </row>
    <row r="5" spans="1:27" s="23" customFormat="1" ht="15.6">
      <c r="A5" s="40" t="str">
        <f>'2-Kosten per locatie'!A5</f>
        <v>Gebouw/plaats</v>
      </c>
      <c r="B5" s="154" t="str">
        <f>'2-Kosten per locatie'!B5</f>
        <v>Divers</v>
      </c>
      <c r="C5" s="154"/>
      <c r="D5" s="154"/>
      <c r="E5" s="173"/>
      <c r="F5" s="456" t="s">
        <v>222</v>
      </c>
      <c r="G5" s="455"/>
      <c r="H5" s="173"/>
      <c r="I5" s="500" t="s">
        <v>99</v>
      </c>
      <c r="K5" s="25"/>
      <c r="L5" s="24"/>
      <c r="M5" s="25"/>
      <c r="N5" s="25"/>
      <c r="O5" s="24"/>
      <c r="P5" s="26"/>
      <c r="Q5" s="25"/>
      <c r="R5" s="24"/>
      <c r="S5" s="25"/>
      <c r="T5" s="25"/>
      <c r="U5" s="24"/>
      <c r="V5" s="25"/>
      <c r="W5" s="25"/>
      <c r="X5" s="24"/>
      <c r="Y5" s="25"/>
      <c r="Z5" s="25"/>
      <c r="AA5" s="24"/>
    </row>
    <row r="6" spans="1:27" s="23" customFormat="1" ht="17.25" customHeight="1">
      <c r="A6" s="40" t="str">
        <f>'2-Kosten per locatie'!A6</f>
        <v>Referentie nummer</v>
      </c>
      <c r="B6" s="154">
        <f>'2-Kosten per locatie'!B6</f>
        <v>0</v>
      </c>
      <c r="C6" s="154"/>
      <c r="D6" s="154"/>
      <c r="E6" s="173"/>
      <c r="F6" s="186" t="s">
        <v>529</v>
      </c>
      <c r="G6" s="455"/>
      <c r="H6" s="173"/>
      <c r="I6" s="500" t="s">
        <v>98</v>
      </c>
      <c r="K6" s="27"/>
      <c r="L6" s="28"/>
      <c r="M6" s="25"/>
      <c r="N6" s="27"/>
      <c r="O6" s="28"/>
      <c r="P6" s="26"/>
      <c r="Q6" s="27"/>
      <c r="R6" s="28"/>
      <c r="S6" s="25"/>
      <c r="T6" s="27"/>
      <c r="U6" s="28"/>
      <c r="V6" s="25"/>
      <c r="W6" s="27"/>
      <c r="X6" s="28"/>
      <c r="Y6" s="25"/>
      <c r="Z6" s="27"/>
      <c r="AA6" s="28"/>
    </row>
    <row r="7" spans="1:27" s="23" customFormat="1" ht="17.25" customHeight="1">
      <c r="A7" s="40" t="str">
        <f>'2-Kosten per locatie'!A7</f>
        <v>Naam dienstverlener</v>
      </c>
      <c r="B7" s="154">
        <f>'2-Kosten per locatie'!B7</f>
        <v>0</v>
      </c>
      <c r="C7" s="154"/>
      <c r="D7" s="118"/>
      <c r="E7" s="173"/>
      <c r="F7" s="173"/>
      <c r="G7" s="173"/>
      <c r="H7" s="173"/>
      <c r="I7" s="174"/>
    </row>
    <row r="8" spans="1:27" s="23" customFormat="1" ht="17.25" customHeight="1">
      <c r="A8" s="40" t="str">
        <f>'2-Kosten per locatie'!A8</f>
        <v>Prijspeil</v>
      </c>
      <c r="B8" s="293">
        <f>'2-Kosten per locatie'!B8</f>
        <v>46388</v>
      </c>
      <c r="C8" s="293"/>
      <c r="D8" s="50"/>
      <c r="E8" s="173"/>
      <c r="F8" s="173"/>
      <c r="G8" s="173"/>
      <c r="H8" s="173"/>
      <c r="I8" s="174"/>
    </row>
    <row r="9" spans="1:27" s="23" customFormat="1" ht="17.25" customHeight="1">
      <c r="A9" s="173"/>
      <c r="B9" s="173"/>
      <c r="C9" s="173"/>
      <c r="D9" s="173"/>
      <c r="E9" s="173"/>
      <c r="F9" s="173"/>
      <c r="G9" s="173"/>
      <c r="H9" s="173"/>
      <c r="I9" s="174"/>
    </row>
    <row r="10" spans="1:27" s="23" customFormat="1" ht="17.25" customHeight="1">
      <c r="A10" s="173"/>
      <c r="B10" s="173"/>
      <c r="C10" s="173"/>
      <c r="D10" s="173"/>
      <c r="E10" s="173"/>
      <c r="F10" s="173"/>
      <c r="G10" s="173"/>
      <c r="H10" s="173"/>
      <c r="I10" s="174"/>
    </row>
    <row r="11" spans="1:27" s="23" customFormat="1" ht="15.6">
      <c r="A11" s="175"/>
      <c r="B11" s="173"/>
      <c r="C11" s="173"/>
      <c r="D11" s="173"/>
      <c r="E11" s="176"/>
      <c r="F11" s="173"/>
      <c r="G11" s="177"/>
      <c r="H11" s="176"/>
      <c r="I11" s="174"/>
    </row>
    <row r="12" spans="1:27" s="30" customFormat="1" ht="43.5" customHeight="1">
      <c r="A12" s="457" t="s">
        <v>25</v>
      </c>
      <c r="B12" s="458" t="s">
        <v>223</v>
      </c>
      <c r="C12" s="458" t="s">
        <v>83</v>
      </c>
      <c r="D12" s="458" t="s">
        <v>218</v>
      </c>
      <c r="E12" s="453" t="s">
        <v>211</v>
      </c>
      <c r="F12" s="458" t="s">
        <v>212</v>
      </c>
      <c r="G12" s="458" t="s">
        <v>213</v>
      </c>
      <c r="H12" s="458" t="s">
        <v>214</v>
      </c>
      <c r="I12" s="458" t="s">
        <v>215</v>
      </c>
    </row>
    <row r="13" spans="1:27">
      <c r="A13" s="186" t="s">
        <v>272</v>
      </c>
      <c r="B13" s="454" t="s">
        <v>95</v>
      </c>
      <c r="C13" s="454" t="s">
        <v>95</v>
      </c>
      <c r="D13" s="454" t="s">
        <v>220</v>
      </c>
      <c r="E13" s="460">
        <f>IF(C13="Linoleum",SUMIFS('4-Basis ruimtestaat'!J:J,'4-Basis ruimtestaat'!B:B,'11-Vloeronderhoud'!A13,'4-Basis ruimtestaat'!I:I,"Linoleum"),IF(C13="Harde vloer zonder waslaag (sanitair)",SUMIFS('4-Basis ruimtestaat'!J:J,'4-Basis ruimtestaat'!B:B,'11-Vloeronderhoud'!A13,'4-Basis ruimtestaat'!I:I,"harde vloer zonder waslaag (sanitair)"),IF(C13="harde vloer zonder waslaag (overig)",SUMIFS('4-Basis ruimtestaat'!J:J,'4-Basis ruimtestaat'!B:B,'11-Vloeronderhoud'!A13,'4-Basis ruimtestaat'!I:I,"harde vloer zonder waslaag (overig)"),IF(C13="zachte vloer",SUMIFS('4-Basis ruimtestaat'!J:J,'4-Basis ruimtestaat'!B:B,'11-Vloeronderhoud'!A13,'4-Basis ruimtestaat'!I:I,"zachte vloer"),0))))</f>
        <v>214.34</v>
      </c>
      <c r="F13" s="461">
        <f t="shared" ref="F13:F15" si="0">VLOOKUP(D13,$F$3:$G$10,2,FALSE)</f>
        <v>0</v>
      </c>
      <c r="G13" s="462">
        <f t="shared" ref="G13:G15" si="1">(E13*F13)</f>
        <v>0</v>
      </c>
      <c r="H13" s="565">
        <v>1</v>
      </c>
      <c r="I13" s="462">
        <f>H13*G13</f>
        <v>0</v>
      </c>
    </row>
    <row r="14" spans="1:27">
      <c r="A14" s="186" t="s">
        <v>464</v>
      </c>
      <c r="B14" s="454" t="s">
        <v>95</v>
      </c>
      <c r="C14" s="454" t="s">
        <v>95</v>
      </c>
      <c r="D14" s="454" t="s">
        <v>220</v>
      </c>
      <c r="E14" s="460">
        <f>IF(C14="Linoleum",SUMIFS('4-Basis ruimtestaat'!J:J,'4-Basis ruimtestaat'!B:B,'11-Vloeronderhoud'!A14,'4-Basis ruimtestaat'!I:I,"Linoleum"),IF(C14="Harde vloer zonder waslaag (sanitair)",SUMIFS('4-Basis ruimtestaat'!J:J,'4-Basis ruimtestaat'!B:B,'11-Vloeronderhoud'!A14,'4-Basis ruimtestaat'!I:I,"harde vloer zonder waslaag (sanitair)"),IF(C14="harde vloer zonder waslaag (overig)",SUMIFS('4-Basis ruimtestaat'!J:J,'4-Basis ruimtestaat'!B:B,'11-Vloeronderhoud'!A14,'4-Basis ruimtestaat'!I:I,"harde vloer zonder waslaag (overig)"),IF(C14="zachte vloer",SUMIFS('4-Basis ruimtestaat'!J:J,'4-Basis ruimtestaat'!B:B,'11-Vloeronderhoud'!A14,'4-Basis ruimtestaat'!I:I,"zachte vloer"),0))))</f>
        <v>132.35000000000002</v>
      </c>
      <c r="F14" s="461">
        <f t="shared" si="0"/>
        <v>0</v>
      </c>
      <c r="G14" s="462">
        <f t="shared" si="1"/>
        <v>0</v>
      </c>
      <c r="H14" s="565">
        <v>1</v>
      </c>
      <c r="I14" s="462">
        <f t="shared" ref="I14:I34" si="2">H14*G14</f>
        <v>0</v>
      </c>
    </row>
    <row r="15" spans="1:27">
      <c r="A15" s="186" t="s">
        <v>496</v>
      </c>
      <c r="B15" s="454" t="s">
        <v>95</v>
      </c>
      <c r="C15" s="454" t="s">
        <v>95</v>
      </c>
      <c r="D15" s="454" t="s">
        <v>220</v>
      </c>
      <c r="E15" s="460">
        <f>IF(C15="Linoleum",SUMIFS('4-Basis ruimtestaat'!J:J,'4-Basis ruimtestaat'!B:B,'11-Vloeronderhoud'!A15,'4-Basis ruimtestaat'!I:I,"Linoleum"),IF(C15="Harde vloer zonder waslaag (sanitair)",SUMIFS('4-Basis ruimtestaat'!J:J,'4-Basis ruimtestaat'!B:B,'11-Vloeronderhoud'!A15,'4-Basis ruimtestaat'!I:I,"harde vloer zonder waslaag (sanitair)"),IF(C15="harde vloer zonder waslaag (overig)",SUMIFS('4-Basis ruimtestaat'!J:J,'4-Basis ruimtestaat'!B:B,'11-Vloeronderhoud'!A15,'4-Basis ruimtestaat'!I:I,"harde vloer zonder waslaag (overig)"),IF(C15="zachte vloer",SUMIFS('4-Basis ruimtestaat'!J:J,'4-Basis ruimtestaat'!B:B,'11-Vloeronderhoud'!A15,'4-Basis ruimtestaat'!I:I,"zachte vloer"),0))))</f>
        <v>41.1</v>
      </c>
      <c r="F15" s="461">
        <f t="shared" si="0"/>
        <v>0</v>
      </c>
      <c r="G15" s="462">
        <f t="shared" si="1"/>
        <v>0</v>
      </c>
      <c r="H15" s="565">
        <v>1</v>
      </c>
      <c r="I15" s="462">
        <f t="shared" si="2"/>
        <v>0</v>
      </c>
    </row>
    <row r="16" spans="1:27">
      <c r="A16" s="186" t="s">
        <v>498</v>
      </c>
      <c r="B16" s="454" t="s">
        <v>95</v>
      </c>
      <c r="C16" s="454" t="s">
        <v>95</v>
      </c>
      <c r="D16" s="454" t="s">
        <v>220</v>
      </c>
      <c r="E16" s="460">
        <f>IF(C16="Linoleum",SUMIFS('4-Basis ruimtestaat'!J:J,'4-Basis ruimtestaat'!B:B,'11-Vloeronderhoud'!A16,'4-Basis ruimtestaat'!I:I,"Linoleum"),IF(C16="Harde vloer zonder waslaag (sanitair)",SUMIFS('4-Basis ruimtestaat'!J:J,'4-Basis ruimtestaat'!B:B,'11-Vloeronderhoud'!A16,'4-Basis ruimtestaat'!I:I,"harde vloer zonder waslaag (sanitair)"),IF(C16="harde vloer zonder waslaag (overig)",SUMIFS('4-Basis ruimtestaat'!J:J,'4-Basis ruimtestaat'!B:B,'11-Vloeronderhoud'!A16,'4-Basis ruimtestaat'!I:I,"harde vloer zonder waslaag (overig)"),IF(C16="zachte vloer",SUMIFS('4-Basis ruimtestaat'!J:J,'4-Basis ruimtestaat'!B:B,'11-Vloeronderhoud'!A16,'4-Basis ruimtestaat'!I:I,"zachte vloer"),0))))</f>
        <v>108</v>
      </c>
      <c r="F16" s="461">
        <f t="shared" ref="F16:F20" si="3">VLOOKUP(D16,$F$3:$G$10,2,FALSE)</f>
        <v>0</v>
      </c>
      <c r="G16" s="462">
        <f t="shared" ref="G16:G20" si="4">(E16*F16)</f>
        <v>0</v>
      </c>
      <c r="H16" s="565">
        <v>1</v>
      </c>
      <c r="I16" s="462">
        <f t="shared" si="2"/>
        <v>0</v>
      </c>
    </row>
    <row r="17" spans="1:9">
      <c r="A17" s="186" t="s">
        <v>272</v>
      </c>
      <c r="B17" s="454" t="s">
        <v>95</v>
      </c>
      <c r="C17" s="454" t="s">
        <v>95</v>
      </c>
      <c r="D17" s="454" t="s">
        <v>221</v>
      </c>
      <c r="E17" s="460">
        <f>IF(C17="Linoleum",SUMIFS('4-Basis ruimtestaat'!J:J,'4-Basis ruimtestaat'!B:B,'11-Vloeronderhoud'!A17,'4-Basis ruimtestaat'!I:I,"Linoleum"),IF(C17="Harde vloer zonder waslaag (sanitair)",SUMIFS('4-Basis ruimtestaat'!J:J,'4-Basis ruimtestaat'!B:B,'11-Vloeronderhoud'!A17,'4-Basis ruimtestaat'!I:I,"harde vloer zonder waslaag (sanitair)"),IF(C17="harde vloer zonder waslaag (overig)",SUMIFS('4-Basis ruimtestaat'!J:J,'4-Basis ruimtestaat'!B:B,'11-Vloeronderhoud'!A17,'4-Basis ruimtestaat'!I:I,"harde vloer zonder waslaag (overig)"),IF(C17="zachte vloer",SUMIFS('4-Basis ruimtestaat'!J:J,'4-Basis ruimtestaat'!B:B,'11-Vloeronderhoud'!A17,'4-Basis ruimtestaat'!I:I,"zachte vloer"),0))))</f>
        <v>214.34</v>
      </c>
      <c r="F17" s="461">
        <f t="shared" si="3"/>
        <v>0</v>
      </c>
      <c r="G17" s="462">
        <f t="shared" si="4"/>
        <v>0</v>
      </c>
      <c r="H17" s="565">
        <v>1</v>
      </c>
      <c r="I17" s="462">
        <f t="shared" si="2"/>
        <v>0</v>
      </c>
    </row>
    <row r="18" spans="1:9">
      <c r="A18" s="186" t="s">
        <v>464</v>
      </c>
      <c r="B18" s="454" t="s">
        <v>95</v>
      </c>
      <c r="C18" s="454" t="s">
        <v>95</v>
      </c>
      <c r="D18" s="454" t="s">
        <v>221</v>
      </c>
      <c r="E18" s="460">
        <f>IF(C18="Linoleum",SUMIFS('4-Basis ruimtestaat'!J:J,'4-Basis ruimtestaat'!B:B,'11-Vloeronderhoud'!A18,'4-Basis ruimtestaat'!I:I,"Linoleum"),IF(C18="Harde vloer zonder waslaag (sanitair)",SUMIFS('4-Basis ruimtestaat'!J:J,'4-Basis ruimtestaat'!B:B,'11-Vloeronderhoud'!A18,'4-Basis ruimtestaat'!I:I,"harde vloer zonder waslaag (sanitair)"),IF(C18="harde vloer zonder waslaag (overig)",SUMIFS('4-Basis ruimtestaat'!J:J,'4-Basis ruimtestaat'!B:B,'11-Vloeronderhoud'!A18,'4-Basis ruimtestaat'!I:I,"harde vloer zonder waslaag (overig)"),IF(C18="zachte vloer",SUMIFS('4-Basis ruimtestaat'!J:J,'4-Basis ruimtestaat'!B:B,'11-Vloeronderhoud'!A18,'4-Basis ruimtestaat'!I:I,"zachte vloer"),0))))</f>
        <v>132.35000000000002</v>
      </c>
      <c r="F18" s="461">
        <f t="shared" si="3"/>
        <v>0</v>
      </c>
      <c r="G18" s="462">
        <f t="shared" si="4"/>
        <v>0</v>
      </c>
      <c r="H18" s="565">
        <v>1</v>
      </c>
      <c r="I18" s="462">
        <f t="shared" si="2"/>
        <v>0</v>
      </c>
    </row>
    <row r="19" spans="1:9">
      <c r="A19" s="186" t="s">
        <v>496</v>
      </c>
      <c r="B19" s="454" t="s">
        <v>95</v>
      </c>
      <c r="C19" s="454" t="s">
        <v>95</v>
      </c>
      <c r="D19" s="454" t="s">
        <v>221</v>
      </c>
      <c r="E19" s="460">
        <f>IF(C19="Linoleum",SUMIFS('4-Basis ruimtestaat'!J:J,'4-Basis ruimtestaat'!B:B,'11-Vloeronderhoud'!A19,'4-Basis ruimtestaat'!I:I,"Linoleum"),IF(C19="Harde vloer zonder waslaag (sanitair)",SUMIFS('4-Basis ruimtestaat'!J:J,'4-Basis ruimtestaat'!B:B,'11-Vloeronderhoud'!A19,'4-Basis ruimtestaat'!I:I,"harde vloer zonder waslaag (sanitair)"),IF(C19="harde vloer zonder waslaag (overig)",SUMIFS('4-Basis ruimtestaat'!J:J,'4-Basis ruimtestaat'!B:B,'11-Vloeronderhoud'!A19,'4-Basis ruimtestaat'!I:I,"harde vloer zonder waslaag (overig)"),IF(C19="zachte vloer",SUMIFS('4-Basis ruimtestaat'!J:J,'4-Basis ruimtestaat'!B:B,'11-Vloeronderhoud'!A19,'4-Basis ruimtestaat'!I:I,"zachte vloer"),0))))</f>
        <v>41.1</v>
      </c>
      <c r="F19" s="461">
        <f t="shared" si="3"/>
        <v>0</v>
      </c>
      <c r="G19" s="462">
        <f t="shared" si="4"/>
        <v>0</v>
      </c>
      <c r="H19" s="565">
        <v>1</v>
      </c>
      <c r="I19" s="462">
        <f t="shared" si="2"/>
        <v>0</v>
      </c>
    </row>
    <row r="20" spans="1:9">
      <c r="A20" s="186" t="s">
        <v>498</v>
      </c>
      <c r="B20" s="454" t="s">
        <v>95</v>
      </c>
      <c r="C20" s="454" t="s">
        <v>95</v>
      </c>
      <c r="D20" s="454" t="s">
        <v>221</v>
      </c>
      <c r="E20" s="460">
        <f>IF(C20="Linoleum",SUMIFS('4-Basis ruimtestaat'!J:J,'4-Basis ruimtestaat'!B:B,'11-Vloeronderhoud'!A20,'4-Basis ruimtestaat'!I:I,"Linoleum"),IF(C20="Harde vloer zonder waslaag (sanitair)",SUMIFS('4-Basis ruimtestaat'!J:J,'4-Basis ruimtestaat'!B:B,'11-Vloeronderhoud'!A20,'4-Basis ruimtestaat'!I:I,"harde vloer zonder waslaag (sanitair)"),IF(C20="harde vloer zonder waslaag (overig)",SUMIFS('4-Basis ruimtestaat'!J:J,'4-Basis ruimtestaat'!B:B,'11-Vloeronderhoud'!A20,'4-Basis ruimtestaat'!I:I,"harde vloer zonder waslaag (overig)"),IF(C20="zachte vloer",SUMIFS('4-Basis ruimtestaat'!J:J,'4-Basis ruimtestaat'!B:B,'11-Vloeronderhoud'!A20,'4-Basis ruimtestaat'!I:I,"zachte vloer"),0))))</f>
        <v>108</v>
      </c>
      <c r="F20" s="461">
        <f t="shared" si="3"/>
        <v>0</v>
      </c>
      <c r="G20" s="462">
        <f t="shared" si="4"/>
        <v>0</v>
      </c>
      <c r="H20" s="565">
        <v>1</v>
      </c>
      <c r="I20" s="462">
        <f t="shared" si="2"/>
        <v>0</v>
      </c>
    </row>
    <row r="21" spans="1:9">
      <c r="A21" s="186" t="s">
        <v>272</v>
      </c>
      <c r="B21" s="456" t="s">
        <v>506</v>
      </c>
      <c r="C21" s="454" t="s">
        <v>96</v>
      </c>
      <c r="D21" s="454" t="s">
        <v>222</v>
      </c>
      <c r="E21" s="460">
        <f>IF(C21="Linoleum",SUMIFS('4-Basis ruimtestaat'!J:J,'4-Basis ruimtestaat'!B:B,'11-Vloeronderhoud'!A21,'4-Basis ruimtestaat'!I:I,"Linoleum"),IF(C21="Harde vloer zonder waslaag (sanitair)",SUMIFS('4-Basis ruimtestaat'!J:J,'4-Basis ruimtestaat'!B:B,'11-Vloeronderhoud'!A21,'4-Basis ruimtestaat'!I:I,"harde vloer zonder waslaag (sanitair)"),IF(C21="harde vloer zonder waslaag (overig)",SUMIFS('4-Basis ruimtestaat'!J:J,'4-Basis ruimtestaat'!B:B,'11-Vloeronderhoud'!A21,'4-Basis ruimtestaat'!I:I,"harde vloer zonder waslaag (overig)"),IF(C21="zachte vloer",SUMIFS('4-Basis ruimtestaat'!J:J,'4-Basis ruimtestaat'!B:B,'11-Vloeronderhoud'!A21,'4-Basis ruimtestaat'!I:I,"zachte vloer"),0))))</f>
        <v>132.6</v>
      </c>
      <c r="F21" s="461">
        <f t="shared" ref="F21:F34" si="5">VLOOKUP(D21,$F$3:$G$10,2,FALSE)</f>
        <v>0</v>
      </c>
      <c r="G21" s="462">
        <f t="shared" ref="G21:G34" si="6">(E21*F21)</f>
        <v>0</v>
      </c>
      <c r="H21" s="565">
        <v>12</v>
      </c>
      <c r="I21" s="462">
        <f t="shared" si="2"/>
        <v>0</v>
      </c>
    </row>
    <row r="22" spans="1:9">
      <c r="A22" s="186" t="s">
        <v>464</v>
      </c>
      <c r="B22" s="456" t="s">
        <v>506</v>
      </c>
      <c r="C22" s="454" t="s">
        <v>96</v>
      </c>
      <c r="D22" s="454" t="s">
        <v>222</v>
      </c>
      <c r="E22" s="460">
        <f>IF(C22="Linoleum",SUMIFS('4-Basis ruimtestaat'!J:J,'4-Basis ruimtestaat'!B:B,'11-Vloeronderhoud'!A22,'4-Basis ruimtestaat'!I:I,"Linoleum"),IF(C22="Harde vloer zonder waslaag (sanitair)",SUMIFS('4-Basis ruimtestaat'!J:J,'4-Basis ruimtestaat'!B:B,'11-Vloeronderhoud'!A22,'4-Basis ruimtestaat'!I:I,"harde vloer zonder waslaag (sanitair)"),IF(C22="harde vloer zonder waslaag (overig)",SUMIFS('4-Basis ruimtestaat'!J:J,'4-Basis ruimtestaat'!B:B,'11-Vloeronderhoud'!A22,'4-Basis ruimtestaat'!I:I,"harde vloer zonder waslaag (overig)"),IF(C22="zachte vloer",SUMIFS('4-Basis ruimtestaat'!J:J,'4-Basis ruimtestaat'!B:B,'11-Vloeronderhoud'!A22,'4-Basis ruimtestaat'!I:I,"zachte vloer"),0))))</f>
        <v>61.20000000000001</v>
      </c>
      <c r="F22" s="461">
        <f t="shared" si="5"/>
        <v>0</v>
      </c>
      <c r="G22" s="462">
        <f t="shared" si="6"/>
        <v>0</v>
      </c>
      <c r="H22" s="565">
        <v>12</v>
      </c>
      <c r="I22" s="462">
        <f t="shared" si="2"/>
        <v>0</v>
      </c>
    </row>
    <row r="23" spans="1:9">
      <c r="A23" s="186" t="s">
        <v>496</v>
      </c>
      <c r="B23" s="456" t="s">
        <v>506</v>
      </c>
      <c r="C23" s="454" t="s">
        <v>96</v>
      </c>
      <c r="D23" s="454" t="s">
        <v>222</v>
      </c>
      <c r="E23" s="460">
        <f>IF(C23="Linoleum",SUMIFS('4-Basis ruimtestaat'!J:J,'4-Basis ruimtestaat'!B:B,'11-Vloeronderhoud'!A23,'4-Basis ruimtestaat'!I:I,"Linoleum"),IF(C23="Harde vloer zonder waslaag (sanitair)",SUMIFS('4-Basis ruimtestaat'!J:J,'4-Basis ruimtestaat'!B:B,'11-Vloeronderhoud'!A23,'4-Basis ruimtestaat'!I:I,"harde vloer zonder waslaag (sanitair)"),IF(C23="harde vloer zonder waslaag (overig)",SUMIFS('4-Basis ruimtestaat'!J:J,'4-Basis ruimtestaat'!B:B,'11-Vloeronderhoud'!A23,'4-Basis ruimtestaat'!I:I,"harde vloer zonder waslaag (overig)"),IF(C23="zachte vloer",SUMIFS('4-Basis ruimtestaat'!J:J,'4-Basis ruimtestaat'!B:B,'11-Vloeronderhoud'!A23,'4-Basis ruimtestaat'!I:I,"zachte vloer"),0))))</f>
        <v>16.100000000000001</v>
      </c>
      <c r="F23" s="461">
        <f t="shared" si="5"/>
        <v>0</v>
      </c>
      <c r="G23" s="462">
        <f t="shared" si="6"/>
        <v>0</v>
      </c>
      <c r="H23" s="565">
        <v>12</v>
      </c>
      <c r="I23" s="462">
        <f t="shared" si="2"/>
        <v>0</v>
      </c>
    </row>
    <row r="24" spans="1:9">
      <c r="A24" s="186" t="s">
        <v>270</v>
      </c>
      <c r="B24" s="456" t="s">
        <v>506</v>
      </c>
      <c r="C24" s="454" t="s">
        <v>96</v>
      </c>
      <c r="D24" s="454" t="s">
        <v>222</v>
      </c>
      <c r="E24" s="460">
        <f>IF(C24="Linoleum",SUMIFS('4-Basis ruimtestaat'!J:J,'4-Basis ruimtestaat'!B:B,'11-Vloeronderhoud'!A24,'4-Basis ruimtestaat'!I:I,"Linoleum"),IF(C24="Harde vloer zonder waslaag (sanitair)",SUMIFS('4-Basis ruimtestaat'!J:J,'4-Basis ruimtestaat'!B:B,'11-Vloeronderhoud'!A24,'4-Basis ruimtestaat'!I:I,"harde vloer zonder waslaag (sanitair)"),IF(C24="harde vloer zonder waslaag (overig)",SUMIFS('4-Basis ruimtestaat'!J:J,'4-Basis ruimtestaat'!B:B,'11-Vloeronderhoud'!A24,'4-Basis ruimtestaat'!I:I,"harde vloer zonder waslaag (overig)"),IF(C24="zachte vloer",SUMIFS('4-Basis ruimtestaat'!J:J,'4-Basis ruimtestaat'!B:B,'11-Vloeronderhoud'!A24,'4-Basis ruimtestaat'!I:I,"zachte vloer"),0))))</f>
        <v>30.8</v>
      </c>
      <c r="F24" s="461">
        <f t="shared" si="5"/>
        <v>0</v>
      </c>
      <c r="G24" s="462">
        <f t="shared" si="6"/>
        <v>0</v>
      </c>
      <c r="H24" s="565">
        <v>12</v>
      </c>
      <c r="I24" s="462">
        <f t="shared" si="2"/>
        <v>0</v>
      </c>
    </row>
    <row r="25" spans="1:9">
      <c r="A25" s="186" t="s">
        <v>520</v>
      </c>
      <c r="B25" s="456" t="s">
        <v>506</v>
      </c>
      <c r="C25" s="454" t="s">
        <v>96</v>
      </c>
      <c r="D25" s="454" t="s">
        <v>222</v>
      </c>
      <c r="E25" s="460">
        <f>IF(C25="Linoleum",SUMIFS('4-Basis ruimtestaat'!J:J,'4-Basis ruimtestaat'!B:B,'11-Vloeronderhoud'!A25,'4-Basis ruimtestaat'!I:I,"Linoleum"),IF(C25="Harde vloer zonder waslaag (sanitair)",SUMIFS('4-Basis ruimtestaat'!J:J,'4-Basis ruimtestaat'!B:B,'11-Vloeronderhoud'!A25,'4-Basis ruimtestaat'!I:I,"harde vloer zonder waslaag (sanitair)"),IF(C25="harde vloer zonder waslaag (overig)",SUMIFS('4-Basis ruimtestaat'!J:J,'4-Basis ruimtestaat'!B:B,'11-Vloeronderhoud'!A25,'4-Basis ruimtestaat'!I:I,"harde vloer zonder waslaag (overig)"),IF(C25="zachte vloer",SUMIFS('4-Basis ruimtestaat'!J:J,'4-Basis ruimtestaat'!B:B,'11-Vloeronderhoud'!A25,'4-Basis ruimtestaat'!I:I,"zachte vloer"),0))))</f>
        <v>2.4</v>
      </c>
      <c r="F25" s="461">
        <f t="shared" si="5"/>
        <v>0</v>
      </c>
      <c r="G25" s="462">
        <f t="shared" si="6"/>
        <v>0</v>
      </c>
      <c r="H25" s="565">
        <v>12</v>
      </c>
      <c r="I25" s="462">
        <f t="shared" si="2"/>
        <v>0</v>
      </c>
    </row>
    <row r="26" spans="1:9">
      <c r="A26" s="186" t="s">
        <v>521</v>
      </c>
      <c r="B26" s="456" t="s">
        <v>506</v>
      </c>
      <c r="C26" s="454" t="s">
        <v>96</v>
      </c>
      <c r="D26" s="454" t="s">
        <v>222</v>
      </c>
      <c r="E26" s="460">
        <f>IF(C26="Linoleum",SUMIFS('4-Basis ruimtestaat'!J:J,'4-Basis ruimtestaat'!B:B,'11-Vloeronderhoud'!A26,'4-Basis ruimtestaat'!I:I,"Linoleum"),IF(C26="Harde vloer zonder waslaag (sanitair)",SUMIFS('4-Basis ruimtestaat'!J:J,'4-Basis ruimtestaat'!B:B,'11-Vloeronderhoud'!A26,'4-Basis ruimtestaat'!I:I,"harde vloer zonder waslaag (sanitair)"),IF(C26="harde vloer zonder waslaag (overig)",SUMIFS('4-Basis ruimtestaat'!J:J,'4-Basis ruimtestaat'!B:B,'11-Vloeronderhoud'!A26,'4-Basis ruimtestaat'!I:I,"harde vloer zonder waslaag (overig)"),IF(C26="zachte vloer",SUMIFS('4-Basis ruimtestaat'!J:J,'4-Basis ruimtestaat'!B:B,'11-Vloeronderhoud'!A26,'4-Basis ruimtestaat'!I:I,"zachte vloer"),0))))</f>
        <v>1.7</v>
      </c>
      <c r="F26" s="461">
        <f t="shared" si="5"/>
        <v>0</v>
      </c>
      <c r="G26" s="462">
        <f t="shared" si="6"/>
        <v>0</v>
      </c>
      <c r="H26" s="565">
        <v>12</v>
      </c>
      <c r="I26" s="462">
        <f t="shared" si="2"/>
        <v>0</v>
      </c>
    </row>
    <row r="27" spans="1:9">
      <c r="A27" s="186" t="s">
        <v>497</v>
      </c>
      <c r="B27" s="456" t="s">
        <v>506</v>
      </c>
      <c r="C27" s="454" t="s">
        <v>96</v>
      </c>
      <c r="D27" s="454" t="s">
        <v>222</v>
      </c>
      <c r="E27" s="460">
        <f>IF(C27="Linoleum",SUMIFS('4-Basis ruimtestaat'!J:J,'4-Basis ruimtestaat'!B:B,'11-Vloeronderhoud'!A27,'4-Basis ruimtestaat'!I:I,"Linoleum"),IF(C27="Harde vloer zonder waslaag (sanitair)",SUMIFS('4-Basis ruimtestaat'!J:J,'4-Basis ruimtestaat'!B:B,'11-Vloeronderhoud'!A27,'4-Basis ruimtestaat'!I:I,"harde vloer zonder waslaag (sanitair)"),IF(C27="harde vloer zonder waslaag (overig)",SUMIFS('4-Basis ruimtestaat'!J:J,'4-Basis ruimtestaat'!B:B,'11-Vloeronderhoud'!A27,'4-Basis ruimtestaat'!I:I,"harde vloer zonder waslaag (overig)"),IF(C27="zachte vloer",SUMIFS('4-Basis ruimtestaat'!J:J,'4-Basis ruimtestaat'!B:B,'11-Vloeronderhoud'!A27,'4-Basis ruimtestaat'!I:I,"zachte vloer"),0))))</f>
        <v>27.300000000000004</v>
      </c>
      <c r="F27" s="461">
        <f t="shared" si="5"/>
        <v>0</v>
      </c>
      <c r="G27" s="462">
        <f t="shared" si="6"/>
        <v>0</v>
      </c>
      <c r="H27" s="565">
        <v>12</v>
      </c>
      <c r="I27" s="462">
        <f t="shared" si="2"/>
        <v>0</v>
      </c>
    </row>
    <row r="28" spans="1:9">
      <c r="A28" s="186" t="s">
        <v>272</v>
      </c>
      <c r="B28" s="456" t="s">
        <v>506</v>
      </c>
      <c r="C28" s="454" t="s">
        <v>99</v>
      </c>
      <c r="D28" s="454" t="s">
        <v>222</v>
      </c>
      <c r="E28" s="460">
        <f>IF(C28="Linoleum",SUMIFS('4-Basis ruimtestaat'!J:J,'4-Basis ruimtestaat'!B:B,'11-Vloeronderhoud'!A28,'4-Basis ruimtestaat'!I:I,"Linoleum"),IF(C28="Harde vloer zonder waslaag (sanitair)",SUMIFS('4-Basis ruimtestaat'!J:J,'4-Basis ruimtestaat'!B:B,'11-Vloeronderhoud'!A28,'4-Basis ruimtestaat'!I:I,"harde vloer zonder waslaag (sanitair)"),IF(C28="harde vloer zonder waslaag (overig)",SUMIFS('4-Basis ruimtestaat'!J:J,'4-Basis ruimtestaat'!B:B,'11-Vloeronderhoud'!A28,'4-Basis ruimtestaat'!I:I,"harde vloer zonder waslaag (overig)"),IF(C28="zachte vloer",SUMIFS('4-Basis ruimtestaat'!J:J,'4-Basis ruimtestaat'!B:B,'11-Vloeronderhoud'!A28,'4-Basis ruimtestaat'!I:I,"zachte vloer"),0))))</f>
        <v>1084</v>
      </c>
      <c r="F28" s="461">
        <f t="shared" si="5"/>
        <v>0</v>
      </c>
      <c r="G28" s="462">
        <f t="shared" si="6"/>
        <v>0</v>
      </c>
      <c r="H28" s="565">
        <v>4</v>
      </c>
      <c r="I28" s="462">
        <f t="shared" si="2"/>
        <v>0</v>
      </c>
    </row>
    <row r="29" spans="1:9">
      <c r="A29" s="464" t="s">
        <v>464</v>
      </c>
      <c r="B29" s="456" t="s">
        <v>506</v>
      </c>
      <c r="C29" s="454" t="s">
        <v>99</v>
      </c>
      <c r="D29" s="454" t="s">
        <v>222</v>
      </c>
      <c r="E29" s="460">
        <f>IF(C29="Linoleum",SUMIFS('4-Basis ruimtestaat'!J:J,'4-Basis ruimtestaat'!B:B,'11-Vloeronderhoud'!A29,'4-Basis ruimtestaat'!I:I,"Linoleum"),IF(C29="Harde vloer zonder waslaag (sanitair)",SUMIFS('4-Basis ruimtestaat'!J:J,'4-Basis ruimtestaat'!B:B,'11-Vloeronderhoud'!A29,'4-Basis ruimtestaat'!I:I,"harde vloer zonder waslaag (sanitair)"),IF(C29="harde vloer zonder waslaag (overig)",SUMIFS('4-Basis ruimtestaat'!J:J,'4-Basis ruimtestaat'!B:B,'11-Vloeronderhoud'!A29,'4-Basis ruimtestaat'!I:I,"harde vloer zonder waslaag (overig)"),IF(C29="zachte vloer",SUMIFS('4-Basis ruimtestaat'!J:J,'4-Basis ruimtestaat'!B:B,'11-Vloeronderhoud'!A29,'4-Basis ruimtestaat'!I:I,"zachte vloer"),0))))</f>
        <v>350.05</v>
      </c>
      <c r="F29" s="461">
        <f t="shared" si="5"/>
        <v>0</v>
      </c>
      <c r="G29" s="462">
        <f t="shared" si="6"/>
        <v>0</v>
      </c>
      <c r="H29" s="565">
        <v>4</v>
      </c>
      <c r="I29" s="462">
        <f t="shared" si="2"/>
        <v>0</v>
      </c>
    </row>
    <row r="30" spans="1:9">
      <c r="A30" s="465" t="s">
        <v>496</v>
      </c>
      <c r="B30" s="456" t="s">
        <v>506</v>
      </c>
      <c r="C30" s="454" t="s">
        <v>99</v>
      </c>
      <c r="D30" s="454" t="s">
        <v>222</v>
      </c>
      <c r="E30" s="460">
        <f>IF(C30="Linoleum",SUMIFS('4-Basis ruimtestaat'!J:J,'4-Basis ruimtestaat'!B:B,'11-Vloeronderhoud'!A30,'4-Basis ruimtestaat'!I:I,"Linoleum"),IF(C30="Harde vloer zonder waslaag (sanitair)",SUMIFS('4-Basis ruimtestaat'!J:J,'4-Basis ruimtestaat'!B:B,'11-Vloeronderhoud'!A30,'4-Basis ruimtestaat'!I:I,"harde vloer zonder waslaag (sanitair)"),IF(C30="harde vloer zonder waslaag (overig)",SUMIFS('4-Basis ruimtestaat'!J:J,'4-Basis ruimtestaat'!B:B,'11-Vloeronderhoud'!A30,'4-Basis ruimtestaat'!I:I,"harde vloer zonder waslaag (overig)"),IF(C30="zachte vloer",SUMIFS('4-Basis ruimtestaat'!J:J,'4-Basis ruimtestaat'!B:B,'11-Vloeronderhoud'!A30,'4-Basis ruimtestaat'!I:I,"zachte vloer"),0))))</f>
        <v>43.7</v>
      </c>
      <c r="F30" s="461">
        <f t="shared" si="5"/>
        <v>0</v>
      </c>
      <c r="G30" s="462">
        <f t="shared" si="6"/>
        <v>0</v>
      </c>
      <c r="H30" s="565">
        <v>4</v>
      </c>
      <c r="I30" s="462">
        <f t="shared" si="2"/>
        <v>0</v>
      </c>
    </row>
    <row r="31" spans="1:9">
      <c r="A31" s="465" t="s">
        <v>270</v>
      </c>
      <c r="B31" s="456" t="s">
        <v>506</v>
      </c>
      <c r="C31" s="454" t="s">
        <v>99</v>
      </c>
      <c r="D31" s="454" t="s">
        <v>222</v>
      </c>
      <c r="E31" s="460">
        <f>IF(C31="Linoleum",SUMIFS('4-Basis ruimtestaat'!J:J,'4-Basis ruimtestaat'!B:B,'11-Vloeronderhoud'!A31,'4-Basis ruimtestaat'!I:I,"Linoleum"),IF(C31="Harde vloer zonder waslaag (sanitair)",SUMIFS('4-Basis ruimtestaat'!J:J,'4-Basis ruimtestaat'!B:B,'11-Vloeronderhoud'!A31,'4-Basis ruimtestaat'!I:I,"harde vloer zonder waslaag (sanitair)"),IF(C31="harde vloer zonder waslaag (overig)",SUMIFS('4-Basis ruimtestaat'!J:J,'4-Basis ruimtestaat'!B:B,'11-Vloeronderhoud'!A31,'4-Basis ruimtestaat'!I:I,"harde vloer zonder waslaag (overig)"),IF(C31="zachte vloer",SUMIFS('4-Basis ruimtestaat'!J:J,'4-Basis ruimtestaat'!B:B,'11-Vloeronderhoud'!A31,'4-Basis ruimtestaat'!I:I,"zachte vloer"),0))))</f>
        <v>546.5</v>
      </c>
      <c r="F31" s="461">
        <f t="shared" si="5"/>
        <v>0</v>
      </c>
      <c r="G31" s="462">
        <f t="shared" si="6"/>
        <v>0</v>
      </c>
      <c r="H31" s="565">
        <v>4</v>
      </c>
      <c r="I31" s="462">
        <f t="shared" si="2"/>
        <v>0</v>
      </c>
    </row>
    <row r="32" spans="1:9">
      <c r="A32" s="465" t="s">
        <v>520</v>
      </c>
      <c r="B32" s="456" t="s">
        <v>506</v>
      </c>
      <c r="C32" s="454" t="s">
        <v>99</v>
      </c>
      <c r="D32" s="454" t="s">
        <v>222</v>
      </c>
      <c r="E32" s="460">
        <f>IF(C32="Linoleum",SUMIFS('4-Basis ruimtestaat'!J:J,'4-Basis ruimtestaat'!B:B,'11-Vloeronderhoud'!A32,'4-Basis ruimtestaat'!I:I,"Linoleum"),IF(C32="Harde vloer zonder waslaag (sanitair)",SUMIFS('4-Basis ruimtestaat'!J:J,'4-Basis ruimtestaat'!B:B,'11-Vloeronderhoud'!A32,'4-Basis ruimtestaat'!I:I,"harde vloer zonder waslaag (sanitair)"),IF(C32="harde vloer zonder waslaag (overig)",SUMIFS('4-Basis ruimtestaat'!J:J,'4-Basis ruimtestaat'!B:B,'11-Vloeronderhoud'!A32,'4-Basis ruimtestaat'!I:I,"harde vloer zonder waslaag (overig)"),IF(C32="zachte vloer",SUMIFS('4-Basis ruimtestaat'!J:J,'4-Basis ruimtestaat'!B:B,'11-Vloeronderhoud'!A32,'4-Basis ruimtestaat'!I:I,"zachte vloer"),0))))</f>
        <v>20.63</v>
      </c>
      <c r="F32" s="461">
        <f t="shared" si="5"/>
        <v>0</v>
      </c>
      <c r="G32" s="462">
        <f t="shared" si="6"/>
        <v>0</v>
      </c>
      <c r="H32" s="565">
        <v>4</v>
      </c>
      <c r="I32" s="462">
        <f t="shared" si="2"/>
        <v>0</v>
      </c>
    </row>
    <row r="33" spans="1:9">
      <c r="A33" s="465" t="s">
        <v>521</v>
      </c>
      <c r="B33" s="456" t="s">
        <v>506</v>
      </c>
      <c r="C33" s="454" t="s">
        <v>99</v>
      </c>
      <c r="D33" s="454" t="s">
        <v>222</v>
      </c>
      <c r="E33" s="460">
        <f>IF(C33="Linoleum",SUMIFS('4-Basis ruimtestaat'!J:J,'4-Basis ruimtestaat'!B:B,'11-Vloeronderhoud'!A33,'4-Basis ruimtestaat'!I:I,"Linoleum"),IF(C33="Harde vloer zonder waslaag (sanitair)",SUMIFS('4-Basis ruimtestaat'!J:J,'4-Basis ruimtestaat'!B:B,'11-Vloeronderhoud'!A33,'4-Basis ruimtestaat'!I:I,"harde vloer zonder waslaag (sanitair)"),IF(C33="harde vloer zonder waslaag (overig)",SUMIFS('4-Basis ruimtestaat'!J:J,'4-Basis ruimtestaat'!B:B,'11-Vloeronderhoud'!A33,'4-Basis ruimtestaat'!I:I,"harde vloer zonder waslaag (overig)"),IF(C33="zachte vloer",SUMIFS('4-Basis ruimtestaat'!J:J,'4-Basis ruimtestaat'!B:B,'11-Vloeronderhoud'!A33,'4-Basis ruimtestaat'!I:I,"zachte vloer"),0))))</f>
        <v>33.9</v>
      </c>
      <c r="F33" s="461">
        <f t="shared" si="5"/>
        <v>0</v>
      </c>
      <c r="G33" s="462">
        <f t="shared" si="6"/>
        <v>0</v>
      </c>
      <c r="H33" s="565">
        <v>4</v>
      </c>
      <c r="I33" s="462">
        <f t="shared" si="2"/>
        <v>0</v>
      </c>
    </row>
    <row r="34" spans="1:9">
      <c r="A34" s="465" t="s">
        <v>497</v>
      </c>
      <c r="B34" s="456" t="s">
        <v>506</v>
      </c>
      <c r="C34" s="454" t="s">
        <v>99</v>
      </c>
      <c r="D34" s="454" t="s">
        <v>222</v>
      </c>
      <c r="E34" s="460">
        <f>IF(C34="Linoleum",SUMIFS('4-Basis ruimtestaat'!J:J,'4-Basis ruimtestaat'!B:B,'11-Vloeronderhoud'!A34,'4-Basis ruimtestaat'!I:I,"Linoleum"),IF(C34="Harde vloer zonder waslaag (sanitair)",SUMIFS('4-Basis ruimtestaat'!J:J,'4-Basis ruimtestaat'!B:B,'11-Vloeronderhoud'!A34,'4-Basis ruimtestaat'!I:I,"harde vloer zonder waslaag (sanitair)"),IF(C34="harde vloer zonder waslaag (overig)",SUMIFS('4-Basis ruimtestaat'!J:J,'4-Basis ruimtestaat'!B:B,'11-Vloeronderhoud'!A34,'4-Basis ruimtestaat'!I:I,"harde vloer zonder waslaag (overig)"),IF(C34="zachte vloer",SUMIFS('4-Basis ruimtestaat'!J:J,'4-Basis ruimtestaat'!B:B,'11-Vloeronderhoud'!A34,'4-Basis ruimtestaat'!I:I,"zachte vloer"),0))))</f>
        <v>494.2000000000001</v>
      </c>
      <c r="F34" s="461">
        <f t="shared" si="5"/>
        <v>0</v>
      </c>
      <c r="G34" s="462">
        <f t="shared" si="6"/>
        <v>0</v>
      </c>
      <c r="H34" s="565">
        <v>4</v>
      </c>
      <c r="I34" s="462">
        <f t="shared" si="2"/>
        <v>0</v>
      </c>
    </row>
    <row r="35" spans="1:9">
      <c r="A35" s="465" t="s">
        <v>272</v>
      </c>
      <c r="B35" s="456" t="s">
        <v>528</v>
      </c>
      <c r="C35" s="454" t="s">
        <v>98</v>
      </c>
      <c r="D35" s="454" t="s">
        <v>529</v>
      </c>
      <c r="E35" s="460">
        <f>IF(C35="Linoleum",SUMIFS('4-Basis ruimtestaat'!J:J,'4-Basis ruimtestaat'!B:B,'11-Vloeronderhoud'!A35,'4-Basis ruimtestaat'!I:I,"Linoleum"),IF(C35="Harde vloer zonder waslaag (sanitair)",SUMIFS('4-Basis ruimtestaat'!J:J,'4-Basis ruimtestaat'!B:B,'11-Vloeronderhoud'!A35,'4-Basis ruimtestaat'!I:I,"harde vloer zonder waslaag (sanitair)"),IF(C35="harde vloer zonder waslaag (overig)",SUMIFS('4-Basis ruimtestaat'!J:J,'4-Basis ruimtestaat'!B:B,'11-Vloeronderhoud'!A35,'4-Basis ruimtestaat'!I:I,"harde vloer zonder waslaag (overig)"),IF(C35="zachte vloer",SUMIFS('4-Basis ruimtestaat'!J:J,'4-Basis ruimtestaat'!B:B,'11-Vloeronderhoud'!A35,'4-Basis ruimtestaat'!I:I,"zachte vloer"),0))))</f>
        <v>6032.779999999997</v>
      </c>
      <c r="F35" s="461">
        <f t="shared" ref="F35:F37" si="7">VLOOKUP(D35,$F$3:$G$10,2,FALSE)</f>
        <v>0</v>
      </c>
      <c r="G35" s="462">
        <f t="shared" ref="G35:G37" si="8">(E35*F35)</f>
        <v>0</v>
      </c>
      <c r="H35" s="565">
        <v>1</v>
      </c>
      <c r="I35" s="462">
        <f t="shared" ref="I35:I37" si="9">H35*G35</f>
        <v>0</v>
      </c>
    </row>
    <row r="36" spans="1:9">
      <c r="A36" s="465" t="s">
        <v>464</v>
      </c>
      <c r="B36" s="456" t="s">
        <v>528</v>
      </c>
      <c r="C36" s="454" t="s">
        <v>98</v>
      </c>
      <c r="D36" s="454" t="s">
        <v>529</v>
      </c>
      <c r="E36" s="460">
        <f>IF(C36="Linoleum",SUMIFS('4-Basis ruimtestaat'!J:J,'4-Basis ruimtestaat'!B:B,'11-Vloeronderhoud'!A36,'4-Basis ruimtestaat'!I:I,"Linoleum"),IF(C36="Harde vloer zonder waslaag (sanitair)",SUMIFS('4-Basis ruimtestaat'!J:J,'4-Basis ruimtestaat'!B:B,'11-Vloeronderhoud'!A36,'4-Basis ruimtestaat'!I:I,"harde vloer zonder waslaag (sanitair)"),IF(C36="harde vloer zonder waslaag (overig)",SUMIFS('4-Basis ruimtestaat'!J:J,'4-Basis ruimtestaat'!B:B,'11-Vloeronderhoud'!A36,'4-Basis ruimtestaat'!I:I,"harde vloer zonder waslaag (overig)"),IF(C36="zachte vloer",SUMIFS('4-Basis ruimtestaat'!J:J,'4-Basis ruimtestaat'!B:B,'11-Vloeronderhoud'!A36,'4-Basis ruimtestaat'!I:I,"zachte vloer"),0))))</f>
        <v>463.00000000000006</v>
      </c>
      <c r="F36" s="461">
        <f t="shared" si="7"/>
        <v>0</v>
      </c>
      <c r="G36" s="462">
        <f t="shared" si="8"/>
        <v>0</v>
      </c>
      <c r="H36" s="565">
        <v>1</v>
      </c>
      <c r="I36" s="462">
        <f t="shared" si="9"/>
        <v>0</v>
      </c>
    </row>
    <row r="37" spans="1:9">
      <c r="A37" s="465" t="s">
        <v>270</v>
      </c>
      <c r="B37" s="456" t="s">
        <v>528</v>
      </c>
      <c r="C37" s="454" t="s">
        <v>98</v>
      </c>
      <c r="D37" s="454" t="s">
        <v>529</v>
      </c>
      <c r="E37" s="460">
        <f>IF(C37="Linoleum",SUMIFS('4-Basis ruimtestaat'!J:J,'4-Basis ruimtestaat'!B:B,'11-Vloeronderhoud'!A37,'4-Basis ruimtestaat'!I:I,"Linoleum"),IF(C37="Harde vloer zonder waslaag (sanitair)",SUMIFS('4-Basis ruimtestaat'!J:J,'4-Basis ruimtestaat'!B:B,'11-Vloeronderhoud'!A37,'4-Basis ruimtestaat'!I:I,"harde vloer zonder waslaag (sanitair)"),IF(C37="harde vloer zonder waslaag (overig)",SUMIFS('4-Basis ruimtestaat'!J:J,'4-Basis ruimtestaat'!B:B,'11-Vloeronderhoud'!A37,'4-Basis ruimtestaat'!I:I,"harde vloer zonder waslaag (overig)"),IF(C37="zachte vloer",SUMIFS('4-Basis ruimtestaat'!J:J,'4-Basis ruimtestaat'!B:B,'11-Vloeronderhoud'!A37,'4-Basis ruimtestaat'!I:I,"zachte vloer"),0))))</f>
        <v>15.1</v>
      </c>
      <c r="F37" s="461">
        <f t="shared" si="7"/>
        <v>0</v>
      </c>
      <c r="G37" s="462">
        <f t="shared" si="8"/>
        <v>0</v>
      </c>
      <c r="H37" s="565">
        <v>1</v>
      </c>
      <c r="I37" s="462">
        <f t="shared" si="9"/>
        <v>0</v>
      </c>
    </row>
    <row r="38" spans="1:9">
      <c r="A38" s="464"/>
      <c r="B38" s="456"/>
      <c r="C38" s="456"/>
      <c r="D38" s="454"/>
      <c r="E38" s="460"/>
      <c r="F38" s="461"/>
      <c r="G38" s="462"/>
      <c r="H38" s="463"/>
      <c r="I38" s="462"/>
    </row>
    <row r="39" spans="1:9">
      <c r="B39" s="178"/>
      <c r="C39" s="178"/>
      <c r="D39" s="178"/>
      <c r="E39" s="294"/>
      <c r="F39" s="294"/>
      <c r="G39" s="294"/>
      <c r="H39" s="294"/>
      <c r="I39" s="294"/>
    </row>
    <row r="40" spans="1:9">
      <c r="A40" s="494" t="s">
        <v>36</v>
      </c>
      <c r="B40" s="495"/>
      <c r="C40" s="496"/>
      <c r="D40" s="496"/>
      <c r="E40" s="469">
        <f>SUM(E13:E38)</f>
        <v>10347.539999999999</v>
      </c>
      <c r="F40" s="470"/>
      <c r="G40" s="471"/>
      <c r="H40" s="472"/>
      <c r="I40" s="473">
        <f>SUM(I13:I38)</f>
        <v>0</v>
      </c>
    </row>
  </sheetData>
  <autoFilter ref="A12:AA40" xr:uid="{00000000-0009-0000-0000-00000A000000}"/>
  <phoneticPr fontId="72" type="noConversion"/>
  <dataValidations count="2">
    <dataValidation type="list" allowBlank="1" showInputMessage="1" showErrorMessage="1" sqref="C13:C37" xr:uid="{A56903C8-3F9B-4311-A32C-6EDB70957856}">
      <formula1>$I$3:$I$6</formula1>
    </dataValidation>
    <dataValidation type="list" allowBlank="1" showInputMessage="1" showErrorMessage="1" sqref="D13:D38" xr:uid="{C736CBFC-1565-48E2-8F22-639725E5CCC0}">
      <formula1>$F$3:$F$10</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tabColor theme="0" tint="-0.14999847407452621"/>
    <pageSetUpPr fitToPage="1"/>
  </sheetPr>
  <dimension ref="A1:V49"/>
  <sheetViews>
    <sheetView showGridLines="0" zoomScale="77" zoomScaleNormal="77" zoomScaleSheetLayoutView="50" zoomScalePageLayoutView="50" workbookViewId="0">
      <pane ySplit="10" topLeftCell="A11" activePane="bottomLeft" state="frozen"/>
      <selection activeCell="B1" sqref="B1"/>
      <selection pane="bottomLeft"/>
    </sheetView>
  </sheetViews>
  <sheetFormatPr defaultColWidth="13.6640625" defaultRowHeight="13.2"/>
  <cols>
    <col min="1" max="1" width="46.109375" style="178" customWidth="1"/>
    <col min="2" max="2" width="29.109375" style="179" customWidth="1"/>
    <col min="3" max="3" width="38.5546875" style="179" customWidth="1"/>
    <col min="4" max="4" width="37.33203125" style="179" bestFit="1" customWidth="1"/>
    <col min="5" max="5" width="12.109375" style="178" customWidth="1"/>
    <col min="6" max="6" width="21.109375" style="180" bestFit="1" customWidth="1"/>
    <col min="7" max="7" width="16.109375" style="181" customWidth="1"/>
    <col min="8" max="8" width="2.6640625" style="178" customWidth="1"/>
    <col min="9" max="9" width="24.109375" style="178" customWidth="1"/>
    <col min="10" max="10" width="27.88671875" style="178" customWidth="1"/>
    <col min="11" max="11" width="29.88671875" style="178" customWidth="1"/>
    <col min="12" max="12" width="37.88671875" style="178" customWidth="1"/>
    <col min="13" max="244" width="13.6640625" style="29"/>
    <col min="245" max="245" width="22.109375" style="29" customWidth="1"/>
    <col min="246" max="252" width="13.6640625" style="29" customWidth="1"/>
    <col min="253" max="253" width="15.88671875" style="29" customWidth="1"/>
    <col min="254" max="254" width="16.5546875" style="29" bestFit="1" customWidth="1"/>
    <col min="255" max="255" width="13.6640625" style="29" customWidth="1"/>
    <col min="256" max="256" width="17.109375" style="29" bestFit="1" customWidth="1"/>
    <col min="257" max="257" width="4" style="29" customWidth="1"/>
    <col min="258" max="258" width="13.6640625" style="29" customWidth="1"/>
    <col min="259" max="500" width="13.6640625" style="29"/>
    <col min="501" max="501" width="22.109375" style="29" customWidth="1"/>
    <col min="502" max="508" width="13.6640625" style="29" customWidth="1"/>
    <col min="509" max="509" width="15.88671875" style="29" customWidth="1"/>
    <col min="510" max="510" width="16.5546875" style="29" bestFit="1" customWidth="1"/>
    <col min="511" max="511" width="13.6640625" style="29" customWidth="1"/>
    <col min="512" max="512" width="17.109375" style="29" bestFit="1" customWidth="1"/>
    <col min="513" max="513" width="4" style="29" customWidth="1"/>
    <col min="514" max="514" width="13.6640625" style="29" customWidth="1"/>
    <col min="515" max="756" width="13.6640625" style="29"/>
    <col min="757" max="757" width="22.109375" style="29" customWidth="1"/>
    <col min="758" max="764" width="13.6640625" style="29" customWidth="1"/>
    <col min="765" max="765" width="15.88671875" style="29" customWidth="1"/>
    <col min="766" max="766" width="16.5546875" style="29" bestFit="1" customWidth="1"/>
    <col min="767" max="767" width="13.6640625" style="29" customWidth="1"/>
    <col min="768" max="768" width="17.109375" style="29" bestFit="1" customWidth="1"/>
    <col min="769" max="769" width="4" style="29" customWidth="1"/>
    <col min="770" max="770" width="13.6640625" style="29" customWidth="1"/>
    <col min="771" max="1012" width="13.6640625" style="29"/>
    <col min="1013" max="1013" width="22.109375" style="29" customWidth="1"/>
    <col min="1014" max="1020" width="13.6640625" style="29" customWidth="1"/>
    <col min="1021" max="1021" width="15.88671875" style="29" customWidth="1"/>
    <col min="1022" max="1022" width="16.5546875" style="29" bestFit="1" customWidth="1"/>
    <col min="1023" max="1023" width="13.6640625" style="29" customWidth="1"/>
    <col min="1024" max="1024" width="17.109375" style="29" bestFit="1" customWidth="1"/>
    <col min="1025" max="1025" width="4" style="29" customWidth="1"/>
    <col min="1026" max="1026" width="13.6640625" style="29" customWidth="1"/>
    <col min="1027" max="1268" width="13.6640625" style="29"/>
    <col min="1269" max="1269" width="22.109375" style="29" customWidth="1"/>
    <col min="1270" max="1276" width="13.6640625" style="29" customWidth="1"/>
    <col min="1277" max="1277" width="15.88671875" style="29" customWidth="1"/>
    <col min="1278" max="1278" width="16.5546875" style="29" bestFit="1" customWidth="1"/>
    <col min="1279" max="1279" width="13.6640625" style="29" customWidth="1"/>
    <col min="1280" max="1280" width="17.109375" style="29" bestFit="1" customWidth="1"/>
    <col min="1281" max="1281" width="4" style="29" customWidth="1"/>
    <col min="1282" max="1282" width="13.6640625" style="29" customWidth="1"/>
    <col min="1283" max="1524" width="13.6640625" style="29"/>
    <col min="1525" max="1525" width="22.109375" style="29" customWidth="1"/>
    <col min="1526" max="1532" width="13.6640625" style="29" customWidth="1"/>
    <col min="1533" max="1533" width="15.88671875" style="29" customWidth="1"/>
    <col min="1534" max="1534" width="16.5546875" style="29" bestFit="1" customWidth="1"/>
    <col min="1535" max="1535" width="13.6640625" style="29" customWidth="1"/>
    <col min="1536" max="1536" width="17.109375" style="29" bestFit="1" customWidth="1"/>
    <col min="1537" max="1537" width="4" style="29" customWidth="1"/>
    <col min="1538" max="1538" width="13.6640625" style="29" customWidth="1"/>
    <col min="1539" max="1780" width="13.6640625" style="29"/>
    <col min="1781" max="1781" width="22.109375" style="29" customWidth="1"/>
    <col min="1782" max="1788" width="13.6640625" style="29" customWidth="1"/>
    <col min="1789" max="1789" width="15.88671875" style="29" customWidth="1"/>
    <col min="1790" max="1790" width="16.5546875" style="29" bestFit="1" customWidth="1"/>
    <col min="1791" max="1791" width="13.6640625" style="29" customWidth="1"/>
    <col min="1792" max="1792" width="17.109375" style="29" bestFit="1" customWidth="1"/>
    <col min="1793" max="1793" width="4" style="29" customWidth="1"/>
    <col min="1794" max="1794" width="13.6640625" style="29" customWidth="1"/>
    <col min="1795" max="2036" width="13.6640625" style="29"/>
    <col min="2037" max="2037" width="22.109375" style="29" customWidth="1"/>
    <col min="2038" max="2044" width="13.6640625" style="29" customWidth="1"/>
    <col min="2045" max="2045" width="15.88671875" style="29" customWidth="1"/>
    <col min="2046" max="2046" width="16.5546875" style="29" bestFit="1" customWidth="1"/>
    <col min="2047" max="2047" width="13.6640625" style="29" customWidth="1"/>
    <col min="2048" max="2048" width="17.109375" style="29" bestFit="1" customWidth="1"/>
    <col min="2049" max="2049" width="4" style="29" customWidth="1"/>
    <col min="2050" max="2050" width="13.6640625" style="29" customWidth="1"/>
    <col min="2051" max="2292" width="13.6640625" style="29"/>
    <col min="2293" max="2293" width="22.109375" style="29" customWidth="1"/>
    <col min="2294" max="2300" width="13.6640625" style="29" customWidth="1"/>
    <col min="2301" max="2301" width="15.88671875" style="29" customWidth="1"/>
    <col min="2302" max="2302" width="16.5546875" style="29" bestFit="1" customWidth="1"/>
    <col min="2303" max="2303" width="13.6640625" style="29" customWidth="1"/>
    <col min="2304" max="2304" width="17.109375" style="29" bestFit="1" customWidth="1"/>
    <col min="2305" max="2305" width="4" style="29" customWidth="1"/>
    <col min="2306" max="2306" width="13.6640625" style="29" customWidth="1"/>
    <col min="2307" max="2548" width="13.6640625" style="29"/>
    <col min="2549" max="2549" width="22.109375" style="29" customWidth="1"/>
    <col min="2550" max="2556" width="13.6640625" style="29" customWidth="1"/>
    <col min="2557" max="2557" width="15.88671875" style="29" customWidth="1"/>
    <col min="2558" max="2558" width="16.5546875" style="29" bestFit="1" customWidth="1"/>
    <col min="2559" max="2559" width="13.6640625" style="29" customWidth="1"/>
    <col min="2560" max="2560" width="17.109375" style="29" bestFit="1" customWidth="1"/>
    <col min="2561" max="2561" width="4" style="29" customWidth="1"/>
    <col min="2562" max="2562" width="13.6640625" style="29" customWidth="1"/>
    <col min="2563" max="2804" width="13.6640625" style="29"/>
    <col min="2805" max="2805" width="22.109375" style="29" customWidth="1"/>
    <col min="2806" max="2812" width="13.6640625" style="29" customWidth="1"/>
    <col min="2813" max="2813" width="15.88671875" style="29" customWidth="1"/>
    <col min="2814" max="2814" width="16.5546875" style="29" bestFit="1" customWidth="1"/>
    <col min="2815" max="2815" width="13.6640625" style="29" customWidth="1"/>
    <col min="2816" max="2816" width="17.109375" style="29" bestFit="1" customWidth="1"/>
    <col min="2817" max="2817" width="4" style="29" customWidth="1"/>
    <col min="2818" max="2818" width="13.6640625" style="29" customWidth="1"/>
    <col min="2819" max="3060" width="13.6640625" style="29"/>
    <col min="3061" max="3061" width="22.109375" style="29" customWidth="1"/>
    <col min="3062" max="3068" width="13.6640625" style="29" customWidth="1"/>
    <col min="3069" max="3069" width="15.88671875" style="29" customWidth="1"/>
    <col min="3070" max="3070" width="16.5546875" style="29" bestFit="1" customWidth="1"/>
    <col min="3071" max="3071" width="13.6640625" style="29" customWidth="1"/>
    <col min="3072" max="3072" width="17.109375" style="29" bestFit="1" customWidth="1"/>
    <col min="3073" max="3073" width="4" style="29" customWidth="1"/>
    <col min="3074" max="3074" width="13.6640625" style="29" customWidth="1"/>
    <col min="3075" max="3316" width="13.6640625" style="29"/>
    <col min="3317" max="3317" width="22.109375" style="29" customWidth="1"/>
    <col min="3318" max="3324" width="13.6640625" style="29" customWidth="1"/>
    <col min="3325" max="3325" width="15.88671875" style="29" customWidth="1"/>
    <col min="3326" max="3326" width="16.5546875" style="29" bestFit="1" customWidth="1"/>
    <col min="3327" max="3327" width="13.6640625" style="29" customWidth="1"/>
    <col min="3328" max="3328" width="17.109375" style="29" bestFit="1" customWidth="1"/>
    <col min="3329" max="3329" width="4" style="29" customWidth="1"/>
    <col min="3330" max="3330" width="13.6640625" style="29" customWidth="1"/>
    <col min="3331" max="3572" width="13.6640625" style="29"/>
    <col min="3573" max="3573" width="22.109375" style="29" customWidth="1"/>
    <col min="3574" max="3580" width="13.6640625" style="29" customWidth="1"/>
    <col min="3581" max="3581" width="15.88671875" style="29" customWidth="1"/>
    <col min="3582" max="3582" width="16.5546875" style="29" bestFit="1" customWidth="1"/>
    <col min="3583" max="3583" width="13.6640625" style="29" customWidth="1"/>
    <col min="3584" max="3584" width="17.109375" style="29" bestFit="1" customWidth="1"/>
    <col min="3585" max="3585" width="4" style="29" customWidth="1"/>
    <col min="3586" max="3586" width="13.6640625" style="29" customWidth="1"/>
    <col min="3587" max="3828" width="13.6640625" style="29"/>
    <col min="3829" max="3829" width="22.109375" style="29" customWidth="1"/>
    <col min="3830" max="3836" width="13.6640625" style="29" customWidth="1"/>
    <col min="3837" max="3837" width="15.88671875" style="29" customWidth="1"/>
    <col min="3838" max="3838" width="16.5546875" style="29" bestFit="1" customWidth="1"/>
    <col min="3839" max="3839" width="13.6640625" style="29" customWidth="1"/>
    <col min="3840" max="3840" width="17.109375" style="29" bestFit="1" customWidth="1"/>
    <col min="3841" max="3841" width="4" style="29" customWidth="1"/>
    <col min="3842" max="3842" width="13.6640625" style="29" customWidth="1"/>
    <col min="3843" max="4084" width="13.6640625" style="29"/>
    <col min="4085" max="4085" width="22.109375" style="29" customWidth="1"/>
    <col min="4086" max="4092" width="13.6640625" style="29" customWidth="1"/>
    <col min="4093" max="4093" width="15.88671875" style="29" customWidth="1"/>
    <col min="4094" max="4094" width="16.5546875" style="29" bestFit="1" customWidth="1"/>
    <col min="4095" max="4095" width="13.6640625" style="29" customWidth="1"/>
    <col min="4096" max="4096" width="17.109375" style="29" bestFit="1" customWidth="1"/>
    <col min="4097" max="4097" width="4" style="29" customWidth="1"/>
    <col min="4098" max="4098" width="13.6640625" style="29" customWidth="1"/>
    <col min="4099" max="4340" width="13.6640625" style="29"/>
    <col min="4341" max="4341" width="22.109375" style="29" customWidth="1"/>
    <col min="4342" max="4348" width="13.6640625" style="29" customWidth="1"/>
    <col min="4349" max="4349" width="15.88671875" style="29" customWidth="1"/>
    <col min="4350" max="4350" width="16.5546875" style="29" bestFit="1" customWidth="1"/>
    <col min="4351" max="4351" width="13.6640625" style="29" customWidth="1"/>
    <col min="4352" max="4352" width="17.109375" style="29" bestFit="1" customWidth="1"/>
    <col min="4353" max="4353" width="4" style="29" customWidth="1"/>
    <col min="4354" max="4354" width="13.6640625" style="29" customWidth="1"/>
    <col min="4355" max="4596" width="13.6640625" style="29"/>
    <col min="4597" max="4597" width="22.109375" style="29" customWidth="1"/>
    <col min="4598" max="4604" width="13.6640625" style="29" customWidth="1"/>
    <col min="4605" max="4605" width="15.88671875" style="29" customWidth="1"/>
    <col min="4606" max="4606" width="16.5546875" style="29" bestFit="1" customWidth="1"/>
    <col min="4607" max="4607" width="13.6640625" style="29" customWidth="1"/>
    <col min="4608" max="4608" width="17.109375" style="29" bestFit="1" customWidth="1"/>
    <col min="4609" max="4609" width="4" style="29" customWidth="1"/>
    <col min="4610" max="4610" width="13.6640625" style="29" customWidth="1"/>
    <col min="4611" max="4852" width="13.6640625" style="29"/>
    <col min="4853" max="4853" width="22.109375" style="29" customWidth="1"/>
    <col min="4854" max="4860" width="13.6640625" style="29" customWidth="1"/>
    <col min="4861" max="4861" width="15.88671875" style="29" customWidth="1"/>
    <col min="4862" max="4862" width="16.5546875" style="29" bestFit="1" customWidth="1"/>
    <col min="4863" max="4863" width="13.6640625" style="29" customWidth="1"/>
    <col min="4864" max="4864" width="17.109375" style="29" bestFit="1" customWidth="1"/>
    <col min="4865" max="4865" width="4" style="29" customWidth="1"/>
    <col min="4866" max="4866" width="13.6640625" style="29" customWidth="1"/>
    <col min="4867" max="5108" width="13.6640625" style="29"/>
    <col min="5109" max="5109" width="22.109375" style="29" customWidth="1"/>
    <col min="5110" max="5116" width="13.6640625" style="29" customWidth="1"/>
    <col min="5117" max="5117" width="15.88671875" style="29" customWidth="1"/>
    <col min="5118" max="5118" width="16.5546875" style="29" bestFit="1" customWidth="1"/>
    <col min="5119" max="5119" width="13.6640625" style="29" customWidth="1"/>
    <col min="5120" max="5120" width="17.109375" style="29" bestFit="1" customWidth="1"/>
    <col min="5121" max="5121" width="4" style="29" customWidth="1"/>
    <col min="5122" max="5122" width="13.6640625" style="29" customWidth="1"/>
    <col min="5123" max="5364" width="13.6640625" style="29"/>
    <col min="5365" max="5365" width="22.109375" style="29" customWidth="1"/>
    <col min="5366" max="5372" width="13.6640625" style="29" customWidth="1"/>
    <col min="5373" max="5373" width="15.88671875" style="29" customWidth="1"/>
    <col min="5374" max="5374" width="16.5546875" style="29" bestFit="1" customWidth="1"/>
    <col min="5375" max="5375" width="13.6640625" style="29" customWidth="1"/>
    <col min="5376" max="5376" width="17.109375" style="29" bestFit="1" customWidth="1"/>
    <col min="5377" max="5377" width="4" style="29" customWidth="1"/>
    <col min="5378" max="5378" width="13.6640625" style="29" customWidth="1"/>
    <col min="5379" max="5620" width="13.6640625" style="29"/>
    <col min="5621" max="5621" width="22.109375" style="29" customWidth="1"/>
    <col min="5622" max="5628" width="13.6640625" style="29" customWidth="1"/>
    <col min="5629" max="5629" width="15.88671875" style="29" customWidth="1"/>
    <col min="5630" max="5630" width="16.5546875" style="29" bestFit="1" customWidth="1"/>
    <col min="5631" max="5631" width="13.6640625" style="29" customWidth="1"/>
    <col min="5632" max="5632" width="17.109375" style="29" bestFit="1" customWidth="1"/>
    <col min="5633" max="5633" width="4" style="29" customWidth="1"/>
    <col min="5634" max="5634" width="13.6640625" style="29" customWidth="1"/>
    <col min="5635" max="5876" width="13.6640625" style="29"/>
    <col min="5877" max="5877" width="22.109375" style="29" customWidth="1"/>
    <col min="5878" max="5884" width="13.6640625" style="29" customWidth="1"/>
    <col min="5885" max="5885" width="15.88671875" style="29" customWidth="1"/>
    <col min="5886" max="5886" width="16.5546875" style="29" bestFit="1" customWidth="1"/>
    <col min="5887" max="5887" width="13.6640625" style="29" customWidth="1"/>
    <col min="5888" max="5888" width="17.109375" style="29" bestFit="1" customWidth="1"/>
    <col min="5889" max="5889" width="4" style="29" customWidth="1"/>
    <col min="5890" max="5890" width="13.6640625" style="29" customWidth="1"/>
    <col min="5891" max="6132" width="13.6640625" style="29"/>
    <col min="6133" max="6133" width="22.109375" style="29" customWidth="1"/>
    <col min="6134" max="6140" width="13.6640625" style="29" customWidth="1"/>
    <col min="6141" max="6141" width="15.88671875" style="29" customWidth="1"/>
    <col min="6142" max="6142" width="16.5546875" style="29" bestFit="1" customWidth="1"/>
    <col min="6143" max="6143" width="13.6640625" style="29" customWidth="1"/>
    <col min="6144" max="6144" width="17.109375" style="29" bestFit="1" customWidth="1"/>
    <col min="6145" max="6145" width="4" style="29" customWidth="1"/>
    <col min="6146" max="6146" width="13.6640625" style="29" customWidth="1"/>
    <col min="6147" max="6388" width="13.6640625" style="29"/>
    <col min="6389" max="6389" width="22.109375" style="29" customWidth="1"/>
    <col min="6390" max="6396" width="13.6640625" style="29" customWidth="1"/>
    <col min="6397" max="6397" width="15.88671875" style="29" customWidth="1"/>
    <col min="6398" max="6398" width="16.5546875" style="29" bestFit="1" customWidth="1"/>
    <col min="6399" max="6399" width="13.6640625" style="29" customWidth="1"/>
    <col min="6400" max="6400" width="17.109375" style="29" bestFit="1" customWidth="1"/>
    <col min="6401" max="6401" width="4" style="29" customWidth="1"/>
    <col min="6402" max="6402" width="13.6640625" style="29" customWidth="1"/>
    <col min="6403" max="6644" width="13.6640625" style="29"/>
    <col min="6645" max="6645" width="22.109375" style="29" customWidth="1"/>
    <col min="6646" max="6652" width="13.6640625" style="29" customWidth="1"/>
    <col min="6653" max="6653" width="15.88671875" style="29" customWidth="1"/>
    <col min="6654" max="6654" width="16.5546875" style="29" bestFit="1" customWidth="1"/>
    <col min="6655" max="6655" width="13.6640625" style="29" customWidth="1"/>
    <col min="6656" max="6656" width="17.109375" style="29" bestFit="1" customWidth="1"/>
    <col min="6657" max="6657" width="4" style="29" customWidth="1"/>
    <col min="6658" max="6658" width="13.6640625" style="29" customWidth="1"/>
    <col min="6659" max="6900" width="13.6640625" style="29"/>
    <col min="6901" max="6901" width="22.109375" style="29" customWidth="1"/>
    <col min="6902" max="6908" width="13.6640625" style="29" customWidth="1"/>
    <col min="6909" max="6909" width="15.88671875" style="29" customWidth="1"/>
    <col min="6910" max="6910" width="16.5546875" style="29" bestFit="1" customWidth="1"/>
    <col min="6911" max="6911" width="13.6640625" style="29" customWidth="1"/>
    <col min="6912" max="6912" width="17.109375" style="29" bestFit="1" customWidth="1"/>
    <col min="6913" max="6913" width="4" style="29" customWidth="1"/>
    <col min="6914" max="6914" width="13.6640625" style="29" customWidth="1"/>
    <col min="6915" max="7156" width="13.6640625" style="29"/>
    <col min="7157" max="7157" width="22.109375" style="29" customWidth="1"/>
    <col min="7158" max="7164" width="13.6640625" style="29" customWidth="1"/>
    <col min="7165" max="7165" width="15.88671875" style="29" customWidth="1"/>
    <col min="7166" max="7166" width="16.5546875" style="29" bestFit="1" customWidth="1"/>
    <col min="7167" max="7167" width="13.6640625" style="29" customWidth="1"/>
    <col min="7168" max="7168" width="17.109375" style="29" bestFit="1" customWidth="1"/>
    <col min="7169" max="7169" width="4" style="29" customWidth="1"/>
    <col min="7170" max="7170" width="13.6640625" style="29" customWidth="1"/>
    <col min="7171" max="7412" width="13.6640625" style="29"/>
    <col min="7413" max="7413" width="22.109375" style="29" customWidth="1"/>
    <col min="7414" max="7420" width="13.6640625" style="29" customWidth="1"/>
    <col min="7421" max="7421" width="15.88671875" style="29" customWidth="1"/>
    <col min="7422" max="7422" width="16.5546875" style="29" bestFit="1" customWidth="1"/>
    <col min="7423" max="7423" width="13.6640625" style="29" customWidth="1"/>
    <col min="7424" max="7424" width="17.109375" style="29" bestFit="1" customWidth="1"/>
    <col min="7425" max="7425" width="4" style="29" customWidth="1"/>
    <col min="7426" max="7426" width="13.6640625" style="29" customWidth="1"/>
    <col min="7427" max="7668" width="13.6640625" style="29"/>
    <col min="7669" max="7669" width="22.109375" style="29" customWidth="1"/>
    <col min="7670" max="7676" width="13.6640625" style="29" customWidth="1"/>
    <col min="7677" max="7677" width="15.88671875" style="29" customWidth="1"/>
    <col min="7678" max="7678" width="16.5546875" style="29" bestFit="1" customWidth="1"/>
    <col min="7679" max="7679" width="13.6640625" style="29" customWidth="1"/>
    <col min="7680" max="7680" width="17.109375" style="29" bestFit="1" customWidth="1"/>
    <col min="7681" max="7681" width="4" style="29" customWidth="1"/>
    <col min="7682" max="7682" width="13.6640625" style="29" customWidth="1"/>
    <col min="7683" max="7924" width="13.6640625" style="29"/>
    <col min="7925" max="7925" width="22.109375" style="29" customWidth="1"/>
    <col min="7926" max="7932" width="13.6640625" style="29" customWidth="1"/>
    <col min="7933" max="7933" width="15.88671875" style="29" customWidth="1"/>
    <col min="7934" max="7934" width="16.5546875" style="29" bestFit="1" customWidth="1"/>
    <col min="7935" max="7935" width="13.6640625" style="29" customWidth="1"/>
    <col min="7936" max="7936" width="17.109375" style="29" bestFit="1" customWidth="1"/>
    <col min="7937" max="7937" width="4" style="29" customWidth="1"/>
    <col min="7938" max="7938" width="13.6640625" style="29" customWidth="1"/>
    <col min="7939" max="8180" width="13.6640625" style="29"/>
    <col min="8181" max="8181" width="22.109375" style="29" customWidth="1"/>
    <col min="8182" max="8188" width="13.6640625" style="29" customWidth="1"/>
    <col min="8189" max="8189" width="15.88671875" style="29" customWidth="1"/>
    <col min="8190" max="8190" width="16.5546875" style="29" bestFit="1" customWidth="1"/>
    <col min="8191" max="8191" width="13.6640625" style="29" customWidth="1"/>
    <col min="8192" max="8192" width="17.109375" style="29" bestFit="1" customWidth="1"/>
    <col min="8193" max="8193" width="4" style="29" customWidth="1"/>
    <col min="8194" max="8194" width="13.6640625" style="29" customWidth="1"/>
    <col min="8195" max="8436" width="13.6640625" style="29"/>
    <col min="8437" max="8437" width="22.109375" style="29" customWidth="1"/>
    <col min="8438" max="8444" width="13.6640625" style="29" customWidth="1"/>
    <col min="8445" max="8445" width="15.88671875" style="29" customWidth="1"/>
    <col min="8446" max="8446" width="16.5546875" style="29" bestFit="1" customWidth="1"/>
    <col min="8447" max="8447" width="13.6640625" style="29" customWidth="1"/>
    <col min="8448" max="8448" width="17.109375" style="29" bestFit="1" customWidth="1"/>
    <col min="8449" max="8449" width="4" style="29" customWidth="1"/>
    <col min="8450" max="8450" width="13.6640625" style="29" customWidth="1"/>
    <col min="8451" max="8692" width="13.6640625" style="29"/>
    <col min="8693" max="8693" width="22.109375" style="29" customWidth="1"/>
    <col min="8694" max="8700" width="13.6640625" style="29" customWidth="1"/>
    <col min="8701" max="8701" width="15.88671875" style="29" customWidth="1"/>
    <col min="8702" max="8702" width="16.5546875" style="29" bestFit="1" customWidth="1"/>
    <col min="8703" max="8703" width="13.6640625" style="29" customWidth="1"/>
    <col min="8704" max="8704" width="17.109375" style="29" bestFit="1" customWidth="1"/>
    <col min="8705" max="8705" width="4" style="29" customWidth="1"/>
    <col min="8706" max="8706" width="13.6640625" style="29" customWidth="1"/>
    <col min="8707" max="8948" width="13.6640625" style="29"/>
    <col min="8949" max="8949" width="22.109375" style="29" customWidth="1"/>
    <col min="8950" max="8956" width="13.6640625" style="29" customWidth="1"/>
    <col min="8957" max="8957" width="15.88671875" style="29" customWidth="1"/>
    <col min="8958" max="8958" width="16.5546875" style="29" bestFit="1" customWidth="1"/>
    <col min="8959" max="8959" width="13.6640625" style="29" customWidth="1"/>
    <col min="8960" max="8960" width="17.109375" style="29" bestFit="1" customWidth="1"/>
    <col min="8961" max="8961" width="4" style="29" customWidth="1"/>
    <col min="8962" max="8962" width="13.6640625" style="29" customWidth="1"/>
    <col min="8963" max="9204" width="13.6640625" style="29"/>
    <col min="9205" max="9205" width="22.109375" style="29" customWidth="1"/>
    <col min="9206" max="9212" width="13.6640625" style="29" customWidth="1"/>
    <col min="9213" max="9213" width="15.88671875" style="29" customWidth="1"/>
    <col min="9214" max="9214" width="16.5546875" style="29" bestFit="1" customWidth="1"/>
    <col min="9215" max="9215" width="13.6640625" style="29" customWidth="1"/>
    <col min="9216" max="9216" width="17.109375" style="29" bestFit="1" customWidth="1"/>
    <col min="9217" max="9217" width="4" style="29" customWidth="1"/>
    <col min="9218" max="9218" width="13.6640625" style="29" customWidth="1"/>
    <col min="9219" max="9460" width="13.6640625" style="29"/>
    <col min="9461" max="9461" width="22.109375" style="29" customWidth="1"/>
    <col min="9462" max="9468" width="13.6640625" style="29" customWidth="1"/>
    <col min="9469" max="9469" width="15.88671875" style="29" customWidth="1"/>
    <col min="9470" max="9470" width="16.5546875" style="29" bestFit="1" customWidth="1"/>
    <col min="9471" max="9471" width="13.6640625" style="29" customWidth="1"/>
    <col min="9472" max="9472" width="17.109375" style="29" bestFit="1" customWidth="1"/>
    <col min="9473" max="9473" width="4" style="29" customWidth="1"/>
    <col min="9474" max="9474" width="13.6640625" style="29" customWidth="1"/>
    <col min="9475" max="9716" width="13.6640625" style="29"/>
    <col min="9717" max="9717" width="22.109375" style="29" customWidth="1"/>
    <col min="9718" max="9724" width="13.6640625" style="29" customWidth="1"/>
    <col min="9725" max="9725" width="15.88671875" style="29" customWidth="1"/>
    <col min="9726" max="9726" width="16.5546875" style="29" bestFit="1" customWidth="1"/>
    <col min="9727" max="9727" width="13.6640625" style="29" customWidth="1"/>
    <col min="9728" max="9728" width="17.109375" style="29" bestFit="1" customWidth="1"/>
    <col min="9729" max="9729" width="4" style="29" customWidth="1"/>
    <col min="9730" max="9730" width="13.6640625" style="29" customWidth="1"/>
    <col min="9731" max="9972" width="13.6640625" style="29"/>
    <col min="9973" max="9973" width="22.109375" style="29" customWidth="1"/>
    <col min="9974" max="9980" width="13.6640625" style="29" customWidth="1"/>
    <col min="9981" max="9981" width="15.88671875" style="29" customWidth="1"/>
    <col min="9982" max="9982" width="16.5546875" style="29" bestFit="1" customWidth="1"/>
    <col min="9983" max="9983" width="13.6640625" style="29" customWidth="1"/>
    <col min="9984" max="9984" width="17.109375" style="29" bestFit="1" customWidth="1"/>
    <col min="9985" max="9985" width="4" style="29" customWidth="1"/>
    <col min="9986" max="9986" width="13.6640625" style="29" customWidth="1"/>
    <col min="9987" max="10228" width="13.6640625" style="29"/>
    <col min="10229" max="10229" width="22.109375" style="29" customWidth="1"/>
    <col min="10230" max="10236" width="13.6640625" style="29" customWidth="1"/>
    <col min="10237" max="10237" width="15.88671875" style="29" customWidth="1"/>
    <col min="10238" max="10238" width="16.5546875" style="29" bestFit="1" customWidth="1"/>
    <col min="10239" max="10239" width="13.6640625" style="29" customWidth="1"/>
    <col min="10240" max="10240" width="17.109375" style="29" bestFit="1" customWidth="1"/>
    <col min="10241" max="10241" width="4" style="29" customWidth="1"/>
    <col min="10242" max="10242" width="13.6640625" style="29" customWidth="1"/>
    <col min="10243" max="10484" width="13.6640625" style="29"/>
    <col min="10485" max="10485" width="22.109375" style="29" customWidth="1"/>
    <col min="10486" max="10492" width="13.6640625" style="29" customWidth="1"/>
    <col min="10493" max="10493" width="15.88671875" style="29" customWidth="1"/>
    <col min="10494" max="10494" width="16.5546875" style="29" bestFit="1" customWidth="1"/>
    <col min="10495" max="10495" width="13.6640625" style="29" customWidth="1"/>
    <col min="10496" max="10496" width="17.109375" style="29" bestFit="1" customWidth="1"/>
    <col min="10497" max="10497" width="4" style="29" customWidth="1"/>
    <col min="10498" max="10498" width="13.6640625" style="29" customWidth="1"/>
    <col min="10499" max="10740" width="13.6640625" style="29"/>
    <col min="10741" max="10741" width="22.109375" style="29" customWidth="1"/>
    <col min="10742" max="10748" width="13.6640625" style="29" customWidth="1"/>
    <col min="10749" max="10749" width="15.88671875" style="29" customWidth="1"/>
    <col min="10750" max="10750" width="16.5546875" style="29" bestFit="1" customWidth="1"/>
    <col min="10751" max="10751" width="13.6640625" style="29" customWidth="1"/>
    <col min="10752" max="10752" width="17.109375" style="29" bestFit="1" customWidth="1"/>
    <col min="10753" max="10753" width="4" style="29" customWidth="1"/>
    <col min="10754" max="10754" width="13.6640625" style="29" customWidth="1"/>
    <col min="10755" max="10996" width="13.6640625" style="29"/>
    <col min="10997" max="10997" width="22.109375" style="29" customWidth="1"/>
    <col min="10998" max="11004" width="13.6640625" style="29" customWidth="1"/>
    <col min="11005" max="11005" width="15.88671875" style="29" customWidth="1"/>
    <col min="11006" max="11006" width="16.5546875" style="29" bestFit="1" customWidth="1"/>
    <col min="11007" max="11007" width="13.6640625" style="29" customWidth="1"/>
    <col min="11008" max="11008" width="17.109375" style="29" bestFit="1" customWidth="1"/>
    <col min="11009" max="11009" width="4" style="29" customWidth="1"/>
    <col min="11010" max="11010" width="13.6640625" style="29" customWidth="1"/>
    <col min="11011" max="11252" width="13.6640625" style="29"/>
    <col min="11253" max="11253" width="22.109375" style="29" customWidth="1"/>
    <col min="11254" max="11260" width="13.6640625" style="29" customWidth="1"/>
    <col min="11261" max="11261" width="15.88671875" style="29" customWidth="1"/>
    <col min="11262" max="11262" width="16.5546875" style="29" bestFit="1" customWidth="1"/>
    <col min="11263" max="11263" width="13.6640625" style="29" customWidth="1"/>
    <col min="11264" max="11264" width="17.109375" style="29" bestFit="1" customWidth="1"/>
    <col min="11265" max="11265" width="4" style="29" customWidth="1"/>
    <col min="11266" max="11266" width="13.6640625" style="29" customWidth="1"/>
    <col min="11267" max="11508" width="13.6640625" style="29"/>
    <col min="11509" max="11509" width="22.109375" style="29" customWidth="1"/>
    <col min="11510" max="11516" width="13.6640625" style="29" customWidth="1"/>
    <col min="11517" max="11517" width="15.88671875" style="29" customWidth="1"/>
    <col min="11518" max="11518" width="16.5546875" style="29" bestFit="1" customWidth="1"/>
    <col min="11519" max="11519" width="13.6640625" style="29" customWidth="1"/>
    <col min="11520" max="11520" width="17.109375" style="29" bestFit="1" customWidth="1"/>
    <col min="11521" max="11521" width="4" style="29" customWidth="1"/>
    <col min="11522" max="11522" width="13.6640625" style="29" customWidth="1"/>
    <col min="11523" max="11764" width="13.6640625" style="29"/>
    <col min="11765" max="11765" width="22.109375" style="29" customWidth="1"/>
    <col min="11766" max="11772" width="13.6640625" style="29" customWidth="1"/>
    <col min="11773" max="11773" width="15.88671875" style="29" customWidth="1"/>
    <col min="11774" max="11774" width="16.5546875" style="29" bestFit="1" customWidth="1"/>
    <col min="11775" max="11775" width="13.6640625" style="29" customWidth="1"/>
    <col min="11776" max="11776" width="17.109375" style="29" bestFit="1" customWidth="1"/>
    <col min="11777" max="11777" width="4" style="29" customWidth="1"/>
    <col min="11778" max="11778" width="13.6640625" style="29" customWidth="1"/>
    <col min="11779" max="12020" width="13.6640625" style="29"/>
    <col min="12021" max="12021" width="22.109375" style="29" customWidth="1"/>
    <col min="12022" max="12028" width="13.6640625" style="29" customWidth="1"/>
    <col min="12029" max="12029" width="15.88671875" style="29" customWidth="1"/>
    <col min="12030" max="12030" width="16.5546875" style="29" bestFit="1" customWidth="1"/>
    <col min="12031" max="12031" width="13.6640625" style="29" customWidth="1"/>
    <col min="12032" max="12032" width="17.109375" style="29" bestFit="1" customWidth="1"/>
    <col min="12033" max="12033" width="4" style="29" customWidth="1"/>
    <col min="12034" max="12034" width="13.6640625" style="29" customWidth="1"/>
    <col min="12035" max="12276" width="13.6640625" style="29"/>
    <col min="12277" max="12277" width="22.109375" style="29" customWidth="1"/>
    <col min="12278" max="12284" width="13.6640625" style="29" customWidth="1"/>
    <col min="12285" max="12285" width="15.88671875" style="29" customWidth="1"/>
    <col min="12286" max="12286" width="16.5546875" style="29" bestFit="1" customWidth="1"/>
    <col min="12287" max="12287" width="13.6640625" style="29" customWidth="1"/>
    <col min="12288" max="12288" width="17.109375" style="29" bestFit="1" customWidth="1"/>
    <col min="12289" max="12289" width="4" style="29" customWidth="1"/>
    <col min="12290" max="12290" width="13.6640625" style="29" customWidth="1"/>
    <col min="12291" max="12532" width="13.6640625" style="29"/>
    <col min="12533" max="12533" width="22.109375" style="29" customWidth="1"/>
    <col min="12534" max="12540" width="13.6640625" style="29" customWidth="1"/>
    <col min="12541" max="12541" width="15.88671875" style="29" customWidth="1"/>
    <col min="12542" max="12542" width="16.5546875" style="29" bestFit="1" customWidth="1"/>
    <col min="12543" max="12543" width="13.6640625" style="29" customWidth="1"/>
    <col min="12544" max="12544" width="17.109375" style="29" bestFit="1" customWidth="1"/>
    <col min="12545" max="12545" width="4" style="29" customWidth="1"/>
    <col min="12546" max="12546" width="13.6640625" style="29" customWidth="1"/>
    <col min="12547" max="12788" width="13.6640625" style="29"/>
    <col min="12789" max="12789" width="22.109375" style="29" customWidth="1"/>
    <col min="12790" max="12796" width="13.6640625" style="29" customWidth="1"/>
    <col min="12797" max="12797" width="15.88671875" style="29" customWidth="1"/>
    <col min="12798" max="12798" width="16.5546875" style="29" bestFit="1" customWidth="1"/>
    <col min="12799" max="12799" width="13.6640625" style="29" customWidth="1"/>
    <col min="12800" max="12800" width="17.109375" style="29" bestFit="1" customWidth="1"/>
    <col min="12801" max="12801" width="4" style="29" customWidth="1"/>
    <col min="12802" max="12802" width="13.6640625" style="29" customWidth="1"/>
    <col min="12803" max="13044" width="13.6640625" style="29"/>
    <col min="13045" max="13045" width="22.109375" style="29" customWidth="1"/>
    <col min="13046" max="13052" width="13.6640625" style="29" customWidth="1"/>
    <col min="13053" max="13053" width="15.88671875" style="29" customWidth="1"/>
    <col min="13054" max="13054" width="16.5546875" style="29" bestFit="1" customWidth="1"/>
    <col min="13055" max="13055" width="13.6640625" style="29" customWidth="1"/>
    <col min="13056" max="13056" width="17.109375" style="29" bestFit="1" customWidth="1"/>
    <col min="13057" max="13057" width="4" style="29" customWidth="1"/>
    <col min="13058" max="13058" width="13.6640625" style="29" customWidth="1"/>
    <col min="13059" max="13300" width="13.6640625" style="29"/>
    <col min="13301" max="13301" width="22.109375" style="29" customWidth="1"/>
    <col min="13302" max="13308" width="13.6640625" style="29" customWidth="1"/>
    <col min="13309" max="13309" width="15.88671875" style="29" customWidth="1"/>
    <col min="13310" max="13310" width="16.5546875" style="29" bestFit="1" customWidth="1"/>
    <col min="13311" max="13311" width="13.6640625" style="29" customWidth="1"/>
    <col min="13312" max="13312" width="17.109375" style="29" bestFit="1" customWidth="1"/>
    <col min="13313" max="13313" width="4" style="29" customWidth="1"/>
    <col min="13314" max="13314" width="13.6640625" style="29" customWidth="1"/>
    <col min="13315" max="13556" width="13.6640625" style="29"/>
    <col min="13557" max="13557" width="22.109375" style="29" customWidth="1"/>
    <col min="13558" max="13564" width="13.6640625" style="29" customWidth="1"/>
    <col min="13565" max="13565" width="15.88671875" style="29" customWidth="1"/>
    <col min="13566" max="13566" width="16.5546875" style="29" bestFit="1" customWidth="1"/>
    <col min="13567" max="13567" width="13.6640625" style="29" customWidth="1"/>
    <col min="13568" max="13568" width="17.109375" style="29" bestFit="1" customWidth="1"/>
    <col min="13569" max="13569" width="4" style="29" customWidth="1"/>
    <col min="13570" max="13570" width="13.6640625" style="29" customWidth="1"/>
    <col min="13571" max="13812" width="13.6640625" style="29"/>
    <col min="13813" max="13813" width="22.109375" style="29" customWidth="1"/>
    <col min="13814" max="13820" width="13.6640625" style="29" customWidth="1"/>
    <col min="13821" max="13821" width="15.88671875" style="29" customWidth="1"/>
    <col min="13822" max="13822" width="16.5546875" style="29" bestFit="1" customWidth="1"/>
    <col min="13823" max="13823" width="13.6640625" style="29" customWidth="1"/>
    <col min="13824" max="13824" width="17.109375" style="29" bestFit="1" customWidth="1"/>
    <col min="13825" max="13825" width="4" style="29" customWidth="1"/>
    <col min="13826" max="13826" width="13.6640625" style="29" customWidth="1"/>
    <col min="13827" max="14068" width="13.6640625" style="29"/>
    <col min="14069" max="14069" width="22.109375" style="29" customWidth="1"/>
    <col min="14070" max="14076" width="13.6640625" style="29" customWidth="1"/>
    <col min="14077" max="14077" width="15.88671875" style="29" customWidth="1"/>
    <col min="14078" max="14078" width="16.5546875" style="29" bestFit="1" customWidth="1"/>
    <col min="14079" max="14079" width="13.6640625" style="29" customWidth="1"/>
    <col min="14080" max="14080" width="17.109375" style="29" bestFit="1" customWidth="1"/>
    <col min="14081" max="14081" width="4" style="29" customWidth="1"/>
    <col min="14082" max="14082" width="13.6640625" style="29" customWidth="1"/>
    <col min="14083" max="14324" width="13.6640625" style="29"/>
    <col min="14325" max="14325" width="22.109375" style="29" customWidth="1"/>
    <col min="14326" max="14332" width="13.6640625" style="29" customWidth="1"/>
    <col min="14333" max="14333" width="15.88671875" style="29" customWidth="1"/>
    <col min="14334" max="14334" width="16.5546875" style="29" bestFit="1" customWidth="1"/>
    <col min="14335" max="14335" width="13.6640625" style="29" customWidth="1"/>
    <col min="14336" max="14336" width="17.109375" style="29" bestFit="1" customWidth="1"/>
    <col min="14337" max="14337" width="4" style="29" customWidth="1"/>
    <col min="14338" max="14338" width="13.6640625" style="29" customWidth="1"/>
    <col min="14339" max="14580" width="13.6640625" style="29"/>
    <col min="14581" max="14581" width="22.109375" style="29" customWidth="1"/>
    <col min="14582" max="14588" width="13.6640625" style="29" customWidth="1"/>
    <col min="14589" max="14589" width="15.88671875" style="29" customWidth="1"/>
    <col min="14590" max="14590" width="16.5546875" style="29" bestFit="1" customWidth="1"/>
    <col min="14591" max="14591" width="13.6640625" style="29" customWidth="1"/>
    <col min="14592" max="14592" width="17.109375" style="29" bestFit="1" customWidth="1"/>
    <col min="14593" max="14593" width="4" style="29" customWidth="1"/>
    <col min="14594" max="14594" width="13.6640625" style="29" customWidth="1"/>
    <col min="14595" max="14836" width="13.6640625" style="29"/>
    <col min="14837" max="14837" width="22.109375" style="29" customWidth="1"/>
    <col min="14838" max="14844" width="13.6640625" style="29" customWidth="1"/>
    <col min="14845" max="14845" width="15.88671875" style="29" customWidth="1"/>
    <col min="14846" max="14846" width="16.5546875" style="29" bestFit="1" customWidth="1"/>
    <col min="14847" max="14847" width="13.6640625" style="29" customWidth="1"/>
    <col min="14848" max="14848" width="17.109375" style="29" bestFit="1" customWidth="1"/>
    <col min="14849" max="14849" width="4" style="29" customWidth="1"/>
    <col min="14850" max="14850" width="13.6640625" style="29" customWidth="1"/>
    <col min="14851" max="15092" width="13.6640625" style="29"/>
    <col min="15093" max="15093" width="22.109375" style="29" customWidth="1"/>
    <col min="15094" max="15100" width="13.6640625" style="29" customWidth="1"/>
    <col min="15101" max="15101" width="15.88671875" style="29" customWidth="1"/>
    <col min="15102" max="15102" width="16.5546875" style="29" bestFit="1" customWidth="1"/>
    <col min="15103" max="15103" width="13.6640625" style="29" customWidth="1"/>
    <col min="15104" max="15104" width="17.109375" style="29" bestFit="1" customWidth="1"/>
    <col min="15105" max="15105" width="4" style="29" customWidth="1"/>
    <col min="15106" max="15106" width="13.6640625" style="29" customWidth="1"/>
    <col min="15107" max="15348" width="13.6640625" style="29"/>
    <col min="15349" max="15349" width="22.109375" style="29" customWidth="1"/>
    <col min="15350" max="15356" width="13.6640625" style="29" customWidth="1"/>
    <col min="15357" max="15357" width="15.88671875" style="29" customWidth="1"/>
    <col min="15358" max="15358" width="16.5546875" style="29" bestFit="1" customWidth="1"/>
    <col min="15359" max="15359" width="13.6640625" style="29" customWidth="1"/>
    <col min="15360" max="15360" width="17.109375" style="29" bestFit="1" customWidth="1"/>
    <col min="15361" max="15361" width="4" style="29" customWidth="1"/>
    <col min="15362" max="15362" width="13.6640625" style="29" customWidth="1"/>
    <col min="15363" max="15604" width="13.6640625" style="29"/>
    <col min="15605" max="15605" width="22.109375" style="29" customWidth="1"/>
    <col min="15606" max="15612" width="13.6640625" style="29" customWidth="1"/>
    <col min="15613" max="15613" width="15.88671875" style="29" customWidth="1"/>
    <col min="15614" max="15614" width="16.5546875" style="29" bestFit="1" customWidth="1"/>
    <col min="15615" max="15615" width="13.6640625" style="29" customWidth="1"/>
    <col min="15616" max="15616" width="17.109375" style="29" bestFit="1" customWidth="1"/>
    <col min="15617" max="15617" width="4" style="29" customWidth="1"/>
    <col min="15618" max="15618" width="13.6640625" style="29" customWidth="1"/>
    <col min="15619" max="15860" width="13.6640625" style="29"/>
    <col min="15861" max="15861" width="22.109375" style="29" customWidth="1"/>
    <col min="15862" max="15868" width="13.6640625" style="29" customWidth="1"/>
    <col min="15869" max="15869" width="15.88671875" style="29" customWidth="1"/>
    <col min="15870" max="15870" width="16.5546875" style="29" bestFit="1" customWidth="1"/>
    <col min="15871" max="15871" width="13.6640625" style="29" customWidth="1"/>
    <col min="15872" max="15872" width="17.109375" style="29" bestFit="1" customWidth="1"/>
    <col min="15873" max="15873" width="4" style="29" customWidth="1"/>
    <col min="15874" max="15874" width="13.6640625" style="29" customWidth="1"/>
    <col min="15875" max="16116" width="13.6640625" style="29"/>
    <col min="16117" max="16117" width="22.109375" style="29" customWidth="1"/>
    <col min="16118" max="16124" width="13.6640625" style="29" customWidth="1"/>
    <col min="16125" max="16125" width="15.88671875" style="29" customWidth="1"/>
    <col min="16126" max="16126" width="16.5546875" style="29" bestFit="1" customWidth="1"/>
    <col min="16127" max="16127" width="13.6640625" style="29" customWidth="1"/>
    <col min="16128" max="16128" width="17.109375" style="29" bestFit="1" customWidth="1"/>
    <col min="16129" max="16129" width="4" style="29" customWidth="1"/>
    <col min="16130" max="16130" width="13.6640625" style="29" customWidth="1"/>
    <col min="16131" max="16384" width="13.6640625" style="29"/>
  </cols>
  <sheetData>
    <row r="1" spans="1:22" s="23" customFormat="1">
      <c r="A1" s="485" t="s">
        <v>5</v>
      </c>
      <c r="B1" s="171"/>
      <c r="C1" s="171"/>
      <c r="D1" s="171"/>
      <c r="E1" s="96"/>
      <c r="F1" s="96"/>
      <c r="G1" s="172"/>
      <c r="H1" s="173"/>
      <c r="I1" s="173"/>
      <c r="J1" s="173"/>
      <c r="K1" s="173"/>
      <c r="L1" s="173"/>
    </row>
    <row r="2" spans="1:22" s="23" customFormat="1" ht="13.2" customHeight="1">
      <c r="A2" s="96"/>
      <c r="B2" s="171"/>
      <c r="C2" s="171"/>
      <c r="D2" s="171"/>
      <c r="E2" s="173"/>
      <c r="F2" s="173"/>
      <c r="G2" s="173"/>
      <c r="H2" s="173"/>
      <c r="I2" s="173"/>
      <c r="J2" s="173"/>
      <c r="K2" s="173"/>
      <c r="L2" s="173"/>
    </row>
    <row r="3" spans="1:22" s="23" customFormat="1" ht="15.6">
      <c r="A3" s="40" t="str">
        <f>'2-Kosten per locatie'!A3</f>
        <v>Naam opdrachtgever</v>
      </c>
      <c r="B3" s="154" t="str">
        <f>'2-Kosten per locatie'!B3</f>
        <v>Gemeente Barneveld</v>
      </c>
      <c r="C3" s="154"/>
      <c r="D3" s="154"/>
      <c r="E3" s="173"/>
      <c r="F3" s="173"/>
      <c r="G3" s="173"/>
      <c r="H3" s="173"/>
      <c r="I3" s="173"/>
      <c r="J3" s="173"/>
      <c r="K3" s="173"/>
      <c r="L3" s="173"/>
    </row>
    <row r="4" spans="1:22" s="23" customFormat="1" ht="15.6">
      <c r="A4" s="40" t="str">
        <f>'2-Kosten per locatie'!A4</f>
        <v>Calculatie onderdeel</v>
      </c>
      <c r="B4" s="154" t="str">
        <f ca="1">MID(CELL("bestandsnaam",$D$9),SEARCH("]",CELL("bestandsnaam",$D$9),1)+1,256)</f>
        <v>12-Sanitaire voorzieningen</v>
      </c>
      <c r="C4" s="154"/>
      <c r="D4" s="154"/>
      <c r="E4" s="173"/>
      <c r="F4" s="173"/>
      <c r="G4" s="173"/>
      <c r="H4" s="173"/>
      <c r="I4" s="173"/>
      <c r="J4" s="173"/>
      <c r="K4" s="173"/>
      <c r="L4" s="173"/>
    </row>
    <row r="5" spans="1:22" s="23" customFormat="1" ht="15.6">
      <c r="A5" s="40" t="str">
        <f>'2-Kosten per locatie'!A5</f>
        <v>Gebouw/plaats</v>
      </c>
      <c r="B5" s="154" t="str">
        <f>'2-Kosten per locatie'!B5</f>
        <v>Divers</v>
      </c>
      <c r="C5" s="154"/>
      <c r="D5" s="154"/>
      <c r="E5" s="173"/>
      <c r="F5" s="173"/>
      <c r="G5" s="173"/>
      <c r="H5" s="173"/>
      <c r="I5" s="173"/>
      <c r="J5" s="176"/>
      <c r="K5" s="176"/>
      <c r="L5" s="174"/>
      <c r="M5" s="24"/>
      <c r="N5" s="25"/>
      <c r="O5" s="25"/>
      <c r="P5" s="24"/>
      <c r="Q5" s="25"/>
      <c r="R5" s="25"/>
      <c r="S5" s="24"/>
      <c r="T5" s="25"/>
      <c r="U5" s="25"/>
      <c r="V5" s="24"/>
    </row>
    <row r="6" spans="1:22" s="23" customFormat="1" ht="17.25" customHeight="1">
      <c r="A6" s="40" t="str">
        <f>'2-Kosten per locatie'!A6</f>
        <v>Referentie nummer</v>
      </c>
      <c r="B6" s="154">
        <f>'2-Kosten per locatie'!B6</f>
        <v>0</v>
      </c>
      <c r="C6" s="154"/>
      <c r="D6" s="154"/>
      <c r="E6" s="173"/>
      <c r="F6" s="173"/>
      <c r="G6" s="173"/>
      <c r="H6" s="173"/>
      <c r="I6" s="173"/>
      <c r="J6" s="176"/>
      <c r="K6" s="182"/>
      <c r="L6" s="183"/>
      <c r="M6" s="28"/>
      <c r="N6" s="25"/>
      <c r="O6" s="27"/>
      <c r="P6" s="28"/>
      <c r="Q6" s="25"/>
      <c r="R6" s="27"/>
      <c r="S6" s="28"/>
      <c r="T6" s="25"/>
      <c r="U6" s="27"/>
      <c r="V6" s="28"/>
    </row>
    <row r="7" spans="1:22" s="23" customFormat="1" ht="17.25" customHeight="1">
      <c r="A7" s="40" t="str">
        <f>'2-Kosten per locatie'!A7</f>
        <v>Naam dienstverlener</v>
      </c>
      <c r="B7" s="154">
        <f>'2-Kosten per locatie'!B7</f>
        <v>0</v>
      </c>
      <c r="C7" s="154"/>
      <c r="D7" s="118"/>
      <c r="E7" s="173"/>
      <c r="F7" s="173"/>
      <c r="G7" s="173"/>
      <c r="H7" s="173"/>
      <c r="I7" s="173"/>
      <c r="J7" s="173"/>
      <c r="K7" s="173"/>
      <c r="L7" s="173"/>
    </row>
    <row r="8" spans="1:22" s="23" customFormat="1" ht="17.25" customHeight="1">
      <c r="A8" s="40" t="str">
        <f>'2-Kosten per locatie'!A8</f>
        <v>Prijspeil</v>
      </c>
      <c r="B8" s="293">
        <f>'2-Kosten per locatie'!B8</f>
        <v>46388</v>
      </c>
      <c r="C8" s="293"/>
      <c r="D8" s="50"/>
      <c r="E8" s="173"/>
      <c r="F8" s="173"/>
      <c r="G8" s="173"/>
      <c r="H8" s="173"/>
      <c r="I8" s="173"/>
      <c r="J8" s="173"/>
      <c r="K8" s="173"/>
      <c r="L8" s="173"/>
    </row>
    <row r="9" spans="1:22" s="23" customFormat="1" ht="17.25" customHeight="1">
      <c r="A9" s="173"/>
      <c r="B9" s="173"/>
      <c r="C9" s="173"/>
      <c r="D9" s="173"/>
      <c r="E9" s="173"/>
      <c r="F9" s="173"/>
      <c r="G9" s="173"/>
      <c r="H9" s="173"/>
      <c r="I9" s="173"/>
      <c r="J9" s="173"/>
      <c r="K9" s="173"/>
      <c r="L9" s="173"/>
    </row>
    <row r="10" spans="1:22" s="30" customFormat="1" ht="43.5" customHeight="1">
      <c r="A10" s="457" t="s">
        <v>25</v>
      </c>
      <c r="B10" s="457" t="s">
        <v>224</v>
      </c>
      <c r="C10" s="457" t="s">
        <v>577</v>
      </c>
      <c r="D10" s="458" t="s">
        <v>210</v>
      </c>
      <c r="E10" s="453" t="s">
        <v>225</v>
      </c>
      <c r="F10" s="218" t="s">
        <v>226</v>
      </c>
      <c r="G10" s="219" t="s">
        <v>227</v>
      </c>
      <c r="H10" s="220"/>
      <c r="I10" s="221" t="s">
        <v>228</v>
      </c>
      <c r="J10" s="222" t="s">
        <v>226</v>
      </c>
      <c r="K10" s="223" t="s">
        <v>577</v>
      </c>
      <c r="L10" s="223" t="s">
        <v>229</v>
      </c>
    </row>
    <row r="11" spans="1:22">
      <c r="A11" s="459" t="s">
        <v>497</v>
      </c>
      <c r="B11" s="184" t="s">
        <v>586</v>
      </c>
      <c r="C11" s="184"/>
      <c r="D11" s="454" t="s">
        <v>568</v>
      </c>
      <c r="E11" s="460">
        <v>6</v>
      </c>
      <c r="F11" s="461">
        <f>VLOOKUP(B11,$I$11:$J$25,2,FALSE)</f>
        <v>0</v>
      </c>
      <c r="G11" s="462">
        <f>F11*E11*52</f>
        <v>0</v>
      </c>
      <c r="I11" s="184" t="s">
        <v>586</v>
      </c>
      <c r="J11" s="295"/>
      <c r="K11" s="522" t="s">
        <v>578</v>
      </c>
      <c r="L11" s="522"/>
    </row>
    <row r="12" spans="1:22">
      <c r="A12" s="459" t="s">
        <v>497</v>
      </c>
      <c r="B12" s="184" t="s">
        <v>569</v>
      </c>
      <c r="C12" s="184"/>
      <c r="D12" s="454" t="s">
        <v>570</v>
      </c>
      <c r="E12" s="460">
        <v>6</v>
      </c>
      <c r="F12" s="461">
        <f t="shared" ref="F12:F22" si="0">VLOOKUP(B12,$I$11:$J$25,2,FALSE)</f>
        <v>0</v>
      </c>
      <c r="G12" s="462">
        <f t="shared" ref="G12:G22" si="1">F12*E12*52</f>
        <v>0</v>
      </c>
      <c r="I12" s="185" t="s">
        <v>569</v>
      </c>
      <c r="J12" s="295"/>
      <c r="K12" s="522" t="s">
        <v>579</v>
      </c>
      <c r="L12" s="522"/>
    </row>
    <row r="13" spans="1:22">
      <c r="A13" s="459" t="s">
        <v>497</v>
      </c>
      <c r="B13" s="184" t="s">
        <v>587</v>
      </c>
      <c r="C13" s="184"/>
      <c r="D13" s="456" t="s">
        <v>571</v>
      </c>
      <c r="E13" s="460">
        <v>8</v>
      </c>
      <c r="F13" s="461">
        <f t="shared" si="0"/>
        <v>0</v>
      </c>
      <c r="G13" s="462">
        <f t="shared" si="1"/>
        <v>0</v>
      </c>
      <c r="I13" s="185" t="s">
        <v>587</v>
      </c>
      <c r="J13" s="295"/>
      <c r="K13" s="522" t="s">
        <v>580</v>
      </c>
      <c r="L13" s="522"/>
    </row>
    <row r="14" spans="1:22">
      <c r="A14" s="459" t="s">
        <v>497</v>
      </c>
      <c r="B14" s="184" t="s">
        <v>572</v>
      </c>
      <c r="C14" s="184"/>
      <c r="D14" s="454"/>
      <c r="E14" s="460">
        <v>8</v>
      </c>
      <c r="F14" s="461">
        <f t="shared" si="0"/>
        <v>0</v>
      </c>
      <c r="G14" s="462">
        <f t="shared" si="1"/>
        <v>0</v>
      </c>
      <c r="I14" s="185" t="s">
        <v>572</v>
      </c>
      <c r="J14" s="295"/>
      <c r="K14" s="522" t="s">
        <v>581</v>
      </c>
      <c r="L14" s="522"/>
    </row>
    <row r="15" spans="1:22">
      <c r="A15" s="459" t="s">
        <v>497</v>
      </c>
      <c r="B15" s="184" t="s">
        <v>573</v>
      </c>
      <c r="C15" s="184"/>
      <c r="D15" s="454" t="s">
        <v>574</v>
      </c>
      <c r="E15" s="460">
        <v>8</v>
      </c>
      <c r="F15" s="461">
        <f t="shared" si="0"/>
        <v>0</v>
      </c>
      <c r="G15" s="462">
        <f t="shared" si="1"/>
        <v>0</v>
      </c>
      <c r="I15" s="185" t="s">
        <v>573</v>
      </c>
      <c r="J15" s="295"/>
      <c r="K15" s="522" t="s">
        <v>582</v>
      </c>
      <c r="L15" s="522"/>
    </row>
    <row r="16" spans="1:22">
      <c r="A16" s="459" t="s">
        <v>497</v>
      </c>
      <c r="B16" s="186" t="s">
        <v>575</v>
      </c>
      <c r="C16" s="186"/>
      <c r="D16" s="456" t="s">
        <v>576</v>
      </c>
      <c r="E16" s="460">
        <v>5</v>
      </c>
      <c r="F16" s="461">
        <f t="shared" si="0"/>
        <v>0</v>
      </c>
      <c r="G16" s="462">
        <f t="shared" si="1"/>
        <v>0</v>
      </c>
      <c r="I16" s="186" t="s">
        <v>575</v>
      </c>
      <c r="J16" s="295"/>
      <c r="K16" s="523" t="s">
        <v>583</v>
      </c>
      <c r="L16" s="522"/>
    </row>
    <row r="17" spans="1:12">
      <c r="A17" s="459"/>
      <c r="B17" s="187"/>
      <c r="C17" s="187"/>
      <c r="D17" s="456"/>
      <c r="E17" s="460"/>
      <c r="F17" s="461"/>
      <c r="G17" s="462"/>
      <c r="I17" s="187"/>
      <c r="J17" s="525"/>
      <c r="K17" s="522"/>
      <c r="L17" s="522"/>
    </row>
    <row r="18" spans="1:12">
      <c r="A18" s="459" t="s">
        <v>0</v>
      </c>
      <c r="B18" s="187" t="s">
        <v>588</v>
      </c>
      <c r="C18" s="187" t="s">
        <v>584</v>
      </c>
      <c r="D18" s="454" t="s">
        <v>585</v>
      </c>
      <c r="E18" s="460">
        <v>32</v>
      </c>
      <c r="F18" s="461">
        <f t="shared" si="0"/>
        <v>0</v>
      </c>
      <c r="G18" s="462">
        <f t="shared" si="1"/>
        <v>0</v>
      </c>
      <c r="I18" s="187" t="s">
        <v>588</v>
      </c>
      <c r="J18" s="295"/>
      <c r="K18" s="522" t="s">
        <v>590</v>
      </c>
      <c r="L18" s="522" t="s">
        <v>589</v>
      </c>
    </row>
    <row r="19" spans="1:12">
      <c r="A19" s="459" t="s">
        <v>0</v>
      </c>
      <c r="B19" s="187" t="s">
        <v>591</v>
      </c>
      <c r="C19" s="187" t="s">
        <v>584</v>
      </c>
      <c r="D19" s="454" t="s">
        <v>592</v>
      </c>
      <c r="E19" s="460">
        <v>5</v>
      </c>
      <c r="F19" s="461">
        <f t="shared" si="0"/>
        <v>0</v>
      </c>
      <c r="G19" s="462">
        <f t="shared" si="1"/>
        <v>0</v>
      </c>
      <c r="I19" s="187" t="s">
        <v>591</v>
      </c>
      <c r="J19" s="295"/>
      <c r="K19" s="522" t="s">
        <v>582</v>
      </c>
      <c r="L19" s="522" t="s">
        <v>593</v>
      </c>
    </row>
    <row r="20" spans="1:12">
      <c r="A20" s="186" t="s">
        <v>0</v>
      </c>
      <c r="B20" s="456" t="s">
        <v>594</v>
      </c>
      <c r="C20" s="456" t="s">
        <v>584</v>
      </c>
      <c r="D20" s="456" t="s">
        <v>595</v>
      </c>
      <c r="E20" s="460">
        <v>40</v>
      </c>
      <c r="F20" s="461">
        <f t="shared" si="0"/>
        <v>0</v>
      </c>
      <c r="G20" s="462">
        <f t="shared" si="1"/>
        <v>0</v>
      </c>
      <c r="I20" s="456" t="s">
        <v>594</v>
      </c>
      <c r="J20" s="295"/>
      <c r="K20" s="522" t="s">
        <v>596</v>
      </c>
      <c r="L20" s="522" t="s">
        <v>597</v>
      </c>
    </row>
    <row r="21" spans="1:12">
      <c r="A21" s="186" t="s">
        <v>0</v>
      </c>
      <c r="B21" s="454" t="s">
        <v>598</v>
      </c>
      <c r="C21" s="454" t="s">
        <v>584</v>
      </c>
      <c r="D21" s="454" t="s">
        <v>599</v>
      </c>
      <c r="E21" s="460">
        <v>35</v>
      </c>
      <c r="F21" s="461">
        <f t="shared" si="0"/>
        <v>0</v>
      </c>
      <c r="G21" s="462">
        <f t="shared" si="1"/>
        <v>0</v>
      </c>
      <c r="I21" s="454" t="s">
        <v>598</v>
      </c>
      <c r="J21" s="295"/>
      <c r="K21" s="522" t="s">
        <v>596</v>
      </c>
      <c r="L21" s="522" t="s">
        <v>600</v>
      </c>
    </row>
    <row r="22" spans="1:12">
      <c r="A22" s="186" t="s">
        <v>0</v>
      </c>
      <c r="B22" s="454" t="s">
        <v>601</v>
      </c>
      <c r="C22" s="454" t="s">
        <v>584</v>
      </c>
      <c r="D22" s="454" t="s">
        <v>602</v>
      </c>
      <c r="E22" s="460">
        <v>44</v>
      </c>
      <c r="F22" s="461">
        <f t="shared" si="0"/>
        <v>0</v>
      </c>
      <c r="G22" s="462">
        <f t="shared" si="1"/>
        <v>0</v>
      </c>
      <c r="I22" s="187" t="s">
        <v>601</v>
      </c>
      <c r="J22" s="295"/>
      <c r="K22" s="522"/>
      <c r="L22" s="522" t="s">
        <v>603</v>
      </c>
    </row>
    <row r="23" spans="1:12">
      <c r="A23" s="186" t="s">
        <v>0</v>
      </c>
      <c r="B23" s="456" t="s">
        <v>604</v>
      </c>
      <c r="C23" s="456" t="s">
        <v>584</v>
      </c>
      <c r="D23" s="456" t="s">
        <v>605</v>
      </c>
      <c r="E23" s="460">
        <v>24</v>
      </c>
      <c r="F23" s="461">
        <f t="shared" ref="F23" si="2">VLOOKUP(B23,$I$11:$J$25,2,FALSE)</f>
        <v>0</v>
      </c>
      <c r="G23" s="462">
        <f t="shared" ref="G23" si="3">F23*E23*52</f>
        <v>0</v>
      </c>
      <c r="I23" s="187" t="s">
        <v>604</v>
      </c>
      <c r="J23" s="295"/>
      <c r="K23" s="522" t="s">
        <v>583</v>
      </c>
      <c r="L23" s="522"/>
    </row>
    <row r="24" spans="1:12">
      <c r="A24" s="186" t="s">
        <v>0</v>
      </c>
      <c r="B24" s="454" t="s">
        <v>606</v>
      </c>
      <c r="C24" s="454" t="s">
        <v>584</v>
      </c>
      <c r="D24" s="454"/>
      <c r="E24" s="460">
        <v>1</v>
      </c>
      <c r="F24" s="461">
        <f t="shared" ref="F24:F25" si="4">VLOOKUP(B24,$I$11:$J$25,2,FALSE)</f>
        <v>0</v>
      </c>
      <c r="G24" s="462">
        <f t="shared" ref="G24:G25" si="5">F24*E24*52</f>
        <v>0</v>
      </c>
      <c r="I24" s="187" t="s">
        <v>606</v>
      </c>
      <c r="J24" s="295"/>
      <c r="K24" s="522" t="s">
        <v>583</v>
      </c>
      <c r="L24" s="522"/>
    </row>
    <row r="25" spans="1:12">
      <c r="A25" s="186" t="s">
        <v>0</v>
      </c>
      <c r="B25" s="454" t="s">
        <v>607</v>
      </c>
      <c r="C25" s="454" t="s">
        <v>584</v>
      </c>
      <c r="D25" s="454"/>
      <c r="E25" s="460">
        <v>1</v>
      </c>
      <c r="F25" s="461">
        <f t="shared" si="4"/>
        <v>0</v>
      </c>
      <c r="G25" s="462">
        <f t="shared" si="5"/>
        <v>0</v>
      </c>
      <c r="I25" s="187" t="s">
        <v>607</v>
      </c>
      <c r="J25" s="295"/>
      <c r="K25" s="522" t="s">
        <v>583</v>
      </c>
      <c r="L25" s="522"/>
    </row>
    <row r="26" spans="1:12">
      <c r="A26" s="186"/>
      <c r="B26" s="456"/>
      <c r="C26" s="456"/>
      <c r="D26" s="456"/>
      <c r="E26" s="460"/>
      <c r="F26" s="461"/>
      <c r="G26" s="462"/>
    </row>
    <row r="27" spans="1:12" ht="16.2">
      <c r="B27" s="178"/>
      <c r="C27" s="178"/>
      <c r="D27" s="178"/>
      <c r="F27" s="178"/>
      <c r="G27" s="178"/>
      <c r="I27" s="224" t="s">
        <v>230</v>
      </c>
      <c r="J27" s="225"/>
    </row>
    <row r="28" spans="1:12">
      <c r="A28" s="466" t="s">
        <v>36</v>
      </c>
      <c r="B28" s="467"/>
      <c r="C28" s="468"/>
      <c r="D28" s="468"/>
      <c r="E28" s="474">
        <f>SUM(E11:E26)</f>
        <v>223</v>
      </c>
      <c r="F28" s="188"/>
      <c r="G28" s="524">
        <f>SUM(G11:G26)</f>
        <v>0</v>
      </c>
      <c r="I28" s="557" t="s">
        <v>231</v>
      </c>
      <c r="J28" s="557" t="s">
        <v>232</v>
      </c>
    </row>
    <row r="29" spans="1:12">
      <c r="I29" s="558"/>
      <c r="J29" s="558"/>
    </row>
    <row r="30" spans="1:12" ht="15.6">
      <c r="A30" s="189" t="s">
        <v>240</v>
      </c>
      <c r="B30" s="190"/>
      <c r="C30" s="190"/>
      <c r="D30" s="158"/>
      <c r="E30" s="42"/>
      <c r="F30" s="161"/>
      <c r="I30" s="559"/>
      <c r="J30" s="559"/>
    </row>
    <row r="31" spans="1:12" ht="25.2" customHeight="1">
      <c r="A31" s="562" t="s">
        <v>241</v>
      </c>
      <c r="B31" s="562"/>
      <c r="C31" s="562"/>
      <c r="D31" s="562"/>
      <c r="E31" s="562"/>
      <c r="F31" s="562"/>
      <c r="I31" s="296">
        <v>0.05</v>
      </c>
      <c r="J31" s="297"/>
    </row>
    <row r="32" spans="1:12">
      <c r="I32" s="298" t="s">
        <v>233</v>
      </c>
      <c r="J32" s="299"/>
    </row>
    <row r="33" spans="9:10">
      <c r="I33" s="298" t="s">
        <v>234</v>
      </c>
      <c r="J33" s="299"/>
    </row>
    <row r="34" spans="9:10">
      <c r="I34" s="298" t="s">
        <v>235</v>
      </c>
      <c r="J34" s="299"/>
    </row>
    <row r="35" spans="9:10">
      <c r="I35" s="298" t="s">
        <v>236</v>
      </c>
      <c r="J35" s="299"/>
    </row>
    <row r="36" spans="9:10">
      <c r="I36" s="298" t="s">
        <v>237</v>
      </c>
      <c r="J36" s="299"/>
    </row>
    <row r="37" spans="9:10">
      <c r="I37" s="298" t="s">
        <v>238</v>
      </c>
      <c r="J37" s="299"/>
    </row>
    <row r="38" spans="9:10">
      <c r="I38" s="560" t="s">
        <v>239</v>
      </c>
      <c r="J38" s="560"/>
    </row>
    <row r="39" spans="9:10">
      <c r="I39" s="561"/>
      <c r="J39" s="561"/>
    </row>
    <row r="49" ht="49.95" customHeight="1"/>
  </sheetData>
  <autoFilter ref="A10:W46" xr:uid="{00000000-0009-0000-0000-00000A000000}"/>
  <mergeCells count="4">
    <mergeCell ref="I28:I30"/>
    <mergeCell ref="J28:J30"/>
    <mergeCell ref="I38:J39"/>
    <mergeCell ref="A31:F31"/>
  </mergeCell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39"/>
  <sheetViews>
    <sheetView showGridLines="0" zoomScale="85" zoomScaleNormal="85" workbookViewId="0"/>
  </sheetViews>
  <sheetFormatPr defaultColWidth="9.109375" defaultRowHeight="13.2"/>
  <cols>
    <col min="1" max="2" width="35.6640625" style="173" bestFit="1" customWidth="1"/>
    <col min="3" max="3" width="23.6640625" style="173" customWidth="1"/>
    <col min="4" max="6" width="12.88671875" style="173" customWidth="1"/>
    <col min="7" max="7" width="13.5546875" style="173" customWidth="1"/>
    <col min="8" max="12" width="12.88671875" style="173" customWidth="1"/>
    <col min="13" max="13" width="1.6640625" style="173" customWidth="1"/>
    <col min="14" max="14" width="12.88671875" style="173" customWidth="1"/>
    <col min="15" max="15" width="1.5546875" style="173" customWidth="1"/>
    <col min="16" max="17" width="12.88671875" style="173" customWidth="1"/>
    <col min="18" max="16384" width="9.109375" style="23"/>
  </cols>
  <sheetData>
    <row r="1" spans="1:17">
      <c r="A1" s="485" t="s">
        <v>5</v>
      </c>
    </row>
    <row r="2" spans="1:17">
      <c r="A2" s="96"/>
      <c r="B2" s="191"/>
      <c r="C2" s="191"/>
    </row>
    <row r="3" spans="1:17" ht="15.6">
      <c r="A3" s="40" t="str">
        <f>'2-Kosten per locatie'!A3</f>
        <v>Naam opdrachtgever</v>
      </c>
      <c r="B3" s="154" t="str">
        <f>'2-Kosten per locatie'!B3</f>
        <v>Gemeente Barneveld</v>
      </c>
    </row>
    <row r="4" spans="1:17" ht="15.6">
      <c r="A4" s="40" t="str">
        <f>'2-Kosten per locatie'!A4</f>
        <v>Calculatie onderdeel</v>
      </c>
      <c r="B4" s="49" t="str">
        <f ca="1">MID(CELL("bestandsnaam",$D$10),SEARCH("]",CELL("bestandsnaam",$D$10),1)+1,256)</f>
        <v>13-Machinekosten</v>
      </c>
    </row>
    <row r="5" spans="1:17" ht="15.6">
      <c r="A5" s="40" t="str">
        <f>'2-Kosten per locatie'!A5</f>
        <v>Gebouw/plaats</v>
      </c>
      <c r="B5" s="154" t="str">
        <f>'2-Kosten per locatie'!B5</f>
        <v>Divers</v>
      </c>
    </row>
    <row r="6" spans="1:17" ht="15.6">
      <c r="A6" s="40" t="str">
        <f>'2-Kosten per locatie'!A6</f>
        <v>Referentie nummer</v>
      </c>
      <c r="B6" s="154">
        <f>'2-Kosten per locatie'!B6</f>
        <v>0</v>
      </c>
    </row>
    <row r="7" spans="1:17" ht="15.6">
      <c r="A7" s="40" t="str">
        <f>'2-Kosten per locatie'!A7</f>
        <v>Naam dienstverlener</v>
      </c>
      <c r="B7" s="154">
        <f>'2-Kosten per locatie'!B7</f>
        <v>0</v>
      </c>
    </row>
    <row r="8" spans="1:17" ht="15.6">
      <c r="A8" s="40" t="str">
        <f>'2-Kosten per locatie'!A8</f>
        <v>Prijspeil</v>
      </c>
      <c r="B8" s="300">
        <f>'2-Kosten per locatie'!B8</f>
        <v>46388</v>
      </c>
    </row>
    <row r="9" spans="1:17" ht="15.6">
      <c r="A9" s="153"/>
    </row>
    <row r="10" spans="1:17" ht="15.6">
      <c r="A10" s="192"/>
      <c r="B10" s="192"/>
      <c r="C10" s="193"/>
    </row>
    <row r="11" spans="1:17" s="37" customFormat="1" ht="64.8">
      <c r="A11" s="226" t="s">
        <v>25</v>
      </c>
      <c r="B11" s="226" t="s">
        <v>242</v>
      </c>
      <c r="C11" s="226" t="s">
        <v>243</v>
      </c>
      <c r="D11" s="226" t="s">
        <v>244</v>
      </c>
      <c r="E11" s="226" t="s">
        <v>245</v>
      </c>
      <c r="F11" s="226" t="s">
        <v>246</v>
      </c>
      <c r="G11" s="226" t="s">
        <v>247</v>
      </c>
      <c r="H11" s="226" t="s">
        <v>248</v>
      </c>
      <c r="I11" s="226" t="s">
        <v>249</v>
      </c>
      <c r="J11" s="226" t="s">
        <v>250</v>
      </c>
      <c r="K11" s="226" t="s">
        <v>251</v>
      </c>
      <c r="L11" s="226" t="s">
        <v>252</v>
      </c>
      <c r="M11" s="227"/>
      <c r="N11" s="226" t="s">
        <v>253</v>
      </c>
      <c r="O11" s="227"/>
      <c r="P11" s="226" t="s">
        <v>254</v>
      </c>
      <c r="Q11" s="226" t="s">
        <v>255</v>
      </c>
    </row>
    <row r="12" spans="1:17">
      <c r="D12" s="301"/>
      <c r="E12" s="302"/>
      <c r="F12" s="303"/>
      <c r="G12" s="301"/>
      <c r="H12" s="301"/>
      <c r="I12" s="304"/>
      <c r="J12" s="302"/>
      <c r="K12" s="302"/>
      <c r="L12" s="302"/>
      <c r="M12" s="304"/>
      <c r="N12" s="305"/>
      <c r="O12" s="304"/>
      <c r="P12" s="303"/>
      <c r="Q12" s="304"/>
    </row>
    <row r="13" spans="1:17">
      <c r="A13" s="200"/>
      <c r="B13" s="200"/>
      <c r="C13" s="201"/>
      <c r="D13" s="306"/>
      <c r="E13" s="307">
        <f>D13*$E$12</f>
        <v>0</v>
      </c>
      <c r="F13" s="308">
        <f>D13-E13</f>
        <v>0</v>
      </c>
      <c r="G13" s="309"/>
      <c r="H13" s="306"/>
      <c r="I13" s="310">
        <f>IF(G13=0,0,(F13-H13)/G13)</f>
        <v>0</v>
      </c>
      <c r="J13" s="311">
        <f>D13*$J$12</f>
        <v>0</v>
      </c>
      <c r="K13" s="310">
        <f>D13*$K$12</f>
        <v>0</v>
      </c>
      <c r="L13" s="312">
        <f>$L$12*D13</f>
        <v>0</v>
      </c>
      <c r="M13" s="304"/>
      <c r="N13" s="313">
        <f>SUM(I13:L13)</f>
        <v>0</v>
      </c>
      <c r="O13" s="304"/>
      <c r="P13" s="309"/>
      <c r="Q13" s="310">
        <f>N13*P13</f>
        <v>0</v>
      </c>
    </row>
    <row r="14" spans="1:17">
      <c r="A14" s="200"/>
      <c r="B14" s="200"/>
      <c r="C14" s="201"/>
      <c r="D14" s="306"/>
      <c r="E14" s="307">
        <f t="shared" ref="E14:E28" si="0">D14*$E$12</f>
        <v>0</v>
      </c>
      <c r="F14" s="308">
        <f>D14-E14</f>
        <v>0</v>
      </c>
      <c r="G14" s="309"/>
      <c r="H14" s="306"/>
      <c r="I14" s="310">
        <f>IF(G14=0,0,(F14-H14)/G14)</f>
        <v>0</v>
      </c>
      <c r="J14" s="311">
        <f>D14*$J$12</f>
        <v>0</v>
      </c>
      <c r="K14" s="310">
        <f>D14*$K$12</f>
        <v>0</v>
      </c>
      <c r="L14" s="312">
        <f>$L$12*D14</f>
        <v>0</v>
      </c>
      <c r="M14" s="304"/>
      <c r="N14" s="313">
        <f>SUM(I14:L14)</f>
        <v>0</v>
      </c>
      <c r="O14" s="304"/>
      <c r="P14" s="309"/>
      <c r="Q14" s="310">
        <f>N14*P14</f>
        <v>0</v>
      </c>
    </row>
    <row r="15" spans="1:17">
      <c r="A15" s="200"/>
      <c r="B15" s="200"/>
      <c r="C15" s="201"/>
      <c r="D15" s="306"/>
      <c r="E15" s="307">
        <f t="shared" si="0"/>
        <v>0</v>
      </c>
      <c r="F15" s="308">
        <f t="shared" ref="F15:F28" si="1">D15-E15</f>
        <v>0</v>
      </c>
      <c r="G15" s="309"/>
      <c r="H15" s="306"/>
      <c r="I15" s="310">
        <f t="shared" ref="I15:I28" si="2">IF(G15=0,0,(F15-H15)/G15)</f>
        <v>0</v>
      </c>
      <c r="J15" s="311">
        <f t="shared" ref="J15:J28" si="3">D15*$J$12</f>
        <v>0</v>
      </c>
      <c r="K15" s="310">
        <f t="shared" ref="K15:K28" si="4">D15*$K$12</f>
        <v>0</v>
      </c>
      <c r="L15" s="312">
        <f t="shared" ref="L15:L28" si="5">$L$12*D15</f>
        <v>0</v>
      </c>
      <c r="M15" s="304"/>
      <c r="N15" s="313">
        <f t="shared" ref="N15:N28" si="6">SUM(I15:L15)</f>
        <v>0</v>
      </c>
      <c r="O15" s="304"/>
      <c r="P15" s="309"/>
      <c r="Q15" s="310">
        <f t="shared" ref="Q15:Q28" si="7">N15*P15</f>
        <v>0</v>
      </c>
    </row>
    <row r="16" spans="1:17">
      <c r="A16" s="200"/>
      <c r="B16" s="200"/>
      <c r="C16" s="201"/>
      <c r="D16" s="306"/>
      <c r="E16" s="307">
        <f t="shared" si="0"/>
        <v>0</v>
      </c>
      <c r="F16" s="308">
        <f t="shared" si="1"/>
        <v>0</v>
      </c>
      <c r="G16" s="309"/>
      <c r="H16" s="306"/>
      <c r="I16" s="310">
        <f t="shared" si="2"/>
        <v>0</v>
      </c>
      <c r="J16" s="311">
        <f t="shared" si="3"/>
        <v>0</v>
      </c>
      <c r="K16" s="310">
        <f t="shared" si="4"/>
        <v>0</v>
      </c>
      <c r="L16" s="312">
        <f t="shared" si="5"/>
        <v>0</v>
      </c>
      <c r="M16" s="304"/>
      <c r="N16" s="313">
        <f t="shared" si="6"/>
        <v>0</v>
      </c>
      <c r="O16" s="304"/>
      <c r="P16" s="309"/>
      <c r="Q16" s="310">
        <f t="shared" si="7"/>
        <v>0</v>
      </c>
    </row>
    <row r="17" spans="1:17">
      <c r="A17" s="200"/>
      <c r="B17" s="200"/>
      <c r="C17" s="201"/>
      <c r="D17" s="306"/>
      <c r="E17" s="307">
        <f t="shared" si="0"/>
        <v>0</v>
      </c>
      <c r="F17" s="308">
        <f t="shared" si="1"/>
        <v>0</v>
      </c>
      <c r="G17" s="309"/>
      <c r="H17" s="306"/>
      <c r="I17" s="310">
        <f t="shared" si="2"/>
        <v>0</v>
      </c>
      <c r="J17" s="311">
        <f t="shared" si="3"/>
        <v>0</v>
      </c>
      <c r="K17" s="310">
        <f t="shared" si="4"/>
        <v>0</v>
      </c>
      <c r="L17" s="312">
        <f t="shared" si="5"/>
        <v>0</v>
      </c>
      <c r="M17" s="304"/>
      <c r="N17" s="313">
        <f t="shared" si="6"/>
        <v>0</v>
      </c>
      <c r="O17" s="304"/>
      <c r="P17" s="309"/>
      <c r="Q17" s="310">
        <f t="shared" si="7"/>
        <v>0</v>
      </c>
    </row>
    <row r="18" spans="1:17">
      <c r="A18" s="200"/>
      <c r="B18" s="200"/>
      <c r="C18" s="201"/>
      <c r="D18" s="306"/>
      <c r="E18" s="307">
        <f t="shared" si="0"/>
        <v>0</v>
      </c>
      <c r="F18" s="308">
        <f t="shared" si="1"/>
        <v>0</v>
      </c>
      <c r="G18" s="309"/>
      <c r="H18" s="306"/>
      <c r="I18" s="310">
        <f t="shared" si="2"/>
        <v>0</v>
      </c>
      <c r="J18" s="311">
        <f t="shared" si="3"/>
        <v>0</v>
      </c>
      <c r="K18" s="310">
        <f t="shared" si="4"/>
        <v>0</v>
      </c>
      <c r="L18" s="312">
        <f t="shared" si="5"/>
        <v>0</v>
      </c>
      <c r="M18" s="304"/>
      <c r="N18" s="313">
        <f t="shared" si="6"/>
        <v>0</v>
      </c>
      <c r="O18" s="304"/>
      <c r="P18" s="309"/>
      <c r="Q18" s="310">
        <f t="shared" si="7"/>
        <v>0</v>
      </c>
    </row>
    <row r="19" spans="1:17">
      <c r="A19" s="200"/>
      <c r="B19" s="200"/>
      <c r="C19" s="201"/>
      <c r="D19" s="306"/>
      <c r="E19" s="307">
        <f t="shared" si="0"/>
        <v>0</v>
      </c>
      <c r="F19" s="308">
        <f t="shared" si="1"/>
        <v>0</v>
      </c>
      <c r="G19" s="309"/>
      <c r="H19" s="306"/>
      <c r="I19" s="310">
        <f t="shared" si="2"/>
        <v>0</v>
      </c>
      <c r="J19" s="311">
        <f t="shared" si="3"/>
        <v>0</v>
      </c>
      <c r="K19" s="310">
        <f t="shared" si="4"/>
        <v>0</v>
      </c>
      <c r="L19" s="312">
        <f t="shared" si="5"/>
        <v>0</v>
      </c>
      <c r="M19" s="304"/>
      <c r="N19" s="313">
        <f t="shared" si="6"/>
        <v>0</v>
      </c>
      <c r="O19" s="304"/>
      <c r="P19" s="309"/>
      <c r="Q19" s="310">
        <f t="shared" si="7"/>
        <v>0</v>
      </c>
    </row>
    <row r="20" spans="1:17">
      <c r="A20" s="200"/>
      <c r="B20" s="200"/>
      <c r="C20" s="201"/>
      <c r="D20" s="306"/>
      <c r="E20" s="307">
        <f t="shared" si="0"/>
        <v>0</v>
      </c>
      <c r="F20" s="308">
        <f t="shared" si="1"/>
        <v>0</v>
      </c>
      <c r="G20" s="309"/>
      <c r="H20" s="306"/>
      <c r="I20" s="310">
        <f t="shared" si="2"/>
        <v>0</v>
      </c>
      <c r="J20" s="311">
        <f t="shared" si="3"/>
        <v>0</v>
      </c>
      <c r="K20" s="310">
        <f t="shared" si="4"/>
        <v>0</v>
      </c>
      <c r="L20" s="312">
        <f t="shared" si="5"/>
        <v>0</v>
      </c>
      <c r="M20" s="304"/>
      <c r="N20" s="313">
        <f t="shared" si="6"/>
        <v>0</v>
      </c>
      <c r="O20" s="304"/>
      <c r="P20" s="309"/>
      <c r="Q20" s="310">
        <f t="shared" si="7"/>
        <v>0</v>
      </c>
    </row>
    <row r="21" spans="1:17">
      <c r="A21" s="200"/>
      <c r="B21" s="200"/>
      <c r="C21" s="201"/>
      <c r="D21" s="306"/>
      <c r="E21" s="307">
        <f t="shared" si="0"/>
        <v>0</v>
      </c>
      <c r="F21" s="308">
        <f t="shared" si="1"/>
        <v>0</v>
      </c>
      <c r="G21" s="309"/>
      <c r="H21" s="306"/>
      <c r="I21" s="310">
        <f t="shared" si="2"/>
        <v>0</v>
      </c>
      <c r="J21" s="311">
        <f t="shared" si="3"/>
        <v>0</v>
      </c>
      <c r="K21" s="310">
        <f t="shared" si="4"/>
        <v>0</v>
      </c>
      <c r="L21" s="312">
        <f t="shared" si="5"/>
        <v>0</v>
      </c>
      <c r="M21" s="304"/>
      <c r="N21" s="313">
        <f t="shared" si="6"/>
        <v>0</v>
      </c>
      <c r="O21" s="304"/>
      <c r="P21" s="309"/>
      <c r="Q21" s="310">
        <f t="shared" si="7"/>
        <v>0</v>
      </c>
    </row>
    <row r="22" spans="1:17">
      <c r="A22" s="200"/>
      <c r="B22" s="200"/>
      <c r="C22" s="201"/>
      <c r="D22" s="306"/>
      <c r="E22" s="307">
        <f t="shared" si="0"/>
        <v>0</v>
      </c>
      <c r="F22" s="308">
        <f t="shared" si="1"/>
        <v>0</v>
      </c>
      <c r="G22" s="309"/>
      <c r="H22" s="306"/>
      <c r="I22" s="310">
        <f t="shared" si="2"/>
        <v>0</v>
      </c>
      <c r="J22" s="311">
        <f t="shared" si="3"/>
        <v>0</v>
      </c>
      <c r="K22" s="310">
        <f t="shared" si="4"/>
        <v>0</v>
      </c>
      <c r="L22" s="312">
        <f t="shared" si="5"/>
        <v>0</v>
      </c>
      <c r="M22" s="304"/>
      <c r="N22" s="313">
        <f t="shared" si="6"/>
        <v>0</v>
      </c>
      <c r="O22" s="304"/>
      <c r="P22" s="309"/>
      <c r="Q22" s="310">
        <f t="shared" si="7"/>
        <v>0</v>
      </c>
    </row>
    <row r="23" spans="1:17">
      <c r="A23" s="200"/>
      <c r="B23" s="200"/>
      <c r="C23" s="201"/>
      <c r="D23" s="306"/>
      <c r="E23" s="307">
        <f t="shared" si="0"/>
        <v>0</v>
      </c>
      <c r="F23" s="308">
        <f t="shared" si="1"/>
        <v>0</v>
      </c>
      <c r="G23" s="309"/>
      <c r="H23" s="306"/>
      <c r="I23" s="310">
        <f t="shared" si="2"/>
        <v>0</v>
      </c>
      <c r="J23" s="311">
        <f t="shared" si="3"/>
        <v>0</v>
      </c>
      <c r="K23" s="310">
        <f t="shared" si="4"/>
        <v>0</v>
      </c>
      <c r="L23" s="312">
        <f t="shared" si="5"/>
        <v>0</v>
      </c>
      <c r="M23" s="304"/>
      <c r="N23" s="313">
        <f t="shared" si="6"/>
        <v>0</v>
      </c>
      <c r="O23" s="304"/>
      <c r="P23" s="309"/>
      <c r="Q23" s="310">
        <f t="shared" si="7"/>
        <v>0</v>
      </c>
    </row>
    <row r="24" spans="1:17">
      <c r="A24" s="200"/>
      <c r="B24" s="200"/>
      <c r="C24" s="201"/>
      <c r="D24" s="306"/>
      <c r="E24" s="307">
        <f t="shared" si="0"/>
        <v>0</v>
      </c>
      <c r="F24" s="308">
        <f t="shared" si="1"/>
        <v>0</v>
      </c>
      <c r="G24" s="309"/>
      <c r="H24" s="306"/>
      <c r="I24" s="310">
        <f t="shared" si="2"/>
        <v>0</v>
      </c>
      <c r="J24" s="311">
        <f t="shared" si="3"/>
        <v>0</v>
      </c>
      <c r="K24" s="310">
        <f t="shared" si="4"/>
        <v>0</v>
      </c>
      <c r="L24" s="312">
        <f t="shared" si="5"/>
        <v>0</v>
      </c>
      <c r="M24" s="304"/>
      <c r="N24" s="313">
        <f t="shared" si="6"/>
        <v>0</v>
      </c>
      <c r="O24" s="304"/>
      <c r="P24" s="309"/>
      <c r="Q24" s="310">
        <f t="shared" si="7"/>
        <v>0</v>
      </c>
    </row>
    <row r="25" spans="1:17">
      <c r="A25" s="200"/>
      <c r="B25" s="200"/>
      <c r="C25" s="201"/>
      <c r="D25" s="306"/>
      <c r="E25" s="307">
        <f t="shared" si="0"/>
        <v>0</v>
      </c>
      <c r="F25" s="308">
        <f t="shared" si="1"/>
        <v>0</v>
      </c>
      <c r="G25" s="309"/>
      <c r="H25" s="306"/>
      <c r="I25" s="310">
        <f t="shared" si="2"/>
        <v>0</v>
      </c>
      <c r="J25" s="311">
        <f t="shared" si="3"/>
        <v>0</v>
      </c>
      <c r="K25" s="310">
        <f t="shared" si="4"/>
        <v>0</v>
      </c>
      <c r="L25" s="312">
        <f t="shared" si="5"/>
        <v>0</v>
      </c>
      <c r="M25" s="304"/>
      <c r="N25" s="313">
        <f t="shared" si="6"/>
        <v>0</v>
      </c>
      <c r="O25" s="304"/>
      <c r="P25" s="309"/>
      <c r="Q25" s="310">
        <f t="shared" si="7"/>
        <v>0</v>
      </c>
    </row>
    <row r="26" spans="1:17">
      <c r="A26" s="200"/>
      <c r="B26" s="200"/>
      <c r="C26" s="201"/>
      <c r="D26" s="306"/>
      <c r="E26" s="307">
        <f t="shared" si="0"/>
        <v>0</v>
      </c>
      <c r="F26" s="308">
        <f t="shared" si="1"/>
        <v>0</v>
      </c>
      <c r="G26" s="309"/>
      <c r="H26" s="306"/>
      <c r="I26" s="310">
        <f t="shared" si="2"/>
        <v>0</v>
      </c>
      <c r="J26" s="311">
        <f t="shared" si="3"/>
        <v>0</v>
      </c>
      <c r="K26" s="310">
        <f t="shared" si="4"/>
        <v>0</v>
      </c>
      <c r="L26" s="312">
        <f t="shared" si="5"/>
        <v>0</v>
      </c>
      <c r="M26" s="304"/>
      <c r="N26" s="313">
        <f t="shared" si="6"/>
        <v>0</v>
      </c>
      <c r="O26" s="304"/>
      <c r="P26" s="309"/>
      <c r="Q26" s="310">
        <f t="shared" si="7"/>
        <v>0</v>
      </c>
    </row>
    <row r="27" spans="1:17">
      <c r="A27" s="200"/>
      <c r="B27" s="200"/>
      <c r="C27" s="201"/>
      <c r="D27" s="306"/>
      <c r="E27" s="307">
        <f t="shared" si="0"/>
        <v>0</v>
      </c>
      <c r="F27" s="308">
        <f t="shared" si="1"/>
        <v>0</v>
      </c>
      <c r="G27" s="309"/>
      <c r="H27" s="306"/>
      <c r="I27" s="310">
        <f t="shared" si="2"/>
        <v>0</v>
      </c>
      <c r="J27" s="311">
        <f t="shared" si="3"/>
        <v>0</v>
      </c>
      <c r="K27" s="310">
        <f t="shared" si="4"/>
        <v>0</v>
      </c>
      <c r="L27" s="312">
        <f t="shared" si="5"/>
        <v>0</v>
      </c>
      <c r="M27" s="304"/>
      <c r="N27" s="313">
        <f t="shared" si="6"/>
        <v>0</v>
      </c>
      <c r="O27" s="304"/>
      <c r="P27" s="309"/>
      <c r="Q27" s="310">
        <f t="shared" si="7"/>
        <v>0</v>
      </c>
    </row>
    <row r="28" spans="1:17">
      <c r="A28" s="200"/>
      <c r="B28" s="200"/>
      <c r="C28" s="201"/>
      <c r="D28" s="306"/>
      <c r="E28" s="307">
        <f t="shared" si="0"/>
        <v>0</v>
      </c>
      <c r="F28" s="308">
        <f t="shared" si="1"/>
        <v>0</v>
      </c>
      <c r="G28" s="309"/>
      <c r="H28" s="306"/>
      <c r="I28" s="310">
        <f t="shared" si="2"/>
        <v>0</v>
      </c>
      <c r="J28" s="311">
        <f t="shared" si="3"/>
        <v>0</v>
      </c>
      <c r="K28" s="310">
        <f t="shared" si="4"/>
        <v>0</v>
      </c>
      <c r="L28" s="312">
        <f t="shared" si="5"/>
        <v>0</v>
      </c>
      <c r="M28" s="304"/>
      <c r="N28" s="313">
        <f t="shared" si="6"/>
        <v>0</v>
      </c>
      <c r="O28" s="304"/>
      <c r="P28" s="309"/>
      <c r="Q28" s="310">
        <f t="shared" si="7"/>
        <v>0</v>
      </c>
    </row>
    <row r="29" spans="1:17">
      <c r="D29" s="304"/>
      <c r="E29" s="304"/>
      <c r="F29" s="304"/>
      <c r="G29" s="304"/>
      <c r="H29" s="304"/>
      <c r="I29" s="304"/>
      <c r="J29" s="304"/>
      <c r="K29" s="304"/>
      <c r="L29" s="304"/>
      <c r="M29" s="304"/>
      <c r="N29" s="304"/>
      <c r="O29" s="304"/>
      <c r="P29" s="304"/>
      <c r="Q29" s="304"/>
    </row>
    <row r="30" spans="1:17">
      <c r="A30" s="194"/>
      <c r="B30" s="194" t="s">
        <v>36</v>
      </c>
      <c r="C30" s="195"/>
      <c r="D30" s="314"/>
      <c r="E30" s="314"/>
      <c r="F30" s="314"/>
      <c r="G30" s="314"/>
      <c r="H30" s="314"/>
      <c r="I30" s="314"/>
      <c r="J30" s="314"/>
      <c r="K30" s="314"/>
      <c r="L30" s="315"/>
      <c r="M30" s="304"/>
      <c r="N30" s="304"/>
      <c r="O30" s="304"/>
      <c r="P30" s="316">
        <f>SUM(P13:P28)</f>
        <v>0</v>
      </c>
      <c r="Q30" s="317">
        <f>SUM(Q13:Q28)</f>
        <v>0</v>
      </c>
    </row>
    <row r="34" spans="18:18">
      <c r="R34" s="38"/>
    </row>
    <row r="39" spans="18:18" ht="16.2" customHeight="1"/>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39"/>
  <sheetViews>
    <sheetView showGridLines="0" showZeros="0" zoomScale="85" zoomScaleNormal="85" workbookViewId="0">
      <pane xSplit="1" ySplit="14" topLeftCell="B15" activePane="bottomRight" state="frozen"/>
      <selection pane="topRight" activeCell="B1" sqref="B1"/>
      <selection pane="bottomLeft" activeCell="A15" sqref="A15"/>
      <selection pane="bottomRight"/>
    </sheetView>
  </sheetViews>
  <sheetFormatPr defaultColWidth="8.6640625" defaultRowHeight="14.1" customHeight="1"/>
  <cols>
    <col min="1" max="1" width="34.6640625" style="42" customWidth="1"/>
    <col min="2" max="2" width="19.33203125" style="42" customWidth="1"/>
    <col min="3" max="3" width="16" style="42" customWidth="1"/>
    <col min="4" max="4" width="15.21875" style="43" bestFit="1" customWidth="1"/>
    <col min="5" max="5" width="13.6640625" style="43" customWidth="1"/>
    <col min="6" max="6" width="15.21875" style="43" customWidth="1"/>
    <col min="7" max="11" width="13.6640625" style="43" customWidth="1"/>
    <col min="12" max="12" width="15.21875" style="43" bestFit="1" customWidth="1"/>
    <col min="13" max="14" width="13.6640625" style="43" customWidth="1"/>
    <col min="15" max="15" width="19.109375" style="43" customWidth="1"/>
    <col min="16" max="16" width="17.33203125" style="43" customWidth="1"/>
    <col min="17" max="17" width="14.33203125" style="43" bestFit="1" customWidth="1"/>
    <col min="18" max="18" width="16.5546875" style="43" customWidth="1"/>
    <col min="19" max="23" width="13.6640625" style="43" customWidth="1"/>
    <col min="24" max="28" width="13.33203125" style="43" customWidth="1"/>
    <col min="29" max="29" width="14.6640625" style="43" customWidth="1"/>
    <col min="30" max="33" width="13.33203125" style="43" customWidth="1"/>
    <col min="34" max="16384" width="8.6640625" style="42"/>
  </cols>
  <sheetData>
    <row r="1" spans="1:33" ht="14.1" customHeight="1">
      <c r="A1" s="318" t="s">
        <v>5</v>
      </c>
      <c r="E1" s="242" t="s">
        <v>6</v>
      </c>
      <c r="F1" s="243"/>
      <c r="G1" s="44"/>
      <c r="J1" s="244" t="s">
        <v>7</v>
      </c>
      <c r="K1" s="245"/>
      <c r="L1" s="245"/>
      <c r="M1" s="245"/>
      <c r="N1" s="245"/>
      <c r="O1" s="246"/>
      <c r="P1" s="228" t="e">
        <f>L36</f>
        <v>#DIV/0!</v>
      </c>
    </row>
    <row r="2" spans="1:33" ht="14.1" customHeight="1">
      <c r="E2" s="229"/>
      <c r="F2" s="45" t="s">
        <v>8</v>
      </c>
      <c r="G2" s="44"/>
      <c r="J2" s="46" t="s">
        <v>9</v>
      </c>
      <c r="K2" s="47"/>
      <c r="L2" s="47"/>
      <c r="M2" s="47"/>
      <c r="N2" s="47"/>
      <c r="O2" s="48">
        <v>0.21</v>
      </c>
      <c r="P2" s="231" t="e">
        <f>O2*P1</f>
        <v>#DIV/0!</v>
      </c>
    </row>
    <row r="3" spans="1:33" ht="14.1" customHeight="1">
      <c r="A3" s="40" t="s">
        <v>1</v>
      </c>
      <c r="B3" s="563" t="s">
        <v>505</v>
      </c>
      <c r="C3" s="564"/>
      <c r="D3" s="44"/>
      <c r="E3" s="44"/>
      <c r="G3" s="44"/>
      <c r="H3" s="44"/>
      <c r="I3" s="44"/>
      <c r="J3" s="46" t="s">
        <v>10</v>
      </c>
      <c r="K3" s="47"/>
      <c r="L3" s="47"/>
      <c r="M3" s="47"/>
      <c r="N3" s="47"/>
      <c r="O3" s="47"/>
      <c r="P3" s="232" t="e">
        <f>P1+P2</f>
        <v>#DIV/0!</v>
      </c>
      <c r="AF3" s="44"/>
      <c r="AG3" s="44"/>
    </row>
    <row r="4" spans="1:33" ht="14.1" customHeight="1">
      <c r="A4" s="40" t="s">
        <v>2</v>
      </c>
      <c r="B4" s="49" t="str">
        <f ca="1">MID(CELL("bestandsnaam",$B$13),SEARCH("]",CELL("bestandsnaam",$B$13),1)+1,256)</f>
        <v>2-Kosten per locatie</v>
      </c>
      <c r="C4" s="49"/>
      <c r="D4" s="44"/>
      <c r="E4" s="242" t="s">
        <v>11</v>
      </c>
      <c r="F4" s="243"/>
      <c r="G4" s="44"/>
      <c r="H4" s="44"/>
      <c r="I4" s="44"/>
      <c r="J4" s="47"/>
      <c r="K4" s="47"/>
      <c r="L4" s="47"/>
      <c r="M4" s="47"/>
      <c r="N4" s="47"/>
      <c r="O4" s="47"/>
      <c r="P4" s="230"/>
      <c r="AF4" s="44"/>
      <c r="AG4" s="44"/>
    </row>
    <row r="5" spans="1:33" ht="14.1" customHeight="1">
      <c r="A5" s="40" t="s">
        <v>3</v>
      </c>
      <c r="B5" s="563" t="s">
        <v>506</v>
      </c>
      <c r="C5" s="564"/>
      <c r="D5" s="44"/>
      <c r="E5" s="233"/>
      <c r="F5" s="45" t="s">
        <v>12</v>
      </c>
      <c r="G5" s="44"/>
      <c r="H5" s="44"/>
      <c r="I5" s="44"/>
      <c r="J5" s="247" t="s">
        <v>13</v>
      </c>
      <c r="K5" s="248"/>
      <c r="L5" s="248"/>
      <c r="M5" s="248"/>
      <c r="N5" s="248"/>
      <c r="O5" s="248"/>
      <c r="P5" s="234">
        <v>379000</v>
      </c>
      <c r="Q5" s="181"/>
      <c r="AF5" s="44"/>
      <c r="AG5" s="44"/>
    </row>
    <row r="6" spans="1:33" ht="14.1" customHeight="1">
      <c r="A6" s="40" t="s">
        <v>4</v>
      </c>
      <c r="B6" s="563"/>
      <c r="C6" s="564"/>
      <c r="D6" s="44"/>
      <c r="E6" s="44"/>
      <c r="F6" s="44"/>
      <c r="G6" s="44"/>
      <c r="H6" s="44"/>
      <c r="I6" s="44"/>
      <c r="J6" s="247" t="s">
        <v>14</v>
      </c>
      <c r="K6" s="248"/>
      <c r="L6" s="248"/>
      <c r="M6" s="248"/>
      <c r="N6" s="248"/>
      <c r="O6" s="248"/>
      <c r="P6" s="234">
        <v>334000</v>
      </c>
      <c r="Q6" s="181"/>
      <c r="AF6" s="44"/>
      <c r="AG6" s="44"/>
    </row>
    <row r="7" spans="1:33" ht="14.1" customHeight="1">
      <c r="A7" s="40" t="s">
        <v>15</v>
      </c>
      <c r="B7" s="198"/>
      <c r="C7" s="199"/>
      <c r="D7" s="44"/>
      <c r="E7" s="44"/>
      <c r="F7" s="44"/>
      <c r="G7" s="44"/>
      <c r="H7" s="44"/>
      <c r="I7" s="44"/>
      <c r="J7" s="44"/>
      <c r="K7" s="44"/>
      <c r="V7" s="44"/>
      <c r="W7" s="42"/>
      <c r="X7" s="42"/>
      <c r="Y7" s="42"/>
      <c r="AF7" s="44"/>
      <c r="AG7" s="44"/>
    </row>
    <row r="8" spans="1:33" ht="14.1" customHeight="1">
      <c r="A8" s="40" t="s">
        <v>16</v>
      </c>
      <c r="B8" s="50">
        <v>46388</v>
      </c>
      <c r="C8" s="40"/>
      <c r="D8" s="44"/>
      <c r="E8" s="44"/>
      <c r="F8" s="44"/>
      <c r="G8" s="44"/>
      <c r="H8" s="44"/>
      <c r="I8" s="44"/>
      <c r="J8" s="247" t="s">
        <v>17</v>
      </c>
      <c r="K8" s="248"/>
      <c r="L8" s="248"/>
      <c r="M8" s="248"/>
      <c r="N8" s="248"/>
      <c r="O8" s="248"/>
      <c r="P8" s="492">
        <v>0</v>
      </c>
      <c r="Q8" s="44"/>
      <c r="R8" s="44"/>
      <c r="S8" s="44"/>
      <c r="T8" s="44"/>
      <c r="U8" s="44"/>
      <c r="V8" s="44"/>
      <c r="W8" s="44"/>
      <c r="X8" s="44"/>
      <c r="Y8" s="44"/>
      <c r="Z8" s="44"/>
      <c r="AA8" s="51"/>
      <c r="AB8" s="51"/>
      <c r="AC8" s="51"/>
      <c r="AD8" s="51"/>
      <c r="AE8" s="51"/>
      <c r="AF8" s="44"/>
      <c r="AG8" s="44"/>
    </row>
    <row r="9" spans="1:33" ht="14.1" customHeight="1">
      <c r="A9" s="40" t="s">
        <v>18</v>
      </c>
      <c r="B9" s="52" t="s">
        <v>19</v>
      </c>
      <c r="C9" s="40"/>
      <c r="D9" s="44"/>
      <c r="E9" s="44"/>
      <c r="F9" s="44"/>
      <c r="G9" s="44"/>
      <c r="H9" s="44"/>
      <c r="I9" s="44"/>
      <c r="J9" s="490" t="s">
        <v>20</v>
      </c>
      <c r="K9" s="53"/>
      <c r="M9" s="44"/>
      <c r="N9" s="44"/>
      <c r="Q9" s="44"/>
      <c r="V9" s="44"/>
      <c r="W9" s="42"/>
      <c r="X9" s="42"/>
      <c r="Y9" s="42"/>
      <c r="Z9" s="42"/>
      <c r="AA9" s="42"/>
      <c r="AB9" s="42"/>
      <c r="AC9" s="42"/>
      <c r="AD9" s="42"/>
      <c r="AE9" s="42"/>
      <c r="AF9" s="44"/>
      <c r="AG9" s="44"/>
    </row>
    <row r="10" spans="1:33" ht="14.1" customHeight="1">
      <c r="A10" s="40"/>
      <c r="B10" s="40"/>
      <c r="C10" s="40"/>
      <c r="D10" s="44"/>
      <c r="E10" s="44"/>
      <c r="F10" s="44"/>
      <c r="G10" s="44"/>
      <c r="H10" s="44"/>
      <c r="I10" s="44"/>
      <c r="J10" s="491" t="s">
        <v>21</v>
      </c>
      <c r="K10" s="54"/>
      <c r="Q10" s="44"/>
      <c r="R10" s="44"/>
      <c r="S10" s="44"/>
      <c r="T10" s="44"/>
      <c r="U10" s="44"/>
      <c r="V10" s="44"/>
      <c r="W10" s="44"/>
      <c r="X10" s="44"/>
      <c r="Y10" s="44"/>
      <c r="Z10" s="44"/>
      <c r="AA10" s="44"/>
      <c r="AB10" s="44"/>
      <c r="AC10" s="44"/>
      <c r="AD10" s="44"/>
      <c r="AE10" s="44"/>
      <c r="AF10" s="44"/>
      <c r="AG10" s="44"/>
    </row>
    <row r="11" spans="1:33" ht="14.1" customHeight="1">
      <c r="A11" s="40"/>
      <c r="B11" s="40"/>
      <c r="C11" s="40"/>
      <c r="D11" s="44"/>
      <c r="E11" s="44"/>
      <c r="F11" s="44"/>
      <c r="G11" s="44"/>
      <c r="H11" s="44"/>
      <c r="I11" s="44"/>
      <c r="J11" s="53"/>
      <c r="K11" s="44"/>
      <c r="L11" s="44"/>
      <c r="M11" s="44"/>
      <c r="N11" s="44"/>
      <c r="O11" s="44"/>
      <c r="P11" s="44"/>
      <c r="Q11" s="44"/>
      <c r="R11" s="44"/>
      <c r="S11" s="44"/>
      <c r="T11" s="44"/>
      <c r="U11" s="44"/>
      <c r="V11" s="44"/>
      <c r="W11" s="44"/>
      <c r="X11" s="44"/>
      <c r="Y11" s="44"/>
      <c r="Z11" s="44"/>
      <c r="AA11" s="44"/>
      <c r="AB11" s="44"/>
      <c r="AC11" s="44"/>
      <c r="AD11" s="44"/>
      <c r="AE11" s="44"/>
      <c r="AF11" s="44"/>
      <c r="AG11" s="44"/>
    </row>
    <row r="12" spans="1:33" ht="15.6">
      <c r="C12" s="50"/>
      <c r="J12" s="54"/>
      <c r="AA12" s="44"/>
      <c r="AB12" s="44"/>
      <c r="AC12" s="44"/>
      <c r="AD12" s="44"/>
      <c r="AE12" s="44"/>
      <c r="AF12" s="44"/>
      <c r="AG12" s="44"/>
    </row>
    <row r="13" spans="1:33" ht="18" customHeight="1">
      <c r="A13" s="55"/>
      <c r="B13" s="55"/>
      <c r="C13" s="55"/>
      <c r="D13" s="55"/>
      <c r="E13" s="55"/>
      <c r="F13" s="526" t="s">
        <v>22</v>
      </c>
      <c r="G13" s="527"/>
      <c r="H13" s="526" t="s">
        <v>23</v>
      </c>
      <c r="I13" s="527"/>
      <c r="J13" s="526" t="s">
        <v>24</v>
      </c>
      <c r="K13" s="528"/>
      <c r="L13" s="44"/>
      <c r="M13" s="44"/>
      <c r="N13" s="44"/>
      <c r="O13" s="44"/>
      <c r="P13" s="44"/>
      <c r="Q13" s="44"/>
      <c r="R13" s="44"/>
      <c r="S13" s="42"/>
      <c r="T13" s="42"/>
      <c r="U13" s="42"/>
      <c r="V13" s="42"/>
      <c r="W13" s="42"/>
      <c r="X13" s="42"/>
      <c r="Y13" s="42"/>
      <c r="Z13" s="42"/>
      <c r="AA13" s="42"/>
      <c r="AB13" s="42"/>
      <c r="AC13" s="42"/>
      <c r="AD13" s="42"/>
      <c r="AE13" s="42"/>
      <c r="AF13" s="42"/>
      <c r="AG13" s="42"/>
    </row>
    <row r="14" spans="1:33" ht="70.8" customHeight="1">
      <c r="A14" s="319" t="s">
        <v>25</v>
      </c>
      <c r="B14" s="249" t="s">
        <v>26</v>
      </c>
      <c r="C14" s="249" t="s">
        <v>27</v>
      </c>
      <c r="D14" s="250" t="s">
        <v>28</v>
      </c>
      <c r="E14" s="250" t="s">
        <v>29</v>
      </c>
      <c r="F14" s="251" t="s">
        <v>30</v>
      </c>
      <c r="G14" s="251" t="s">
        <v>31</v>
      </c>
      <c r="H14" s="251" t="s">
        <v>32</v>
      </c>
      <c r="I14" s="251" t="s">
        <v>33</v>
      </c>
      <c r="J14" s="251" t="s">
        <v>34</v>
      </c>
      <c r="K14" s="251" t="s">
        <v>35</v>
      </c>
      <c r="L14" s="44"/>
      <c r="M14" s="42"/>
      <c r="N14" s="42"/>
      <c r="O14" s="42"/>
      <c r="P14" s="42"/>
      <c r="Q14" s="42"/>
      <c r="R14" s="42"/>
      <c r="S14" s="42"/>
      <c r="T14" s="42"/>
      <c r="U14" s="42"/>
      <c r="V14" s="42"/>
      <c r="W14" s="42"/>
      <c r="X14" s="42"/>
      <c r="Y14" s="42"/>
      <c r="Z14" s="42"/>
      <c r="AA14" s="42"/>
      <c r="AB14" s="42"/>
      <c r="AC14" s="42"/>
      <c r="AD14" s="42"/>
      <c r="AE14" s="42"/>
      <c r="AF14" s="42"/>
      <c r="AG14" s="42"/>
    </row>
    <row r="15" spans="1:33" s="56" customFormat="1" ht="15" customHeight="1">
      <c r="A15" s="320" t="s">
        <v>272</v>
      </c>
      <c r="B15" s="475">
        <f>SUMIF('4-Basis ruimtestaat'!B:B,'2-Kosten per locatie'!A15,'4-Basis ruimtestaat'!J:J)-SUMIFS('4-Basis ruimtestaat'!J:J,'4-Basis ruimtestaat'!B:B,'2-Kosten per locatie'!A15,'4-Basis ruimtestaat'!L:L,"nio")</f>
        <v>7404.2199999999975</v>
      </c>
      <c r="C15" s="235"/>
      <c r="D15" s="236">
        <f>_xlfn.MAXIFS('4-Basis ruimtestaat'!L:L,'4-Basis ruimtestaat'!B:B,'2-Kosten per locatie'!A15)</f>
        <v>255</v>
      </c>
      <c r="E15" s="236">
        <f>_xlfn.MAXIFS('4-Basis ruimtestaat'!M:M,'4-Basis ruimtestaat'!B:B,'2-Kosten per locatie'!A15)</f>
        <v>255</v>
      </c>
      <c r="F15" s="477" t="e">
        <f>SUMIF('4-Basis ruimtestaat'!B:B,'2-Kosten per locatie'!A15,'4-Basis ruimtestaat'!N:N)</f>
        <v>#DIV/0!</v>
      </c>
      <c r="G15" s="477" t="e">
        <f>SUMIF('4-Basis ruimtestaat'!B:B,'2-Kosten per locatie'!A15,'4-Basis ruimtestaat'!O:O)</f>
        <v>#DIV/0!</v>
      </c>
      <c r="H15" s="477" t="e">
        <f t="shared" ref="H15:H16" si="0">IF(F15&lt;(D15*$E$2),D15*$E$2-F15,0)</f>
        <v>#DIV/0!</v>
      </c>
      <c r="I15" s="477" t="e">
        <f t="shared" ref="I15:I16" si="1">IF(G15&lt;(E15*$E$2),E15*$E$2-G15,0)</f>
        <v>#DIV/0!</v>
      </c>
      <c r="J15" s="477" t="e">
        <f t="shared" ref="J15:J23" si="2">F15*$E$5</f>
        <v>#DIV/0!</v>
      </c>
      <c r="K15" s="477" t="e">
        <f t="shared" ref="K15:K23" si="3">G15*$E$5</f>
        <v>#DIV/0!</v>
      </c>
      <c r="L15" s="44"/>
    </row>
    <row r="16" spans="1:33" ht="15" customHeight="1">
      <c r="A16" s="320" t="s">
        <v>464</v>
      </c>
      <c r="B16" s="475">
        <f>SUMIF('4-Basis ruimtestaat'!B:B,'2-Kosten per locatie'!A16,'4-Basis ruimtestaat'!J:J)-SUMIFS('4-Basis ruimtestaat'!J:J,'4-Basis ruimtestaat'!B:B,'2-Kosten per locatie'!A16,'4-Basis ruimtestaat'!L:L,"nio")</f>
        <v>983.30000000000018</v>
      </c>
      <c r="C16" s="235"/>
      <c r="D16" s="236">
        <f>_xlfn.MAXIFS('4-Basis ruimtestaat'!L:L,'4-Basis ruimtestaat'!B:B,'2-Kosten per locatie'!A16)</f>
        <v>255</v>
      </c>
      <c r="E16" s="236">
        <f>_xlfn.MAXIFS('4-Basis ruimtestaat'!M:M,'4-Basis ruimtestaat'!B:B,'2-Kosten per locatie'!A16)</f>
        <v>0</v>
      </c>
      <c r="F16" s="477" t="e">
        <f>SUMIF('4-Basis ruimtestaat'!B:B,'2-Kosten per locatie'!A16,'4-Basis ruimtestaat'!N:N)</f>
        <v>#DIV/0!</v>
      </c>
      <c r="G16" s="477">
        <f>SUMIF('4-Basis ruimtestaat'!B:B,'2-Kosten per locatie'!A16,'4-Basis ruimtestaat'!O:O)</f>
        <v>0</v>
      </c>
      <c r="H16" s="477" t="e">
        <f t="shared" si="0"/>
        <v>#DIV/0!</v>
      </c>
      <c r="I16" s="477">
        <f t="shared" si="1"/>
        <v>0</v>
      </c>
      <c r="J16" s="477" t="e">
        <f t="shared" si="2"/>
        <v>#DIV/0!</v>
      </c>
      <c r="K16" s="477">
        <f t="shared" si="3"/>
        <v>0</v>
      </c>
      <c r="L16" s="44"/>
      <c r="M16" s="42"/>
      <c r="N16" s="42"/>
      <c r="O16" s="42"/>
      <c r="P16" s="42"/>
      <c r="Q16" s="42"/>
      <c r="R16" s="42"/>
      <c r="S16" s="42"/>
      <c r="T16" s="42"/>
      <c r="U16" s="42"/>
      <c r="V16" s="42"/>
      <c r="W16" s="42"/>
      <c r="X16" s="42"/>
      <c r="Y16" s="42"/>
      <c r="Z16" s="42"/>
      <c r="AA16" s="42"/>
      <c r="AB16" s="42"/>
      <c r="AC16" s="42"/>
      <c r="AD16" s="42"/>
      <c r="AE16" s="42"/>
      <c r="AF16" s="42"/>
      <c r="AG16" s="42"/>
    </row>
    <row r="17" spans="1:33" ht="15" customHeight="1">
      <c r="A17" s="320" t="s">
        <v>496</v>
      </c>
      <c r="B17" s="475">
        <f>SUMIF('4-Basis ruimtestaat'!B:B,'2-Kosten per locatie'!A17,'4-Basis ruimtestaat'!J:J)-SUMIFS('4-Basis ruimtestaat'!J:J,'4-Basis ruimtestaat'!B:B,'2-Kosten per locatie'!A17,'4-Basis ruimtestaat'!L:L,"nio")</f>
        <v>100.10000000000001</v>
      </c>
      <c r="C17" s="235"/>
      <c r="D17" s="236">
        <f>_xlfn.MAXIFS('4-Basis ruimtestaat'!L:L,'4-Basis ruimtestaat'!B:B,'2-Kosten per locatie'!A17)</f>
        <v>104</v>
      </c>
      <c r="E17" s="236">
        <f>_xlfn.MAXIFS('4-Basis ruimtestaat'!M:M,'4-Basis ruimtestaat'!B:B,'2-Kosten per locatie'!A17)</f>
        <v>0</v>
      </c>
      <c r="F17" s="477" t="e">
        <f>SUMIF('4-Basis ruimtestaat'!B:B,'2-Kosten per locatie'!A17,'4-Basis ruimtestaat'!N:N)</f>
        <v>#DIV/0!</v>
      </c>
      <c r="G17" s="477">
        <f>SUMIF('4-Basis ruimtestaat'!B:B,'2-Kosten per locatie'!A17,'4-Basis ruimtestaat'!O:O)</f>
        <v>0</v>
      </c>
      <c r="H17" s="477" t="e">
        <f t="shared" ref="H17:H23" si="4">IF(F17&lt;(D17*$E$2),D17*$E$2-F17,0)</f>
        <v>#DIV/0!</v>
      </c>
      <c r="I17" s="477">
        <f t="shared" ref="I17:I23" si="5">IF(G17&lt;(E17*$E$2),E17*$E$2-G17,0)</f>
        <v>0</v>
      </c>
      <c r="J17" s="477" t="e">
        <f t="shared" si="2"/>
        <v>#DIV/0!</v>
      </c>
      <c r="K17" s="477">
        <f t="shared" si="3"/>
        <v>0</v>
      </c>
      <c r="L17" s="44"/>
      <c r="M17" s="42"/>
      <c r="N17" s="42"/>
      <c r="O17" s="42"/>
      <c r="P17" s="42"/>
      <c r="Q17" s="42"/>
      <c r="R17" s="42"/>
      <c r="S17" s="42"/>
      <c r="T17" s="42"/>
      <c r="U17" s="42"/>
      <c r="V17" s="42"/>
      <c r="W17" s="42"/>
      <c r="X17" s="42"/>
      <c r="Y17" s="42"/>
      <c r="Z17" s="42"/>
      <c r="AA17" s="42"/>
      <c r="AB17" s="42"/>
      <c r="AC17" s="42"/>
      <c r="AD17" s="42"/>
      <c r="AE17" s="42"/>
      <c r="AF17" s="42"/>
      <c r="AG17" s="42"/>
    </row>
    <row r="18" spans="1:33" ht="15" customHeight="1">
      <c r="A18" s="321" t="s">
        <v>270</v>
      </c>
      <c r="B18" s="475">
        <f>SUMIF('4-Basis ruimtestaat'!B:B,'2-Kosten per locatie'!A18,'4-Basis ruimtestaat'!J:J)-SUMIFS('4-Basis ruimtestaat'!J:J,'4-Basis ruimtestaat'!B:B,'2-Kosten per locatie'!A18,'4-Basis ruimtestaat'!L:L,"nio")</f>
        <v>592.4</v>
      </c>
      <c r="C18" s="235"/>
      <c r="D18" s="236">
        <f>_xlfn.MAXIFS('4-Basis ruimtestaat'!L:L,'4-Basis ruimtestaat'!B:B,'2-Kosten per locatie'!A18)</f>
        <v>255</v>
      </c>
      <c r="E18" s="236">
        <f>_xlfn.MAXIFS('4-Basis ruimtestaat'!M:M,'4-Basis ruimtestaat'!B:B,'2-Kosten per locatie'!A18)</f>
        <v>255</v>
      </c>
      <c r="F18" s="477" t="e">
        <f>SUMIF('4-Basis ruimtestaat'!B:B,'2-Kosten per locatie'!A18,'4-Basis ruimtestaat'!N:N)</f>
        <v>#DIV/0!</v>
      </c>
      <c r="G18" s="477" t="e">
        <f>SUMIF('4-Basis ruimtestaat'!B:B,'2-Kosten per locatie'!A18,'4-Basis ruimtestaat'!O:O)</f>
        <v>#DIV/0!</v>
      </c>
      <c r="H18" s="477" t="e">
        <f t="shared" si="4"/>
        <v>#DIV/0!</v>
      </c>
      <c r="I18" s="477" t="e">
        <f t="shared" si="5"/>
        <v>#DIV/0!</v>
      </c>
      <c r="J18" s="477" t="e">
        <f t="shared" si="2"/>
        <v>#DIV/0!</v>
      </c>
      <c r="K18" s="477" t="e">
        <f t="shared" si="3"/>
        <v>#DIV/0!</v>
      </c>
      <c r="L18" s="44"/>
      <c r="M18" s="42"/>
      <c r="N18" s="42"/>
      <c r="O18" s="42"/>
      <c r="P18" s="42"/>
      <c r="Q18" s="42"/>
      <c r="R18" s="42"/>
      <c r="S18" s="42"/>
      <c r="T18" s="42"/>
      <c r="U18" s="42"/>
      <c r="V18" s="42"/>
      <c r="W18" s="42"/>
      <c r="X18" s="42"/>
      <c r="Y18" s="42"/>
      <c r="Z18" s="42"/>
      <c r="AA18" s="42"/>
      <c r="AB18" s="42"/>
      <c r="AC18" s="42"/>
      <c r="AD18" s="42"/>
      <c r="AE18" s="42"/>
      <c r="AF18" s="42"/>
      <c r="AG18" s="42"/>
    </row>
    <row r="19" spans="1:33" ht="15" customHeight="1">
      <c r="A19" s="321" t="s">
        <v>520</v>
      </c>
      <c r="B19" s="475">
        <f>SUMIF('4-Basis ruimtestaat'!B:B,'2-Kosten per locatie'!A19,'4-Basis ruimtestaat'!J:J)-SUMIFS('4-Basis ruimtestaat'!J:J,'4-Basis ruimtestaat'!B:B,'2-Kosten per locatie'!A19,'4-Basis ruimtestaat'!L:L,"nio")</f>
        <v>23.029999999999998</v>
      </c>
      <c r="C19" s="235"/>
      <c r="D19" s="236">
        <f>_xlfn.MAXIFS('4-Basis ruimtestaat'!L:L,'4-Basis ruimtestaat'!B:B,'2-Kosten per locatie'!A19)</f>
        <v>52</v>
      </c>
      <c r="E19" s="236">
        <f>_xlfn.MAXIFS('4-Basis ruimtestaat'!M:M,'4-Basis ruimtestaat'!B:B,'2-Kosten per locatie'!A19)</f>
        <v>0</v>
      </c>
      <c r="F19" s="477" t="e">
        <f>SUMIF('4-Basis ruimtestaat'!B:B,'2-Kosten per locatie'!A19,'4-Basis ruimtestaat'!N:N)</f>
        <v>#DIV/0!</v>
      </c>
      <c r="G19" s="477">
        <f>SUMIF('4-Basis ruimtestaat'!B:B,'2-Kosten per locatie'!A19,'4-Basis ruimtestaat'!O:O)</f>
        <v>0</v>
      </c>
      <c r="H19" s="477" t="e">
        <f t="shared" si="4"/>
        <v>#DIV/0!</v>
      </c>
      <c r="I19" s="477">
        <f t="shared" si="5"/>
        <v>0</v>
      </c>
      <c r="J19" s="477" t="e">
        <f t="shared" si="2"/>
        <v>#DIV/0!</v>
      </c>
      <c r="K19" s="477">
        <f t="shared" si="3"/>
        <v>0</v>
      </c>
      <c r="L19" s="44"/>
      <c r="M19" s="42"/>
      <c r="N19" s="42"/>
      <c r="O19" s="42"/>
      <c r="P19" s="42"/>
      <c r="Q19" s="42"/>
      <c r="R19" s="42"/>
      <c r="S19" s="42"/>
      <c r="T19" s="42"/>
      <c r="U19" s="42"/>
      <c r="V19" s="42"/>
      <c r="W19" s="42"/>
      <c r="X19" s="42"/>
      <c r="Y19" s="42"/>
      <c r="Z19" s="42"/>
      <c r="AA19" s="42"/>
      <c r="AB19" s="42"/>
      <c r="AC19" s="42"/>
      <c r="AD19" s="42"/>
      <c r="AE19" s="42"/>
      <c r="AF19" s="42"/>
      <c r="AG19" s="42"/>
    </row>
    <row r="20" spans="1:33" ht="15" customHeight="1">
      <c r="A20" s="321" t="s">
        <v>521</v>
      </c>
      <c r="B20" s="475">
        <f>SUMIF('4-Basis ruimtestaat'!B:B,'2-Kosten per locatie'!A20,'4-Basis ruimtestaat'!J:J)-SUMIFS('4-Basis ruimtestaat'!J:J,'4-Basis ruimtestaat'!B:B,'2-Kosten per locatie'!A20,'4-Basis ruimtestaat'!L:L,"nio")</f>
        <v>35.6</v>
      </c>
      <c r="C20" s="235"/>
      <c r="D20" s="236">
        <f>_xlfn.MAXIFS('4-Basis ruimtestaat'!L:L,'4-Basis ruimtestaat'!B:B,'2-Kosten per locatie'!A20)</f>
        <v>52</v>
      </c>
      <c r="E20" s="236">
        <f>_xlfn.MAXIFS('4-Basis ruimtestaat'!M:M,'4-Basis ruimtestaat'!B:B,'2-Kosten per locatie'!A20)</f>
        <v>0</v>
      </c>
      <c r="F20" s="477" t="e">
        <f>SUMIF('4-Basis ruimtestaat'!B:B,'2-Kosten per locatie'!A20,'4-Basis ruimtestaat'!N:N)</f>
        <v>#DIV/0!</v>
      </c>
      <c r="G20" s="477">
        <f>SUMIF('4-Basis ruimtestaat'!B:B,'2-Kosten per locatie'!A20,'4-Basis ruimtestaat'!O:O)</f>
        <v>0</v>
      </c>
      <c r="H20" s="477" t="e">
        <f t="shared" si="4"/>
        <v>#DIV/0!</v>
      </c>
      <c r="I20" s="477">
        <f t="shared" si="5"/>
        <v>0</v>
      </c>
      <c r="J20" s="477" t="e">
        <f t="shared" si="2"/>
        <v>#DIV/0!</v>
      </c>
      <c r="K20" s="477">
        <f t="shared" si="3"/>
        <v>0</v>
      </c>
      <c r="L20" s="44"/>
      <c r="M20" s="42"/>
      <c r="N20" s="42"/>
      <c r="O20" s="42"/>
      <c r="P20" s="42"/>
      <c r="Q20" s="42"/>
      <c r="R20" s="42"/>
      <c r="S20" s="42"/>
      <c r="T20" s="42"/>
      <c r="U20" s="42"/>
      <c r="V20" s="42"/>
      <c r="W20" s="42"/>
      <c r="X20" s="42"/>
      <c r="Y20" s="42"/>
      <c r="Z20" s="42"/>
      <c r="AA20" s="42"/>
      <c r="AB20" s="42"/>
      <c r="AC20" s="42"/>
      <c r="AD20" s="42"/>
      <c r="AE20" s="42"/>
      <c r="AF20" s="42"/>
      <c r="AG20" s="42"/>
    </row>
    <row r="21" spans="1:33" ht="15" customHeight="1">
      <c r="A21" s="321" t="s">
        <v>497</v>
      </c>
      <c r="B21" s="475">
        <f>SUMIF('4-Basis ruimtestaat'!B:B,'2-Kosten per locatie'!A21,'4-Basis ruimtestaat'!J:J)-SUMIFS('4-Basis ruimtestaat'!J:J,'4-Basis ruimtestaat'!B:B,'2-Kosten per locatie'!A21,'4-Basis ruimtestaat'!L:L,"nio")</f>
        <v>521.5</v>
      </c>
      <c r="C21" s="235"/>
      <c r="D21" s="236">
        <f>_xlfn.MAXIFS('4-Basis ruimtestaat'!L:L,'4-Basis ruimtestaat'!B:B,'2-Kosten per locatie'!A21)</f>
        <v>255</v>
      </c>
      <c r="E21" s="236">
        <f>_xlfn.MAXIFS('4-Basis ruimtestaat'!M:M,'4-Basis ruimtestaat'!B:B,'2-Kosten per locatie'!A21)</f>
        <v>0</v>
      </c>
      <c r="F21" s="477" t="e">
        <f>SUMIF('4-Basis ruimtestaat'!B:B,'2-Kosten per locatie'!A21,'4-Basis ruimtestaat'!N:N)</f>
        <v>#DIV/0!</v>
      </c>
      <c r="G21" s="477">
        <f>SUMIF('4-Basis ruimtestaat'!B:B,'2-Kosten per locatie'!A21,'4-Basis ruimtestaat'!O:O)</f>
        <v>0</v>
      </c>
      <c r="H21" s="477" t="e">
        <f t="shared" si="4"/>
        <v>#DIV/0!</v>
      </c>
      <c r="I21" s="477">
        <f t="shared" si="5"/>
        <v>0</v>
      </c>
      <c r="J21" s="477" t="e">
        <f t="shared" si="2"/>
        <v>#DIV/0!</v>
      </c>
      <c r="K21" s="477">
        <f t="shared" si="3"/>
        <v>0</v>
      </c>
      <c r="L21" s="44"/>
      <c r="M21" s="42"/>
      <c r="N21" s="42"/>
      <c r="O21" s="42"/>
      <c r="P21" s="42"/>
      <c r="Q21" s="42"/>
      <c r="R21" s="42"/>
      <c r="S21" s="42"/>
      <c r="T21" s="42"/>
      <c r="U21" s="42"/>
      <c r="V21" s="42"/>
      <c r="W21" s="42"/>
      <c r="X21" s="42"/>
      <c r="Y21" s="42"/>
      <c r="Z21" s="42"/>
      <c r="AA21" s="42"/>
      <c r="AB21" s="42"/>
      <c r="AC21" s="42"/>
      <c r="AD21" s="42"/>
      <c r="AE21" s="42"/>
      <c r="AF21" s="42"/>
      <c r="AG21" s="42"/>
    </row>
    <row r="22" spans="1:33" ht="15" customHeight="1">
      <c r="A22" s="321" t="s">
        <v>498</v>
      </c>
      <c r="B22" s="475">
        <f>SUMIF('4-Basis ruimtestaat'!B:B,'2-Kosten per locatie'!A22,'4-Basis ruimtestaat'!J:J)-SUMIFS('4-Basis ruimtestaat'!J:J,'4-Basis ruimtestaat'!B:B,'2-Kosten per locatie'!A22,'4-Basis ruimtestaat'!L:L,"nio")</f>
        <v>108</v>
      </c>
      <c r="C22" s="235"/>
      <c r="D22" s="236">
        <f>_xlfn.MAXIFS('4-Basis ruimtestaat'!L:L,'4-Basis ruimtestaat'!B:B,'2-Kosten per locatie'!A22)</f>
        <v>156</v>
      </c>
      <c r="E22" s="236">
        <f>_xlfn.MAXIFS('4-Basis ruimtestaat'!M:M,'4-Basis ruimtestaat'!B:B,'2-Kosten per locatie'!A22)</f>
        <v>0</v>
      </c>
      <c r="F22" s="477" t="e">
        <f>SUMIF('4-Basis ruimtestaat'!B:B,'2-Kosten per locatie'!A22,'4-Basis ruimtestaat'!N:N)</f>
        <v>#DIV/0!</v>
      </c>
      <c r="G22" s="477">
        <f>SUMIF('4-Basis ruimtestaat'!B:B,'2-Kosten per locatie'!A22,'4-Basis ruimtestaat'!O:O)</f>
        <v>0</v>
      </c>
      <c r="H22" s="477" t="e">
        <f t="shared" si="4"/>
        <v>#DIV/0!</v>
      </c>
      <c r="I22" s="477">
        <f t="shared" si="5"/>
        <v>0</v>
      </c>
      <c r="J22" s="477" t="e">
        <f t="shared" si="2"/>
        <v>#DIV/0!</v>
      </c>
      <c r="K22" s="477">
        <f t="shared" si="3"/>
        <v>0</v>
      </c>
      <c r="L22" s="44"/>
      <c r="M22" s="42"/>
      <c r="N22" s="42"/>
      <c r="O22" s="42"/>
      <c r="P22" s="42"/>
      <c r="Q22" s="42"/>
      <c r="R22" s="42"/>
      <c r="S22" s="42"/>
      <c r="T22" s="42"/>
      <c r="U22" s="42"/>
      <c r="V22" s="42"/>
      <c r="W22" s="42"/>
      <c r="X22" s="42"/>
      <c r="Y22" s="42"/>
      <c r="Z22" s="42"/>
      <c r="AA22" s="42"/>
      <c r="AB22" s="42"/>
      <c r="AC22" s="42"/>
      <c r="AD22" s="42"/>
      <c r="AE22" s="42"/>
      <c r="AF22" s="42"/>
      <c r="AG22" s="42"/>
    </row>
    <row r="23" spans="1:33" ht="15" customHeight="1">
      <c r="A23" s="322" t="s">
        <v>0</v>
      </c>
      <c r="B23" s="475">
        <f>SUMIF('4-Basis ruimtestaat'!B:B,'2-Kosten per locatie'!A23,'4-Basis ruimtestaat'!J:J)</f>
        <v>0</v>
      </c>
      <c r="C23" s="235"/>
      <c r="D23" s="236">
        <f>_xlfn.MAXIFS('4-Basis ruimtestaat'!L:L,'4-Basis ruimtestaat'!B:B,'2-Kosten per locatie'!A23)</f>
        <v>0</v>
      </c>
      <c r="E23" s="236">
        <f>_xlfn.MAXIFS('4-Basis ruimtestaat'!M:M,'4-Basis ruimtestaat'!B:B,'2-Kosten per locatie'!A23)</f>
        <v>0</v>
      </c>
      <c r="F23" s="477">
        <f>SUMIF('4-Basis ruimtestaat'!B:B,'2-Kosten per locatie'!A23,'4-Basis ruimtestaat'!N:N)</f>
        <v>0</v>
      </c>
      <c r="G23" s="477">
        <f>SUMIF('4-Basis ruimtestaat'!B:B,'2-Kosten per locatie'!A23,'4-Basis ruimtestaat'!O:O)</f>
        <v>0</v>
      </c>
      <c r="H23" s="477">
        <f t="shared" si="4"/>
        <v>0</v>
      </c>
      <c r="I23" s="477">
        <f t="shared" si="5"/>
        <v>0</v>
      </c>
      <c r="J23" s="477">
        <f t="shared" si="2"/>
        <v>0</v>
      </c>
      <c r="K23" s="477">
        <f t="shared" si="3"/>
        <v>0</v>
      </c>
      <c r="L23" s="44"/>
      <c r="M23" s="42"/>
      <c r="N23" s="42"/>
      <c r="O23" s="42"/>
      <c r="P23" s="42"/>
      <c r="Q23" s="42"/>
      <c r="R23" s="42"/>
      <c r="S23" s="42"/>
      <c r="T23" s="42"/>
      <c r="U23" s="42"/>
      <c r="V23" s="42"/>
      <c r="W23" s="42"/>
      <c r="X23" s="42"/>
      <c r="Y23" s="42"/>
      <c r="Z23" s="42"/>
      <c r="AA23" s="42"/>
      <c r="AB23" s="42"/>
      <c r="AC23" s="42"/>
      <c r="AD23" s="42"/>
      <c r="AE23" s="42"/>
      <c r="AF23" s="42"/>
      <c r="AG23" s="42"/>
    </row>
    <row r="24" spans="1:33" s="57" customFormat="1" ht="15" customHeight="1">
      <c r="A24" s="323" t="s">
        <v>36</v>
      </c>
      <c r="B24" s="476">
        <f>SUM(B15:B23)</f>
        <v>9768.1499999999978</v>
      </c>
      <c r="C24" s="237"/>
      <c r="D24" s="238"/>
      <c r="E24" s="238"/>
      <c r="F24" s="478" t="e">
        <f t="shared" ref="F24:K24" si="6">SUM(F15:F23)</f>
        <v>#DIV/0!</v>
      </c>
      <c r="G24" s="478" t="e">
        <f t="shared" si="6"/>
        <v>#DIV/0!</v>
      </c>
      <c r="H24" s="478" t="e">
        <f t="shared" si="6"/>
        <v>#DIV/0!</v>
      </c>
      <c r="I24" s="478" t="e">
        <f t="shared" si="6"/>
        <v>#DIV/0!</v>
      </c>
      <c r="J24" s="478" t="e">
        <f t="shared" si="6"/>
        <v>#DIV/0!</v>
      </c>
      <c r="K24" s="478" t="e">
        <f t="shared" si="6"/>
        <v>#DIV/0!</v>
      </c>
      <c r="L24" s="44"/>
    </row>
    <row r="25" spans="1:33" s="56" customFormat="1" ht="14.1" customHeight="1">
      <c r="AD25" s="42"/>
    </row>
    <row r="26" spans="1:33" ht="83.4" customHeight="1">
      <c r="A26" s="252" t="s">
        <v>25</v>
      </c>
      <c r="B26" s="253" t="s">
        <v>37</v>
      </c>
      <c r="C26" s="253" t="s">
        <v>38</v>
      </c>
      <c r="D26" s="253" t="s">
        <v>39</v>
      </c>
      <c r="E26" s="253" t="s">
        <v>40</v>
      </c>
      <c r="F26" s="253" t="s">
        <v>41</v>
      </c>
      <c r="G26" s="251" t="s">
        <v>42</v>
      </c>
      <c r="H26" s="253" t="s">
        <v>43</v>
      </c>
      <c r="I26" s="253" t="s">
        <v>44</v>
      </c>
      <c r="J26" s="253" t="s">
        <v>45</v>
      </c>
      <c r="K26" s="253" t="s">
        <v>46</v>
      </c>
      <c r="L26" s="253" t="s">
        <v>47</v>
      </c>
      <c r="M26" s="253" t="s">
        <v>48</v>
      </c>
      <c r="O26" s="57"/>
      <c r="P26" s="57"/>
      <c r="Q26" s="57"/>
      <c r="R26" s="57"/>
      <c r="S26" s="57"/>
      <c r="T26" s="57"/>
      <c r="U26" s="57"/>
      <c r="V26" s="57"/>
      <c r="W26" s="57"/>
      <c r="X26" s="57"/>
      <c r="Y26" s="57"/>
      <c r="Z26" s="56"/>
      <c r="AA26" s="42"/>
      <c r="AB26" s="42"/>
      <c r="AC26" s="42"/>
      <c r="AD26" s="42"/>
      <c r="AE26" s="42"/>
      <c r="AF26" s="42"/>
      <c r="AG26" s="42"/>
    </row>
    <row r="27" spans="1:33" s="56" customFormat="1" ht="15" customHeight="1">
      <c r="A27" s="321" t="str">
        <f t="shared" ref="A27:A35" si="7">A15</f>
        <v>Gemeentehuis</v>
      </c>
      <c r="B27" s="521" t="e">
        <f>(F15)*'6-Opbouw uurtarief productie'!$E$47</f>
        <v>#DIV/0!</v>
      </c>
      <c r="C27" s="521" t="e">
        <f>(G15+I15)*'6-Opbouw uurtarief productie'!$E$47</f>
        <v>#DIV/0!</v>
      </c>
      <c r="D27" s="324" t="e">
        <f t="shared" ref="D27:D35" si="8">SUM(B27:C27)</f>
        <v>#DIV/0!</v>
      </c>
      <c r="E27" s="324" t="e">
        <f>J15*'7-Opbouw uurtarief toezicht'!$E$46</f>
        <v>#DIV/0!</v>
      </c>
      <c r="F27" s="324" t="e">
        <f>K15*'7-Opbouw uurtarief toezicht'!$E$46</f>
        <v>#DIV/0!</v>
      </c>
      <c r="G27" s="240" t="e">
        <f t="shared" ref="G27:G35" si="9">SUM(E27:F27)</f>
        <v>#DIV/0!</v>
      </c>
      <c r="H27" s="241">
        <f>SUMIF('11-Vloeronderhoud'!A:A,'2-Kosten per locatie'!A27,'11-Vloeronderhoud'!I:I)</f>
        <v>0</v>
      </c>
      <c r="I27" s="324">
        <f>SUMIF('8-Additionele kosten'!A:A,'2-Kosten per locatie'!A27,'8-Additionele kosten'!H:H)</f>
        <v>0</v>
      </c>
      <c r="J27" s="324">
        <f>SUMIF('10-Glasbewassing'!A:A,'2-Kosten per locatie'!A27,'10-Glasbewassing'!H:H)</f>
        <v>0</v>
      </c>
      <c r="K27" s="324">
        <f>SUMIF('12-Sanitaire voorzieningen'!A:A,'2-Kosten per locatie'!A27,'12-Sanitaire voorzieningen'!G:G)</f>
        <v>0</v>
      </c>
      <c r="L27" s="324" t="e">
        <f t="shared" ref="L27:L35" si="10">D27+G27+H27+I27+J27+K27</f>
        <v>#DIV/0!</v>
      </c>
      <c r="M27" s="324" t="e">
        <f>L27/12</f>
        <v>#DIV/0!</v>
      </c>
      <c r="N27" s="43"/>
    </row>
    <row r="28" spans="1:33" ht="15" customHeight="1">
      <c r="A28" s="321" t="str">
        <f t="shared" si="7"/>
        <v>Gemeentewerf</v>
      </c>
      <c r="B28" s="521" t="e">
        <f>(F16+H16)*'6-Opbouw uurtarief productie'!$E$47</f>
        <v>#DIV/0!</v>
      </c>
      <c r="C28" s="521" t="e">
        <f>(G16+I16)*'6-Opbouw uurtarief productie'!$E$47</f>
        <v>#DIV/0!</v>
      </c>
      <c r="D28" s="324" t="e">
        <f t="shared" si="8"/>
        <v>#DIV/0!</v>
      </c>
      <c r="E28" s="324" t="e">
        <f>J16*'7-Opbouw uurtarief toezicht'!$E$46</f>
        <v>#DIV/0!</v>
      </c>
      <c r="F28" s="324" t="e">
        <f>K16*'7-Opbouw uurtarief toezicht'!$E$46</f>
        <v>#DIV/0!</v>
      </c>
      <c r="G28" s="240" t="e">
        <f t="shared" si="9"/>
        <v>#DIV/0!</v>
      </c>
      <c r="H28" s="241">
        <f>SUMIF('11-Vloeronderhoud'!A:A,'2-Kosten per locatie'!A28,'11-Vloeronderhoud'!I:I)</f>
        <v>0</v>
      </c>
      <c r="I28" s="324">
        <f>SUMIF('8-Additionele kosten'!A:A,'2-Kosten per locatie'!A28,'8-Additionele kosten'!H:H)</f>
        <v>0</v>
      </c>
      <c r="J28" s="324">
        <f>SUMIF('10-Glasbewassing'!A:A,'2-Kosten per locatie'!A28,'10-Glasbewassing'!H:H)</f>
        <v>0</v>
      </c>
      <c r="K28" s="324">
        <f>SUMIF('12-Sanitaire voorzieningen'!A:A,'2-Kosten per locatie'!A28,'12-Sanitaire voorzieningen'!G:G)</f>
        <v>0</v>
      </c>
      <c r="L28" s="324" t="e">
        <f t="shared" si="10"/>
        <v>#DIV/0!</v>
      </c>
      <c r="M28" s="324" t="e">
        <f t="shared" ref="M28:M29" si="11">L28/12</f>
        <v>#DIV/0!</v>
      </c>
      <c r="O28" s="57"/>
      <c r="P28" s="57"/>
      <c r="Q28" s="57"/>
      <c r="R28" s="57"/>
      <c r="S28" s="57"/>
      <c r="T28" s="57"/>
      <c r="U28" s="57"/>
      <c r="V28" s="57"/>
      <c r="W28" s="57"/>
      <c r="X28" s="57"/>
      <c r="Y28" s="57"/>
      <c r="Z28" s="56"/>
      <c r="AA28" s="42"/>
      <c r="AB28" s="42"/>
      <c r="AC28" s="42"/>
      <c r="AD28" s="42"/>
      <c r="AE28" s="42"/>
      <c r="AF28" s="42"/>
      <c r="AG28" s="42"/>
    </row>
    <row r="29" spans="1:33" ht="15" customHeight="1">
      <c r="A29" s="321" t="str">
        <f t="shared" si="7"/>
        <v>Milieustraat</v>
      </c>
      <c r="B29" s="521" t="e">
        <f>(F17+H17)*'6-Opbouw uurtarief productie'!$E$47</f>
        <v>#DIV/0!</v>
      </c>
      <c r="C29" s="521" t="e">
        <f>(G17+I17)*'6-Opbouw uurtarief productie'!$E$47</f>
        <v>#DIV/0!</v>
      </c>
      <c r="D29" s="324" t="e">
        <f t="shared" si="8"/>
        <v>#DIV/0!</v>
      </c>
      <c r="E29" s="324" t="e">
        <f>J17*'7-Opbouw uurtarief toezicht'!$E$46</f>
        <v>#DIV/0!</v>
      </c>
      <c r="F29" s="324" t="e">
        <f>K17*'7-Opbouw uurtarief toezicht'!$E$46</f>
        <v>#DIV/0!</v>
      </c>
      <c r="G29" s="240" t="e">
        <f t="shared" si="9"/>
        <v>#DIV/0!</v>
      </c>
      <c r="H29" s="241">
        <f>SUMIF('11-Vloeronderhoud'!A:A,'2-Kosten per locatie'!A29,'11-Vloeronderhoud'!I:I)</f>
        <v>0</v>
      </c>
      <c r="I29" s="324">
        <f>SUMIF('8-Additionele kosten'!A:A,'2-Kosten per locatie'!A29,'8-Additionele kosten'!H:H)</f>
        <v>0</v>
      </c>
      <c r="J29" s="324">
        <f>SUMIF('10-Glasbewassing'!A:A,'2-Kosten per locatie'!A29,'10-Glasbewassing'!H:H)</f>
        <v>0</v>
      </c>
      <c r="K29" s="324">
        <f>SUMIF('12-Sanitaire voorzieningen'!A:A,'2-Kosten per locatie'!A29,'12-Sanitaire voorzieningen'!G:G)</f>
        <v>0</v>
      </c>
      <c r="L29" s="324" t="e">
        <f t="shared" si="10"/>
        <v>#DIV/0!</v>
      </c>
      <c r="M29" s="324" t="e">
        <f t="shared" si="11"/>
        <v>#DIV/0!</v>
      </c>
      <c r="O29" s="56"/>
      <c r="P29" s="56"/>
      <c r="Q29" s="56"/>
      <c r="R29" s="56"/>
      <c r="S29" s="56"/>
      <c r="T29" s="56"/>
      <c r="U29" s="56"/>
      <c r="V29" s="56"/>
      <c r="W29" s="56"/>
      <c r="X29" s="56"/>
      <c r="Y29" s="56"/>
      <c r="Z29" s="56"/>
      <c r="AA29" s="42"/>
      <c r="AB29" s="42"/>
      <c r="AC29" s="42"/>
      <c r="AD29" s="42"/>
      <c r="AE29" s="42"/>
      <c r="AF29" s="42"/>
      <c r="AG29" s="42"/>
    </row>
    <row r="30" spans="1:33" ht="15" customHeight="1">
      <c r="A30" s="321" t="str">
        <f t="shared" si="7"/>
        <v>Raadhuis</v>
      </c>
      <c r="B30" s="521" t="e">
        <f>(F18+H18)*'6-Opbouw uurtarief productie'!$E$47</f>
        <v>#DIV/0!</v>
      </c>
      <c r="C30" s="521" t="e">
        <f>(G18+I18)*'6-Opbouw uurtarief productie'!$E$47</f>
        <v>#DIV/0!</v>
      </c>
      <c r="D30" s="324" t="e">
        <f t="shared" si="8"/>
        <v>#DIV/0!</v>
      </c>
      <c r="E30" s="324" t="e">
        <f>J18*'7-Opbouw uurtarief toezicht'!$E$46</f>
        <v>#DIV/0!</v>
      </c>
      <c r="F30" s="324" t="e">
        <f>K18*'7-Opbouw uurtarief toezicht'!$E$46</f>
        <v>#DIV/0!</v>
      </c>
      <c r="G30" s="240" t="e">
        <f t="shared" si="9"/>
        <v>#DIV/0!</v>
      </c>
      <c r="H30" s="241">
        <f>SUMIF('11-Vloeronderhoud'!A:A,'2-Kosten per locatie'!A30,'11-Vloeronderhoud'!I:I)</f>
        <v>0</v>
      </c>
      <c r="I30" s="324">
        <f>SUMIF('8-Additionele kosten'!A:A,'2-Kosten per locatie'!A30,'8-Additionele kosten'!H:H)</f>
        <v>0</v>
      </c>
      <c r="J30" s="324">
        <f>SUMIF('10-Glasbewassing'!A:A,'2-Kosten per locatie'!A30,'10-Glasbewassing'!H:H)</f>
        <v>0</v>
      </c>
      <c r="K30" s="324">
        <f>SUMIF('12-Sanitaire voorzieningen'!A:A,'2-Kosten per locatie'!A30,'12-Sanitaire voorzieningen'!G:G)</f>
        <v>0</v>
      </c>
      <c r="L30" s="324" t="e">
        <f t="shared" si="10"/>
        <v>#DIV/0!</v>
      </c>
      <c r="M30" s="324" t="e">
        <f t="shared" ref="M30:M35" si="12">L30/12</f>
        <v>#DIV/0!</v>
      </c>
      <c r="O30" s="57"/>
      <c r="P30" s="57"/>
      <c r="Q30" s="57"/>
      <c r="R30" s="57"/>
      <c r="S30" s="57"/>
      <c r="T30" s="57"/>
      <c r="U30" s="57"/>
      <c r="V30" s="57"/>
      <c r="W30" s="57"/>
      <c r="X30" s="57"/>
      <c r="Y30" s="57"/>
      <c r="Z30" s="56"/>
      <c r="AA30" s="42"/>
      <c r="AB30" s="42"/>
      <c r="AC30" s="42"/>
      <c r="AD30" s="42"/>
      <c r="AE30" s="42"/>
      <c r="AF30" s="42"/>
      <c r="AG30" s="42"/>
    </row>
    <row r="31" spans="1:33" ht="15" customHeight="1">
      <c r="A31" s="321" t="str">
        <f t="shared" si="7"/>
        <v>Steunpunt Kootwijkerbroek</v>
      </c>
      <c r="B31" s="521" t="e">
        <f>(F19+H19)*'6-Opbouw uurtarief productie'!$E$47</f>
        <v>#DIV/0!</v>
      </c>
      <c r="C31" s="521" t="e">
        <f>(G19+I19)*'6-Opbouw uurtarief productie'!$E$47</f>
        <v>#DIV/0!</v>
      </c>
      <c r="D31" s="324" t="e">
        <f t="shared" si="8"/>
        <v>#DIV/0!</v>
      </c>
      <c r="E31" s="324" t="e">
        <f>J19*'7-Opbouw uurtarief toezicht'!$E$46</f>
        <v>#DIV/0!</v>
      </c>
      <c r="F31" s="324" t="e">
        <f>K19*'7-Opbouw uurtarief toezicht'!$E$46</f>
        <v>#DIV/0!</v>
      </c>
      <c r="G31" s="240" t="e">
        <f t="shared" si="9"/>
        <v>#DIV/0!</v>
      </c>
      <c r="H31" s="241">
        <f>SUMIF('11-Vloeronderhoud'!A:A,'2-Kosten per locatie'!A31,'11-Vloeronderhoud'!I:I)</f>
        <v>0</v>
      </c>
      <c r="I31" s="324">
        <f>SUMIF('8-Additionele kosten'!A:A,'2-Kosten per locatie'!A31,'8-Additionele kosten'!H:H)</f>
        <v>0</v>
      </c>
      <c r="J31" s="324">
        <f>SUMIF('10-Glasbewassing'!A:A,'2-Kosten per locatie'!A31,'10-Glasbewassing'!H:H)</f>
        <v>0</v>
      </c>
      <c r="K31" s="324">
        <f>SUMIF('12-Sanitaire voorzieningen'!A:A,'2-Kosten per locatie'!A31,'12-Sanitaire voorzieningen'!G:G)</f>
        <v>0</v>
      </c>
      <c r="L31" s="324" t="e">
        <f t="shared" si="10"/>
        <v>#DIV/0!</v>
      </c>
      <c r="M31" s="324" t="e">
        <f t="shared" si="12"/>
        <v>#DIV/0!</v>
      </c>
      <c r="O31" s="56"/>
      <c r="P31" s="56"/>
      <c r="Q31" s="56"/>
      <c r="R31" s="56"/>
      <c r="S31" s="56"/>
      <c r="T31" s="56"/>
      <c r="U31" s="56"/>
      <c r="V31" s="56"/>
      <c r="W31" s="56"/>
      <c r="X31" s="56"/>
      <c r="Y31" s="56"/>
      <c r="Z31" s="56"/>
      <c r="AA31" s="42"/>
      <c r="AB31" s="42"/>
      <c r="AC31" s="42"/>
      <c r="AD31" s="42"/>
      <c r="AE31" s="42"/>
      <c r="AF31" s="42"/>
      <c r="AG31" s="42"/>
    </row>
    <row r="32" spans="1:33" ht="15" customHeight="1">
      <c r="A32" s="321" t="str">
        <f t="shared" si="7"/>
        <v>Steunpunt Voorthuizen</v>
      </c>
      <c r="B32" s="521" t="e">
        <f>(F20+H20)*'6-Opbouw uurtarief productie'!$E$47</f>
        <v>#DIV/0!</v>
      </c>
      <c r="C32" s="521" t="e">
        <f>(G20+I20)*'6-Opbouw uurtarief productie'!$E$47</f>
        <v>#DIV/0!</v>
      </c>
      <c r="D32" s="324" t="e">
        <f t="shared" si="8"/>
        <v>#DIV/0!</v>
      </c>
      <c r="E32" s="324" t="e">
        <f>J20*'7-Opbouw uurtarief toezicht'!$E$46</f>
        <v>#DIV/0!</v>
      </c>
      <c r="F32" s="324" t="e">
        <f>K20*'7-Opbouw uurtarief toezicht'!$E$46</f>
        <v>#DIV/0!</v>
      </c>
      <c r="G32" s="240" t="e">
        <f t="shared" si="9"/>
        <v>#DIV/0!</v>
      </c>
      <c r="H32" s="241">
        <f>SUMIF('11-Vloeronderhoud'!A:A,'2-Kosten per locatie'!A32,'11-Vloeronderhoud'!I:I)</f>
        <v>0</v>
      </c>
      <c r="I32" s="324">
        <f>SUMIF('8-Additionele kosten'!A:A,'2-Kosten per locatie'!A32,'8-Additionele kosten'!H:H)</f>
        <v>0</v>
      </c>
      <c r="J32" s="324">
        <f>SUMIF('10-Glasbewassing'!A:A,'2-Kosten per locatie'!A32,'10-Glasbewassing'!H:H)</f>
        <v>0</v>
      </c>
      <c r="K32" s="324">
        <f>SUMIF('12-Sanitaire voorzieningen'!A:A,'2-Kosten per locatie'!A32,'12-Sanitaire voorzieningen'!G:G)</f>
        <v>0</v>
      </c>
      <c r="L32" s="324" t="e">
        <f t="shared" si="10"/>
        <v>#DIV/0!</v>
      </c>
      <c r="M32" s="324" t="e">
        <f t="shared" si="12"/>
        <v>#DIV/0!</v>
      </c>
      <c r="O32" s="57"/>
      <c r="P32" s="57"/>
      <c r="Q32" s="57"/>
      <c r="R32" s="57"/>
      <c r="S32" s="57"/>
      <c r="T32" s="57"/>
      <c r="U32" s="57"/>
      <c r="V32" s="57"/>
      <c r="W32" s="57"/>
      <c r="X32" s="57"/>
      <c r="Y32" s="57"/>
      <c r="Z32" s="56"/>
      <c r="AA32" s="42"/>
      <c r="AB32" s="42"/>
      <c r="AC32" s="42"/>
      <c r="AD32" s="42"/>
      <c r="AE32" s="42"/>
      <c r="AF32" s="42"/>
      <c r="AG32" s="42"/>
    </row>
    <row r="33" spans="1:33" ht="15" customHeight="1">
      <c r="A33" s="321" t="str">
        <f t="shared" si="7"/>
        <v>Uitvaartcentrum</v>
      </c>
      <c r="B33" s="521" t="e">
        <f>(F21+H21)*'6-Opbouw uurtarief productie'!$E$47</f>
        <v>#DIV/0!</v>
      </c>
      <c r="C33" s="521" t="e">
        <f>(G21+I21)*'6-Opbouw uurtarief productie'!$E$47</f>
        <v>#DIV/0!</v>
      </c>
      <c r="D33" s="324" t="e">
        <f t="shared" si="8"/>
        <v>#DIV/0!</v>
      </c>
      <c r="E33" s="324" t="e">
        <f>J21*'7-Opbouw uurtarief toezicht'!$E$46</f>
        <v>#DIV/0!</v>
      </c>
      <c r="F33" s="324" t="e">
        <f>K21*'7-Opbouw uurtarief toezicht'!$E$46</f>
        <v>#DIV/0!</v>
      </c>
      <c r="G33" s="240" t="e">
        <f t="shared" si="9"/>
        <v>#DIV/0!</v>
      </c>
      <c r="H33" s="241">
        <f>SUMIF('11-Vloeronderhoud'!A:A,'2-Kosten per locatie'!A33,'11-Vloeronderhoud'!I:I)</f>
        <v>0</v>
      </c>
      <c r="I33" s="324">
        <f>SUMIF('8-Additionele kosten'!A:A,'2-Kosten per locatie'!A33,'8-Additionele kosten'!H:H)</f>
        <v>0</v>
      </c>
      <c r="J33" s="324">
        <f>SUMIF('10-Glasbewassing'!A:A,'2-Kosten per locatie'!A33,'10-Glasbewassing'!H:H)</f>
        <v>0</v>
      </c>
      <c r="K33" s="324">
        <f>SUMIF('12-Sanitaire voorzieningen'!A:A,'2-Kosten per locatie'!A33,'12-Sanitaire voorzieningen'!G:G)</f>
        <v>0</v>
      </c>
      <c r="L33" s="324" t="e">
        <f t="shared" si="10"/>
        <v>#DIV/0!</v>
      </c>
      <c r="M33" s="324" t="e">
        <f t="shared" si="12"/>
        <v>#DIV/0!</v>
      </c>
      <c r="Z33" s="56"/>
      <c r="AA33" s="42"/>
      <c r="AB33" s="42"/>
      <c r="AC33" s="42"/>
      <c r="AD33" s="42"/>
      <c r="AE33" s="42"/>
      <c r="AF33" s="42"/>
      <c r="AG33" s="42"/>
    </row>
    <row r="34" spans="1:33" ht="15" customHeight="1">
      <c r="A34" s="321" t="str">
        <f t="shared" si="7"/>
        <v>Villa Bloemendal</v>
      </c>
      <c r="B34" s="521" t="e">
        <f>(F22+H22)*'6-Opbouw uurtarief productie'!$E$47</f>
        <v>#DIV/0!</v>
      </c>
      <c r="C34" s="521" t="e">
        <f>(G22+I22)*'6-Opbouw uurtarief productie'!$E$47</f>
        <v>#DIV/0!</v>
      </c>
      <c r="D34" s="324" t="e">
        <f t="shared" si="8"/>
        <v>#DIV/0!</v>
      </c>
      <c r="E34" s="324" t="e">
        <f>J22*'7-Opbouw uurtarief toezicht'!$E$46</f>
        <v>#DIV/0!</v>
      </c>
      <c r="F34" s="324" t="e">
        <f>K22*'7-Opbouw uurtarief toezicht'!$E$46</f>
        <v>#DIV/0!</v>
      </c>
      <c r="G34" s="240" t="e">
        <f t="shared" si="9"/>
        <v>#DIV/0!</v>
      </c>
      <c r="H34" s="241">
        <f>SUMIF('11-Vloeronderhoud'!A:A,'2-Kosten per locatie'!A34,'11-Vloeronderhoud'!I:I)</f>
        <v>0</v>
      </c>
      <c r="I34" s="324">
        <f>SUMIF('8-Additionele kosten'!A:A,'2-Kosten per locatie'!A34,'8-Additionele kosten'!H:H)</f>
        <v>0</v>
      </c>
      <c r="J34" s="324">
        <f>SUMIF('10-Glasbewassing'!A:A,'2-Kosten per locatie'!A34,'10-Glasbewassing'!H:H)</f>
        <v>0</v>
      </c>
      <c r="K34" s="324">
        <f>SUMIF('12-Sanitaire voorzieningen'!A:A,'2-Kosten per locatie'!A34,'12-Sanitaire voorzieningen'!G:G)</f>
        <v>0</v>
      </c>
      <c r="L34" s="324" t="e">
        <f t="shared" si="10"/>
        <v>#DIV/0!</v>
      </c>
      <c r="M34" s="324" t="e">
        <f t="shared" si="12"/>
        <v>#DIV/0!</v>
      </c>
      <c r="V34" s="56"/>
      <c r="W34" s="56"/>
      <c r="X34" s="56"/>
      <c r="Y34" s="56"/>
      <c r="Z34" s="56"/>
      <c r="AA34" s="42"/>
      <c r="AB34" s="42"/>
      <c r="AC34" s="42"/>
      <c r="AD34" s="42"/>
      <c r="AE34" s="42"/>
      <c r="AF34" s="42"/>
      <c r="AG34" s="42"/>
    </row>
    <row r="35" spans="1:33" ht="15" customHeight="1">
      <c r="A35" s="321" t="str">
        <f t="shared" si="7"/>
        <v>Algemeen</v>
      </c>
      <c r="B35" s="521" t="e">
        <f>(F23+H23)*'6-Opbouw uurtarief productie'!$E$47</f>
        <v>#DIV/0!</v>
      </c>
      <c r="C35" s="521" t="e">
        <f>(G23+I23)*'6-Opbouw uurtarief productie'!$E$47</f>
        <v>#DIV/0!</v>
      </c>
      <c r="D35" s="324" t="e">
        <f t="shared" si="8"/>
        <v>#DIV/0!</v>
      </c>
      <c r="E35" s="324" t="e">
        <f>J23*'7-Opbouw uurtarief toezicht'!$E$46</f>
        <v>#DIV/0!</v>
      </c>
      <c r="F35" s="324" t="e">
        <f>K23*'7-Opbouw uurtarief toezicht'!$E$46</f>
        <v>#DIV/0!</v>
      </c>
      <c r="G35" s="240" t="e">
        <f t="shared" si="9"/>
        <v>#DIV/0!</v>
      </c>
      <c r="H35" s="241">
        <f>SUMIF('11-Vloeronderhoud'!A:A,'2-Kosten per locatie'!A35,'11-Vloeronderhoud'!I:I)</f>
        <v>0</v>
      </c>
      <c r="I35" s="324">
        <f>SUMIF('8-Additionele kosten'!A:A,'2-Kosten per locatie'!A35,'8-Additionele kosten'!H:H)</f>
        <v>0</v>
      </c>
      <c r="J35" s="324">
        <f>SUMIF('10-Glasbewassing'!A:A,'2-Kosten per locatie'!A35,'10-Glasbewassing'!H:H)</f>
        <v>0</v>
      </c>
      <c r="K35" s="324">
        <f>SUMIF('12-Sanitaire voorzieningen'!A:A,'2-Kosten per locatie'!A35,'12-Sanitaire voorzieningen'!G:G)</f>
        <v>0</v>
      </c>
      <c r="L35" s="324" t="e">
        <f t="shared" si="10"/>
        <v>#DIV/0!</v>
      </c>
      <c r="M35" s="324" t="e">
        <f t="shared" si="12"/>
        <v>#DIV/0!</v>
      </c>
      <c r="V35" s="56"/>
      <c r="W35" s="56"/>
      <c r="X35" s="56"/>
      <c r="Y35" s="56"/>
      <c r="Z35" s="56"/>
      <c r="AA35" s="42"/>
      <c r="AB35" s="42"/>
      <c r="AC35" s="42"/>
      <c r="AD35" s="42"/>
      <c r="AE35" s="42"/>
      <c r="AF35" s="42"/>
      <c r="AG35" s="42"/>
    </row>
    <row r="36" spans="1:33" s="57" customFormat="1" ht="15" customHeight="1">
      <c r="A36" s="323" t="s">
        <v>36</v>
      </c>
      <c r="B36" s="325" t="e">
        <f t="shared" ref="B36:M36" si="13">SUM(B27:B35)</f>
        <v>#DIV/0!</v>
      </c>
      <c r="C36" s="325" t="e">
        <f t="shared" si="13"/>
        <v>#DIV/0!</v>
      </c>
      <c r="D36" s="325" t="e">
        <f t="shared" si="13"/>
        <v>#DIV/0!</v>
      </c>
      <c r="E36" s="325" t="e">
        <f t="shared" si="13"/>
        <v>#DIV/0!</v>
      </c>
      <c r="F36" s="325" t="e">
        <f t="shared" si="13"/>
        <v>#DIV/0!</v>
      </c>
      <c r="G36" s="325" t="e">
        <f t="shared" si="13"/>
        <v>#DIV/0!</v>
      </c>
      <c r="H36" s="325">
        <f t="shared" si="13"/>
        <v>0</v>
      </c>
      <c r="I36" s="325">
        <f t="shared" si="13"/>
        <v>0</v>
      </c>
      <c r="J36" s="325">
        <f t="shared" si="13"/>
        <v>0</v>
      </c>
      <c r="K36" s="325">
        <f t="shared" si="13"/>
        <v>0</v>
      </c>
      <c r="L36" s="325" t="e">
        <f t="shared" si="13"/>
        <v>#DIV/0!</v>
      </c>
      <c r="M36" s="325" t="e">
        <f t="shared" si="13"/>
        <v>#DIV/0!</v>
      </c>
      <c r="V36" s="56"/>
      <c r="W36" s="56"/>
      <c r="X36" s="56"/>
      <c r="Y36" s="56"/>
      <c r="Z36" s="56"/>
    </row>
    <row r="37" spans="1:33" ht="14.1" customHeight="1">
      <c r="AC37" s="56"/>
      <c r="AD37" s="56"/>
      <c r="AE37" s="56"/>
      <c r="AF37" s="56"/>
      <c r="AG37" s="56"/>
    </row>
    <row r="38" spans="1:33" ht="14.1" customHeight="1">
      <c r="B38" s="503"/>
    </row>
    <row r="39" spans="1:33" ht="14.1" customHeight="1">
      <c r="B39" s="503"/>
    </row>
  </sheetData>
  <mergeCells count="3">
    <mergeCell ref="F13:G13"/>
    <mergeCell ref="H13:I13"/>
    <mergeCell ref="J13:K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N39"/>
  <sheetViews>
    <sheetView showGridLines="0" zoomScale="85" zoomScaleNormal="85" workbookViewId="0">
      <pane ySplit="9" topLeftCell="A10" activePane="bottomLeft" state="frozen"/>
      <selection activeCell="B1" sqref="B1"/>
      <selection pane="bottomLeft"/>
    </sheetView>
  </sheetViews>
  <sheetFormatPr defaultColWidth="9.109375" defaultRowHeight="13.2"/>
  <cols>
    <col min="1" max="1" width="41.77734375" style="58" customWidth="1"/>
    <col min="2" max="2" width="9.109375" style="58" customWidth="1"/>
    <col min="3" max="6" width="9.109375" style="58"/>
    <col min="7" max="7" width="11" style="58" customWidth="1"/>
    <col min="8" max="8" width="17.33203125" style="58" bestFit="1" customWidth="1"/>
    <col min="9" max="9" width="9.109375" style="58"/>
    <col min="10" max="10" width="2.109375" style="58" customWidth="1"/>
    <col min="11" max="11" width="9.109375" style="59"/>
    <col min="12" max="12" width="10.109375" style="58" customWidth="1"/>
    <col min="13" max="13" width="3" style="58" customWidth="1"/>
    <col min="14" max="14" width="9.109375" style="59"/>
    <col min="15" max="15" width="9.109375" style="2"/>
    <col min="16" max="16" width="30.44140625" style="2" customWidth="1"/>
    <col min="17" max="16384" width="9.109375" style="2"/>
  </cols>
  <sheetData>
    <row r="1" spans="1:14">
      <c r="A1" s="484" t="s">
        <v>5</v>
      </c>
    </row>
    <row r="3" spans="1:14" ht="15.6">
      <c r="A3" s="40" t="str">
        <f>'2-Kosten per locatie'!A3</f>
        <v>Naam opdrachtgever</v>
      </c>
      <c r="B3" s="49" t="str">
        <f>'2-Kosten per locatie'!B3</f>
        <v>Gemeente Barneveld</v>
      </c>
      <c r="C3" s="60"/>
    </row>
    <row r="4" spans="1:14" ht="15.6">
      <c r="A4" s="40" t="str">
        <f>'2-Kosten per locatie'!A4</f>
        <v>Calculatie onderdeel</v>
      </c>
      <c r="B4" s="49" t="str">
        <f ca="1">MID(CELL("bestandsnaam",$B$7),SEARCH("]",CELL("bestandsnaam",$B$7),1)+1,256)</f>
        <v>3-Productie normen</v>
      </c>
      <c r="C4" s="49"/>
    </row>
    <row r="5" spans="1:14" ht="15.6">
      <c r="A5" s="40" t="str">
        <f>'2-Kosten per locatie'!A5</f>
        <v>Gebouw/plaats</v>
      </c>
      <c r="B5" s="49" t="str">
        <f>'2-Kosten per locatie'!B5</f>
        <v>Divers</v>
      </c>
      <c r="C5" s="49"/>
    </row>
    <row r="6" spans="1:14" ht="15.6">
      <c r="A6" s="40" t="str">
        <f>'2-Kosten per locatie'!A6</f>
        <v>Referentie nummer</v>
      </c>
      <c r="B6" s="49">
        <f>'2-Kosten per locatie'!B6</f>
        <v>0</v>
      </c>
      <c r="C6" s="49"/>
      <c r="F6" s="326" t="s">
        <v>49</v>
      </c>
      <c r="G6" s="327"/>
      <c r="H6" s="328" t="e">
        <f>SUM('4-Basis ruimtestaat'!U:U)/SUM('4-Basis ruimtestaat'!N:O)</f>
        <v>#DIV/0!</v>
      </c>
      <c r="I6" s="329" t="s">
        <v>50</v>
      </c>
    </row>
    <row r="7" spans="1:14">
      <c r="A7" s="61"/>
      <c r="B7" s="62"/>
      <c r="C7" s="62"/>
      <c r="D7" s="63"/>
      <c r="E7" s="63"/>
      <c r="F7" s="64"/>
      <c r="G7" s="64"/>
      <c r="H7" s="65"/>
      <c r="I7" s="66"/>
      <c r="J7" s="67"/>
      <c r="L7" s="68"/>
      <c r="M7" s="67"/>
      <c r="N7" s="69"/>
    </row>
    <row r="8" spans="1:14" ht="27.75" customHeight="1">
      <c r="A8" s="330" t="s">
        <v>51</v>
      </c>
      <c r="B8" s="331">
        <v>4</v>
      </c>
      <c r="C8" s="331">
        <v>52</v>
      </c>
      <c r="D8" s="331">
        <v>104</v>
      </c>
      <c r="E8" s="331">
        <v>156</v>
      </c>
      <c r="F8" s="331">
        <v>255</v>
      </c>
      <c r="G8" s="64"/>
      <c r="H8" s="65"/>
      <c r="I8" s="66"/>
      <c r="J8" s="67"/>
      <c r="K8" s="203"/>
      <c r="L8" s="332"/>
      <c r="M8" s="204"/>
      <c r="N8" s="69"/>
    </row>
    <row r="9" spans="1:14" ht="60.6" customHeight="1">
      <c r="A9" s="333" t="s">
        <v>52</v>
      </c>
      <c r="B9" s="529" t="s">
        <v>53</v>
      </c>
      <c r="C9" s="530"/>
      <c r="D9" s="530"/>
      <c r="E9" s="530"/>
      <c r="F9" s="530"/>
      <c r="G9" s="64"/>
      <c r="H9" s="65"/>
      <c r="I9" s="66"/>
      <c r="J9" s="67"/>
      <c r="K9" s="334" t="s">
        <v>54</v>
      </c>
      <c r="L9" s="335" t="s">
        <v>55</v>
      </c>
      <c r="M9" s="204"/>
      <c r="N9" s="334" t="s">
        <v>56</v>
      </c>
    </row>
    <row r="10" spans="1:14">
      <c r="A10" s="336" t="s">
        <v>499</v>
      </c>
      <c r="B10" s="341"/>
      <c r="C10" s="337"/>
      <c r="D10" s="337"/>
      <c r="E10" s="341"/>
      <c r="F10" s="337"/>
      <c r="G10" s="64"/>
      <c r="H10" s="65"/>
      <c r="I10" s="66"/>
      <c r="J10" s="254"/>
      <c r="K10" s="338">
        <f>SUMIF('4-Basis ruimtestaat'!G:G,'3-Productie normen'!A10,'4-Basis ruimtestaat'!J:J)</f>
        <v>4446.6099999999979</v>
      </c>
      <c r="L10" s="71"/>
      <c r="M10" s="67"/>
      <c r="N10" s="339" t="s">
        <v>57</v>
      </c>
    </row>
    <row r="11" spans="1:14">
      <c r="A11" s="336" t="s">
        <v>503</v>
      </c>
      <c r="B11" s="341"/>
      <c r="C11" s="341"/>
      <c r="D11" s="341"/>
      <c r="E11" s="341"/>
      <c r="F11" s="337"/>
      <c r="G11" s="64"/>
      <c r="H11" s="65"/>
      <c r="I11" s="66"/>
      <c r="J11" s="254"/>
      <c r="K11" s="338">
        <f>SUMIF('4-Basis ruimtestaat'!G:G,'3-Productie normen'!A11,'4-Basis ruimtestaat'!J:J)</f>
        <v>3</v>
      </c>
      <c r="M11" s="67"/>
      <c r="N11" s="339" t="s">
        <v>59</v>
      </c>
    </row>
    <row r="12" spans="1:14">
      <c r="A12" s="336" t="s">
        <v>64</v>
      </c>
      <c r="B12" s="341"/>
      <c r="C12" s="337"/>
      <c r="D12" s="337"/>
      <c r="E12" s="337"/>
      <c r="F12" s="337"/>
      <c r="G12" s="64"/>
      <c r="H12" s="65"/>
      <c r="I12" s="66"/>
      <c r="J12" s="254"/>
      <c r="K12" s="338">
        <f>SUMIF('4-Basis ruimtestaat'!G:G,'3-Productie normen'!A12,'4-Basis ruimtestaat'!J:J)</f>
        <v>81.699999999999989</v>
      </c>
      <c r="N12" s="339" t="s">
        <v>61</v>
      </c>
    </row>
    <row r="13" spans="1:14">
      <c r="A13" s="336" t="s">
        <v>60</v>
      </c>
      <c r="B13" s="341"/>
      <c r="C13" s="341"/>
      <c r="D13" s="341"/>
      <c r="E13" s="341"/>
      <c r="F13" s="337"/>
      <c r="G13" s="64"/>
      <c r="H13" s="65"/>
      <c r="I13" s="66"/>
      <c r="J13" s="254"/>
      <c r="K13" s="338">
        <f>SUMIF('4-Basis ruimtestaat'!G:G,'3-Productie normen'!A13,'4-Basis ruimtestaat'!J:J)</f>
        <v>2203.4999999999995</v>
      </c>
      <c r="N13" s="339" t="s">
        <v>61</v>
      </c>
    </row>
    <row r="14" spans="1:14">
      <c r="A14" s="340" t="s">
        <v>500</v>
      </c>
      <c r="B14" s="341"/>
      <c r="C14" s="341"/>
      <c r="D14" s="341"/>
      <c r="E14" s="341"/>
      <c r="F14" s="337"/>
      <c r="G14" s="64"/>
      <c r="H14" s="65"/>
      <c r="I14" s="66"/>
      <c r="J14" s="254"/>
      <c r="K14" s="338">
        <f>SUMIF('4-Basis ruimtestaat'!G:G,'3-Productie normen'!A14,'4-Basis ruimtestaat'!J:J)</f>
        <v>168.6</v>
      </c>
      <c r="N14" s="339" t="s">
        <v>61</v>
      </c>
    </row>
    <row r="15" spans="1:14">
      <c r="A15" s="336" t="s">
        <v>501</v>
      </c>
      <c r="B15" s="341"/>
      <c r="C15" s="341"/>
      <c r="D15" s="337"/>
      <c r="E15" s="341"/>
      <c r="F15" s="337"/>
      <c r="G15" s="64"/>
      <c r="H15" s="65"/>
      <c r="I15" s="66"/>
      <c r="J15" s="254"/>
      <c r="K15" s="338">
        <f>SUMIF('4-Basis ruimtestaat'!G:G,'3-Productie normen'!A15,'4-Basis ruimtestaat'!J:J)</f>
        <v>69.400000000000006</v>
      </c>
      <c r="N15" s="339" t="s">
        <v>59</v>
      </c>
    </row>
    <row r="16" spans="1:14">
      <c r="A16" s="336" t="s">
        <v>66</v>
      </c>
      <c r="B16" s="341"/>
      <c r="C16" s="341"/>
      <c r="D16" s="341"/>
      <c r="E16" s="341"/>
      <c r="F16" s="337"/>
      <c r="G16" s="64"/>
      <c r="H16" s="65"/>
      <c r="I16" s="66"/>
      <c r="J16" s="254"/>
      <c r="K16" s="338">
        <f>SUMIF('4-Basis ruimtestaat'!G:G,'3-Productie normen'!A16,'4-Basis ruimtestaat'!J:J)</f>
        <v>14.1</v>
      </c>
      <c r="N16" s="339" t="s">
        <v>61</v>
      </c>
    </row>
    <row r="17" spans="1:14">
      <c r="A17" s="336" t="s">
        <v>564</v>
      </c>
      <c r="B17" s="341"/>
      <c r="C17" s="341"/>
      <c r="D17" s="341"/>
      <c r="E17" s="341"/>
      <c r="F17" s="337"/>
      <c r="G17" s="64"/>
      <c r="H17" s="65"/>
      <c r="I17" s="66"/>
      <c r="J17" s="254"/>
      <c r="K17" s="338">
        <f>SUMIF('4-Basis ruimtestaat'!G:G,'3-Productie normen'!A17,'4-Basis ruimtestaat'!J:J)</f>
        <v>347.00000000000006</v>
      </c>
      <c r="N17" s="339" t="s">
        <v>61</v>
      </c>
    </row>
    <row r="18" spans="1:14">
      <c r="A18" s="336" t="s">
        <v>502</v>
      </c>
      <c r="B18" s="337"/>
      <c r="C18" s="337"/>
      <c r="D18" s="341"/>
      <c r="E18" s="341"/>
      <c r="F18" s="341"/>
      <c r="G18" s="64"/>
      <c r="H18" s="65"/>
      <c r="I18" s="66"/>
      <c r="J18" s="254"/>
      <c r="K18" s="338">
        <f>SUMIF('4-Basis ruimtestaat'!G:G,'3-Productie normen'!A18,'4-Basis ruimtestaat'!J:J)</f>
        <v>665.1400000000001</v>
      </c>
      <c r="N18" s="339" t="s">
        <v>61</v>
      </c>
    </row>
    <row r="19" spans="1:14">
      <c r="A19" s="336" t="s">
        <v>62</v>
      </c>
      <c r="B19" s="341"/>
      <c r="C19" s="337"/>
      <c r="D19" s="337"/>
      <c r="E19" s="341"/>
      <c r="F19" s="337"/>
      <c r="G19" s="64"/>
      <c r="H19" s="65"/>
      <c r="I19" s="66"/>
      <c r="J19" s="254"/>
      <c r="K19" s="338">
        <f>SUMIF('4-Basis ruimtestaat'!G:G,'3-Productie normen'!A19,'4-Basis ruimtestaat'!J:J)</f>
        <v>379</v>
      </c>
      <c r="N19" s="339" t="s">
        <v>61</v>
      </c>
    </row>
    <row r="20" spans="1:14">
      <c r="A20" s="340" t="s">
        <v>58</v>
      </c>
      <c r="B20" s="341"/>
      <c r="C20" s="337"/>
      <c r="D20" s="337"/>
      <c r="E20" s="337"/>
      <c r="F20" s="337"/>
      <c r="G20" s="64"/>
      <c r="H20" s="65"/>
      <c r="I20" s="66"/>
      <c r="J20" s="254"/>
      <c r="K20" s="338">
        <f>SUMIF('4-Basis ruimtestaat'!G:G,'3-Productie normen'!A20,'4-Basis ruimtestaat'!J:J)</f>
        <v>203.3000000000001</v>
      </c>
      <c r="N20" s="339" t="s">
        <v>59</v>
      </c>
    </row>
    <row r="21" spans="1:14">
      <c r="A21" s="340" t="s">
        <v>65</v>
      </c>
      <c r="B21" s="341"/>
      <c r="C21" s="341"/>
      <c r="D21" s="337"/>
      <c r="E21" s="341"/>
      <c r="F21" s="337"/>
      <c r="G21" s="64"/>
      <c r="H21" s="65"/>
      <c r="I21" s="66"/>
      <c r="J21" s="254"/>
      <c r="K21" s="338">
        <f>SUMIF('4-Basis ruimtestaat'!G:G,'3-Productie normen'!A21,'4-Basis ruimtestaat'!J:J)</f>
        <v>220.9</v>
      </c>
      <c r="N21" s="339" t="s">
        <v>61</v>
      </c>
    </row>
    <row r="22" spans="1:14">
      <c r="A22" s="340" t="s">
        <v>63</v>
      </c>
      <c r="B22" s="341"/>
      <c r="C22" s="341"/>
      <c r="D22" s="337"/>
      <c r="E22" s="337"/>
      <c r="F22" s="337"/>
      <c r="G22" s="64"/>
      <c r="H22" s="65"/>
      <c r="I22" s="66"/>
      <c r="J22" s="254"/>
      <c r="K22" s="338">
        <f>SUMIF('4-Basis ruimtestaat'!G:G,'3-Productie normen'!A22,'4-Basis ruimtestaat'!J:J)</f>
        <v>1041.7</v>
      </c>
      <c r="N22" s="339" t="s">
        <v>57</v>
      </c>
    </row>
    <row r="23" spans="1:14">
      <c r="A23" s="340" t="s">
        <v>258</v>
      </c>
      <c r="B23" s="341"/>
      <c r="C23" s="341"/>
      <c r="D23" s="341"/>
      <c r="E23" s="341"/>
      <c r="F23" s="337"/>
      <c r="G23" s="64"/>
      <c r="H23" s="65"/>
      <c r="I23" s="66"/>
      <c r="J23" s="254"/>
      <c r="K23" s="338">
        <f>SUMIF('4-Basis ruimtestaat'!G:G,'3-Productie normen'!A23,'4-Basis ruimtestaat'!J:J)</f>
        <v>7.8000000000000007</v>
      </c>
      <c r="N23" s="339" t="s">
        <v>61</v>
      </c>
    </row>
    <row r="24" spans="1:14">
      <c r="A24" s="340"/>
      <c r="B24" s="341"/>
      <c r="C24" s="341"/>
      <c r="D24" s="341"/>
      <c r="E24" s="341"/>
      <c r="F24" s="341"/>
      <c r="G24" s="64"/>
      <c r="H24" s="65"/>
      <c r="I24" s="66"/>
      <c r="J24" s="254"/>
      <c r="K24" s="338"/>
      <c r="N24" s="339"/>
    </row>
    <row r="25" spans="1:14">
      <c r="A25" s="340" t="s">
        <v>507</v>
      </c>
      <c r="B25" s="341"/>
      <c r="C25" s="341"/>
      <c r="D25" s="341"/>
      <c r="E25" s="341"/>
      <c r="F25" s="341"/>
      <c r="G25" s="64"/>
      <c r="H25" s="65"/>
      <c r="I25" s="66"/>
      <c r="J25" s="254"/>
      <c r="K25" s="338">
        <f>SUMIF('4-Basis ruimtestaat'!G:G,'3-Productie normen'!A25,'4-Basis ruimtestaat'!J:J)</f>
        <v>0</v>
      </c>
      <c r="N25" s="339"/>
    </row>
    <row r="26" spans="1:14">
      <c r="A26" s="340"/>
      <c r="B26" s="342"/>
      <c r="C26" s="342"/>
      <c r="D26" s="342"/>
      <c r="E26" s="342"/>
      <c r="F26" s="342"/>
      <c r="G26" s="64"/>
      <c r="H26" s="65"/>
      <c r="I26" s="66"/>
      <c r="J26" s="254"/>
      <c r="K26" s="338"/>
      <c r="M26" s="70"/>
      <c r="N26" s="339"/>
    </row>
    <row r="27" spans="1:14">
      <c r="A27" s="343" t="s">
        <v>36</v>
      </c>
      <c r="B27" s="344"/>
      <c r="C27" s="344"/>
      <c r="D27" s="344"/>
      <c r="E27" s="344"/>
      <c r="F27" s="344"/>
      <c r="G27" s="64"/>
      <c r="H27" s="65"/>
      <c r="I27" s="66"/>
      <c r="J27" s="255"/>
      <c r="K27" s="345">
        <f>SUM(K10:K26)</f>
        <v>9851.7499999999982</v>
      </c>
      <c r="M27" s="67"/>
      <c r="N27" s="346"/>
    </row>
    <row r="28" spans="1:14">
      <c r="G28" s="64"/>
      <c r="H28" s="65"/>
      <c r="I28" s="66"/>
      <c r="K28" s="58"/>
      <c r="M28" s="67"/>
      <c r="N28" s="58"/>
    </row>
    <row r="29" spans="1:14" ht="16.2">
      <c r="A29" s="347" t="s">
        <v>67</v>
      </c>
      <c r="B29" s="348">
        <v>2</v>
      </c>
      <c r="C29" s="348">
        <v>3</v>
      </c>
      <c r="D29" s="348">
        <v>4</v>
      </c>
      <c r="E29" s="348">
        <v>5</v>
      </c>
      <c r="F29" s="348">
        <v>6</v>
      </c>
      <c r="G29" s="64"/>
      <c r="H29" s="65"/>
      <c r="I29" s="66"/>
      <c r="J29" s="67"/>
    </row>
    <row r="31" spans="1:14">
      <c r="A31" s="196" t="s">
        <v>68</v>
      </c>
      <c r="B31" s="196" t="s">
        <v>69</v>
      </c>
      <c r="C31" s="197" t="s">
        <v>70</v>
      </c>
    </row>
    <row r="32" spans="1:14">
      <c r="A32" s="72" t="s">
        <v>71</v>
      </c>
      <c r="B32" s="73">
        <v>4</v>
      </c>
      <c r="C32" s="205">
        <v>2</v>
      </c>
    </row>
    <row r="33" spans="1:3">
      <c r="A33" s="72" t="s">
        <v>72</v>
      </c>
      <c r="B33" s="73">
        <v>52</v>
      </c>
      <c r="C33" s="205">
        <v>3</v>
      </c>
    </row>
    <row r="34" spans="1:3">
      <c r="A34" s="72" t="s">
        <v>73</v>
      </c>
      <c r="B34" s="73">
        <v>104</v>
      </c>
      <c r="C34" s="205">
        <v>4</v>
      </c>
    </row>
    <row r="35" spans="1:3">
      <c r="A35" s="72" t="s">
        <v>530</v>
      </c>
      <c r="B35" s="73">
        <v>156</v>
      </c>
      <c r="C35" s="205">
        <v>5</v>
      </c>
    </row>
    <row r="36" spans="1:3">
      <c r="A36" s="72" t="s">
        <v>74</v>
      </c>
      <c r="B36" s="73">
        <v>255</v>
      </c>
      <c r="C36" s="205">
        <v>6</v>
      </c>
    </row>
    <row r="37" spans="1:3">
      <c r="A37" s="360"/>
      <c r="B37" s="512"/>
      <c r="C37" s="513"/>
    </row>
    <row r="38" spans="1:3">
      <c r="B38" s="514"/>
      <c r="C38" s="515"/>
    </row>
    <row r="39" spans="1:3">
      <c r="B39" s="514"/>
      <c r="C39" s="515"/>
    </row>
  </sheetData>
  <mergeCells count="1">
    <mergeCell ref="B9:F9"/>
  </mergeCells>
  <conditionalFormatting sqref="L8">
    <cfRule type="cellIs" dxfId="0" priority="1" operator="lessThan">
      <formula>1</formula>
    </cfRule>
  </conditionalFormatting>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V376"/>
  <sheetViews>
    <sheetView showGridLines="0" showZeros="0" zoomScale="76" zoomScaleNormal="76" zoomScalePageLayoutView="75" workbookViewId="0">
      <pane xSplit="1" ySplit="9" topLeftCell="B10" activePane="bottomRight" state="frozen"/>
      <selection pane="topRight" activeCell="B1" sqref="B1"/>
      <selection pane="bottomLeft" activeCell="B1" sqref="B1"/>
      <selection pane="bottomRight" activeCell="B1" sqref="B1"/>
    </sheetView>
  </sheetViews>
  <sheetFormatPr defaultColWidth="8.6640625" defaultRowHeight="14.1" customHeight="1"/>
  <cols>
    <col min="1" max="1" width="5" style="58" bestFit="1" customWidth="1"/>
    <col min="2" max="2" width="29.21875" style="499" bestFit="1" customWidth="1"/>
    <col min="3" max="3" width="35.44140625" style="58" customWidth="1"/>
    <col min="4" max="4" width="13.6640625" style="58" customWidth="1"/>
    <col min="5" max="5" width="20.33203125" style="257" bestFit="1" customWidth="1"/>
    <col min="6" max="6" width="36.5546875" style="58" bestFit="1" customWidth="1"/>
    <col min="7" max="7" width="19.5546875" style="58" customWidth="1"/>
    <col min="8" max="8" width="12.109375" style="58" bestFit="1" customWidth="1"/>
    <col min="9" max="9" width="33.109375" style="499" bestFit="1" customWidth="1"/>
    <col min="10" max="10" width="8" style="58" bestFit="1" customWidth="1"/>
    <col min="11" max="11" width="13.88671875" style="74" customWidth="1"/>
    <col min="12" max="13" width="9.109375" style="94" customWidth="1"/>
    <col min="14" max="15" width="12.5546875" style="58" bestFit="1" customWidth="1"/>
    <col min="16" max="16" width="12" style="58" bestFit="1" customWidth="1"/>
    <col min="17" max="17" width="16.6640625" style="58" customWidth="1"/>
    <col min="18" max="18" width="9.33203125" style="58" customWidth="1"/>
    <col min="19" max="19" width="35.109375" style="58" customWidth="1"/>
    <col min="20" max="20" width="3" style="58" customWidth="1"/>
    <col min="21" max="21" width="11.109375" style="58" customWidth="1"/>
    <col min="22" max="22" width="15.5546875" style="2" bestFit="1" customWidth="1"/>
    <col min="23" max="16384" width="8.6640625" style="2"/>
  </cols>
  <sheetData>
    <row r="1" spans="1:21" ht="13.2">
      <c r="B1" s="58"/>
      <c r="I1" s="58"/>
      <c r="L1" s="58"/>
      <c r="M1" s="59"/>
    </row>
    <row r="2" spans="1:21" ht="14.1" customHeight="1">
      <c r="A2" s="75">
        <v>2</v>
      </c>
      <c r="B2" s="206"/>
      <c r="C2" s="76"/>
      <c r="D2" s="77"/>
      <c r="E2" s="258"/>
      <c r="F2" s="78"/>
      <c r="G2" s="78"/>
      <c r="H2" s="79"/>
      <c r="I2" s="79"/>
      <c r="J2" s="80"/>
      <c r="K2" s="81"/>
      <c r="L2" s="82"/>
      <c r="M2" s="82"/>
      <c r="N2" s="79"/>
      <c r="O2" s="79"/>
      <c r="P2" s="83"/>
      <c r="Q2" s="83"/>
      <c r="R2" s="78"/>
      <c r="S2" s="78"/>
    </row>
    <row r="3" spans="1:21" ht="14.1" customHeight="1">
      <c r="A3" s="75">
        <v>3</v>
      </c>
      <c r="B3" s="40" t="str">
        <f>'2-Kosten per locatie'!A3</f>
        <v>Naam opdrachtgever</v>
      </c>
      <c r="C3" s="49" t="str">
        <f>'2-Kosten per locatie'!B3</f>
        <v>Gemeente Barneveld</v>
      </c>
      <c r="E3" s="259"/>
      <c r="H3" s="79"/>
      <c r="I3" s="79"/>
      <c r="J3" s="80"/>
      <c r="K3" s="81"/>
      <c r="L3" s="82"/>
      <c r="M3" s="82"/>
      <c r="N3" s="79"/>
      <c r="O3" s="79"/>
      <c r="P3" s="83"/>
      <c r="Q3" s="83"/>
      <c r="R3" s="78"/>
      <c r="S3" s="78"/>
    </row>
    <row r="4" spans="1:21" ht="14.1" customHeight="1">
      <c r="A4" s="75">
        <v>4</v>
      </c>
      <c r="B4" s="40" t="str">
        <f>'2-Kosten per locatie'!A4</f>
        <v>Calculatie onderdeel</v>
      </c>
      <c r="C4" s="49" t="str">
        <f ca="1">MID(CELL("bestandsnaam",$D$9),SEARCH("]",CELL("bestandsnaam",$D$9),1)+1,256)</f>
        <v>4-Basis ruimtestaat</v>
      </c>
      <c r="E4" s="260"/>
      <c r="H4" s="79"/>
      <c r="I4" s="79"/>
      <c r="J4" s="80"/>
      <c r="K4" s="81"/>
      <c r="L4" s="82"/>
      <c r="M4" s="82"/>
      <c r="N4" s="79"/>
      <c r="O4" s="79"/>
      <c r="P4" s="83"/>
      <c r="Q4" s="83"/>
      <c r="R4" s="78"/>
      <c r="S4" s="78"/>
    </row>
    <row r="5" spans="1:21" ht="14.1" customHeight="1">
      <c r="A5" s="75">
        <v>5</v>
      </c>
      <c r="B5" s="40" t="str">
        <f>'2-Kosten per locatie'!A5</f>
        <v>Gebouw/plaats</v>
      </c>
      <c r="C5" s="49" t="str">
        <f>'2-Kosten per locatie'!B5</f>
        <v>Divers</v>
      </c>
      <c r="E5" s="259"/>
      <c r="H5" s="79"/>
      <c r="I5" s="79"/>
      <c r="J5" s="80"/>
      <c r="K5" s="81"/>
      <c r="L5" s="82"/>
      <c r="M5" s="82"/>
      <c r="N5" s="79"/>
      <c r="O5" s="79"/>
      <c r="P5" s="83"/>
      <c r="Q5" s="83"/>
      <c r="R5" s="78"/>
      <c r="S5" s="78"/>
    </row>
    <row r="6" spans="1:21" ht="14.1" customHeight="1">
      <c r="A6" s="75">
        <v>6</v>
      </c>
      <c r="B6" s="40" t="str">
        <f>'2-Kosten per locatie'!A6</f>
        <v>Referentie nummer</v>
      </c>
      <c r="C6" s="49">
        <f>'2-Kosten per locatie'!B6</f>
        <v>0</v>
      </c>
      <c r="E6" s="259"/>
      <c r="H6" s="79"/>
      <c r="I6" s="79"/>
      <c r="J6" s="80"/>
      <c r="K6" s="81"/>
      <c r="L6" s="82"/>
      <c r="M6" s="82"/>
      <c r="N6" s="79"/>
      <c r="O6" s="79"/>
      <c r="P6" s="83"/>
      <c r="Q6" s="531" t="s">
        <v>75</v>
      </c>
      <c r="R6" s="78"/>
      <c r="S6" s="78"/>
    </row>
    <row r="7" spans="1:21" ht="22.2" customHeight="1">
      <c r="A7" s="75">
        <v>7</v>
      </c>
      <c r="B7" s="40" t="str">
        <f>'2-Kosten per locatie'!A7</f>
        <v>Naam dienstverlener</v>
      </c>
      <c r="C7" s="49">
        <f>'2-Kosten per locatie'!B7</f>
        <v>0</v>
      </c>
      <c r="E7" s="259"/>
      <c r="H7" s="79"/>
      <c r="I7" s="79"/>
      <c r="J7" s="80"/>
      <c r="K7" s="81"/>
      <c r="L7" s="82"/>
      <c r="M7" s="82"/>
      <c r="N7" s="79"/>
      <c r="O7" s="79"/>
      <c r="P7" s="83"/>
      <c r="Q7" s="532"/>
      <c r="R7" s="78"/>
      <c r="S7" s="78"/>
    </row>
    <row r="8" spans="1:21" ht="14.1" customHeight="1">
      <c r="A8" s="75">
        <v>8</v>
      </c>
      <c r="B8" s="78"/>
      <c r="C8" s="78"/>
      <c r="D8" s="77"/>
      <c r="E8" s="258"/>
      <c r="F8" s="78"/>
      <c r="G8" s="78"/>
      <c r="H8" s="79"/>
      <c r="I8" s="79"/>
      <c r="J8" s="80"/>
      <c r="K8" s="81"/>
      <c r="L8" s="82"/>
      <c r="M8" s="82"/>
      <c r="N8" s="79"/>
      <c r="O8" s="79"/>
      <c r="P8" s="79"/>
      <c r="Q8" s="349">
        <f>'3-Productie normen'!L8</f>
        <v>0</v>
      </c>
      <c r="R8" s="78"/>
      <c r="S8" s="78"/>
    </row>
    <row r="9" spans="1:21" ht="54.6" customHeight="1">
      <c r="A9" s="75">
        <v>9</v>
      </c>
      <c r="B9" s="226" t="s">
        <v>76</v>
      </c>
      <c r="C9" s="226" t="s">
        <v>77</v>
      </c>
      <c r="D9" s="226" t="s">
        <v>78</v>
      </c>
      <c r="E9" s="226" t="s">
        <v>79</v>
      </c>
      <c r="F9" s="226" t="s">
        <v>80</v>
      </c>
      <c r="G9" s="226" t="s">
        <v>81</v>
      </c>
      <c r="H9" s="350" t="s">
        <v>82</v>
      </c>
      <c r="I9" s="350" t="s">
        <v>83</v>
      </c>
      <c r="J9" s="351" t="s">
        <v>84</v>
      </c>
      <c r="K9" s="352" t="s">
        <v>85</v>
      </c>
      <c r="L9" s="202" t="s">
        <v>86</v>
      </c>
      <c r="M9" s="202" t="s">
        <v>87</v>
      </c>
      <c r="N9" s="352" t="s">
        <v>88</v>
      </c>
      <c r="O9" s="352" t="s">
        <v>89</v>
      </c>
      <c r="P9" s="352" t="s">
        <v>90</v>
      </c>
      <c r="Q9" s="352" t="s">
        <v>55</v>
      </c>
      <c r="R9" s="207" t="s">
        <v>91</v>
      </c>
      <c r="S9" s="207" t="s">
        <v>92</v>
      </c>
      <c r="T9" s="208"/>
      <c r="U9" s="207" t="s">
        <v>93</v>
      </c>
    </row>
    <row r="10" spans="1:21" s="14" customFormat="1" ht="14.1" customHeight="1">
      <c r="A10" s="75">
        <v>10</v>
      </c>
      <c r="B10" s="497" t="s">
        <v>270</v>
      </c>
      <c r="C10" s="320" t="s">
        <v>271</v>
      </c>
      <c r="D10" s="353" t="s">
        <v>94</v>
      </c>
      <c r="E10" s="354"/>
      <c r="F10" s="320" t="s">
        <v>64</v>
      </c>
      <c r="G10" s="320" t="s">
        <v>64</v>
      </c>
      <c r="H10" s="72" t="s">
        <v>268</v>
      </c>
      <c r="I10" s="497" t="s">
        <v>98</v>
      </c>
      <c r="J10" s="504">
        <v>4.5999999999999996</v>
      </c>
      <c r="K10" s="355">
        <f t="shared" ref="K10:K39" si="0">SUM(L10:M10)</f>
        <v>255</v>
      </c>
      <c r="L10" s="263">
        <v>255</v>
      </c>
      <c r="M10" s="263"/>
      <c r="N10" s="262" t="e">
        <f>IF(L10="nio",0,IF(L10&gt;0,L10*J10/P10,0))*VLOOKUP(B10,'2-Kosten per locatie'!$A$14:$C$23,3,FALSE)</f>
        <v>#DIV/0!</v>
      </c>
      <c r="O10" s="262">
        <f>IF(M10&gt;0,M10*J10/Q10,0)*VLOOKUP(B10,'2-Kosten per locatie'!$A$14:$C$23,3,FALSE)</f>
        <v>0</v>
      </c>
      <c r="P10" s="356">
        <f>IF(L10="nio",0,IF(L10&gt;0,VLOOKUP(G10,'3-Productie normen'!A:L,VLOOKUP(L10,'3-Productie normen'!$B$32:$C$39,2,FALSE),FALSE)))</f>
        <v>0</v>
      </c>
      <c r="Q10" s="356">
        <f t="shared" ref="Q10:Q39" si="1">IF(M10&gt;0,P10*$Q$8,0)</f>
        <v>0</v>
      </c>
      <c r="R10" s="357" t="str">
        <f>VLOOKUP(G10,'3-Productie normen'!A:N,14,FALSE)</f>
        <v>V</v>
      </c>
      <c r="S10" s="357"/>
      <c r="T10" s="58"/>
      <c r="U10" s="358">
        <f t="shared" ref="U10:U39" si="2">K10*J10</f>
        <v>1173</v>
      </c>
    </row>
    <row r="11" spans="1:21" ht="14.1" customHeight="1">
      <c r="A11" s="75">
        <v>11</v>
      </c>
      <c r="B11" s="497" t="s">
        <v>270</v>
      </c>
      <c r="C11" s="320" t="s">
        <v>271</v>
      </c>
      <c r="D11" s="353" t="s">
        <v>94</v>
      </c>
      <c r="E11" s="354"/>
      <c r="F11" s="320" t="s">
        <v>257</v>
      </c>
      <c r="G11" s="320" t="s">
        <v>60</v>
      </c>
      <c r="H11" s="72" t="s">
        <v>269</v>
      </c>
      <c r="I11" s="497" t="s">
        <v>99</v>
      </c>
      <c r="J11" s="504">
        <v>41.8</v>
      </c>
      <c r="K11" s="355">
        <f t="shared" si="0"/>
        <v>255</v>
      </c>
      <c r="L11" s="263">
        <v>255</v>
      </c>
      <c r="M11" s="263"/>
      <c r="N11" s="262" t="e">
        <f>IF(L11="nio",0,IF(L11&gt;0,L11*J11/P11,0))*VLOOKUP(B11,'2-Kosten per locatie'!$A$14:$C$23,3,FALSE)</f>
        <v>#DIV/0!</v>
      </c>
      <c r="O11" s="262">
        <f>IF(M11&gt;0,M11*J11/Q11,0)*VLOOKUP(B11,'2-Kosten per locatie'!$A$14:$C$23,3,FALSE)</f>
        <v>0</v>
      </c>
      <c r="P11" s="356">
        <f>IF(L11="nio",0,IF(L11&gt;0,VLOOKUP(G11,'3-Productie normen'!A:L,VLOOKUP(L11,'3-Productie normen'!$B$32:$C$39,2,FALSE),FALSE)))</f>
        <v>0</v>
      </c>
      <c r="Q11" s="356">
        <f t="shared" si="1"/>
        <v>0</v>
      </c>
      <c r="R11" s="357" t="str">
        <f>VLOOKUP(G11,'3-Productie normen'!A:N,14,FALSE)</f>
        <v>V</v>
      </c>
      <c r="S11" s="357"/>
      <c r="U11" s="358">
        <f t="shared" si="2"/>
        <v>10659</v>
      </c>
    </row>
    <row r="12" spans="1:21" ht="14.1" customHeight="1">
      <c r="A12" s="75">
        <v>12</v>
      </c>
      <c r="B12" s="497" t="s">
        <v>270</v>
      </c>
      <c r="C12" s="320" t="s">
        <v>271</v>
      </c>
      <c r="D12" s="353" t="s">
        <v>94</v>
      </c>
      <c r="E12" s="354"/>
      <c r="F12" s="72" t="s">
        <v>258</v>
      </c>
      <c r="G12" s="72" t="s">
        <v>258</v>
      </c>
      <c r="H12" s="72" t="s">
        <v>269</v>
      </c>
      <c r="I12" s="497" t="s">
        <v>99</v>
      </c>
      <c r="J12" s="504">
        <v>3.4</v>
      </c>
      <c r="K12" s="355">
        <f t="shared" si="0"/>
        <v>255</v>
      </c>
      <c r="L12" s="263">
        <v>255</v>
      </c>
      <c r="M12" s="263"/>
      <c r="N12" s="262" t="e">
        <f>IF(L12="nio",0,IF(L12&gt;0,L12*J12/P12,0))*VLOOKUP(B12,'2-Kosten per locatie'!$A$14:$C$23,3,FALSE)</f>
        <v>#DIV/0!</v>
      </c>
      <c r="O12" s="262">
        <f>IF(M12&gt;0,M12*J12/Q12,0)*VLOOKUP(B12,'2-Kosten per locatie'!$A$14:$C$23,3,FALSE)</f>
        <v>0</v>
      </c>
      <c r="P12" s="356">
        <f>IF(L12="nio",0,IF(L12&gt;0,VLOOKUP(G12,'3-Productie normen'!A:L,VLOOKUP(L12,'3-Productie normen'!$B$32:$C$39,2,FALSE),FALSE)))</f>
        <v>0</v>
      </c>
      <c r="Q12" s="356">
        <f t="shared" si="1"/>
        <v>0</v>
      </c>
      <c r="R12" s="357" t="str">
        <f>VLOOKUP(G12,'3-Productie normen'!A:N,14,FALSE)</f>
        <v>V</v>
      </c>
      <c r="S12" s="357"/>
      <c r="U12" s="358">
        <f t="shared" si="2"/>
        <v>867</v>
      </c>
    </row>
    <row r="13" spans="1:21" ht="14.1" customHeight="1">
      <c r="A13" s="75">
        <v>13</v>
      </c>
      <c r="B13" s="497" t="s">
        <v>270</v>
      </c>
      <c r="C13" s="320" t="s">
        <v>271</v>
      </c>
      <c r="D13" s="353" t="s">
        <v>94</v>
      </c>
      <c r="E13" s="354"/>
      <c r="F13" s="72" t="s">
        <v>259</v>
      </c>
      <c r="G13" s="336" t="s">
        <v>58</v>
      </c>
      <c r="H13" s="72" t="s">
        <v>269</v>
      </c>
      <c r="I13" s="497" t="s">
        <v>96</v>
      </c>
      <c r="J13" s="504">
        <v>4.5999999999999996</v>
      </c>
      <c r="K13" s="355">
        <f t="shared" si="0"/>
        <v>510</v>
      </c>
      <c r="L13" s="263">
        <v>255</v>
      </c>
      <c r="M13" s="263">
        <v>255</v>
      </c>
      <c r="N13" s="262" t="e">
        <f>IF(L13="nio",0,IF(L13&gt;0,L13*J13/P13,0))*VLOOKUP(B13,'2-Kosten per locatie'!$A$14:$C$23,3,FALSE)</f>
        <v>#DIV/0!</v>
      </c>
      <c r="O13" s="262" t="e">
        <f>IF(M13&gt;0,M13*J13/Q13,0)*VLOOKUP(B13,'2-Kosten per locatie'!$A$14:$C$23,3,FALSE)</f>
        <v>#DIV/0!</v>
      </c>
      <c r="P13" s="356">
        <f>IF(L13="nio",0,IF(L13&gt;0,VLOOKUP(G13,'3-Productie normen'!A:L,VLOOKUP(L13,'3-Productie normen'!$B$32:$C$39,2,FALSE),FALSE)))</f>
        <v>0</v>
      </c>
      <c r="Q13" s="356">
        <f t="shared" si="1"/>
        <v>0</v>
      </c>
      <c r="R13" s="357" t="str">
        <f>VLOOKUP(G13,'3-Productie normen'!A:N,14,FALSE)</f>
        <v>S</v>
      </c>
      <c r="S13" s="357"/>
      <c r="U13" s="358">
        <f t="shared" si="2"/>
        <v>2346</v>
      </c>
    </row>
    <row r="14" spans="1:21" ht="14.1" customHeight="1">
      <c r="A14" s="75">
        <v>14</v>
      </c>
      <c r="B14" s="497" t="s">
        <v>270</v>
      </c>
      <c r="C14" s="320" t="s">
        <v>271</v>
      </c>
      <c r="D14" s="353" t="s">
        <v>94</v>
      </c>
      <c r="E14" s="354"/>
      <c r="F14" s="320" t="s">
        <v>260</v>
      </c>
      <c r="G14" s="320" t="s">
        <v>501</v>
      </c>
      <c r="H14" s="72" t="s">
        <v>269</v>
      </c>
      <c r="I14" s="497" t="s">
        <v>96</v>
      </c>
      <c r="J14" s="504">
        <v>8.3000000000000007</v>
      </c>
      <c r="K14" s="355">
        <f t="shared" si="0"/>
        <v>510</v>
      </c>
      <c r="L14" s="263">
        <v>255</v>
      </c>
      <c r="M14" s="263">
        <v>255</v>
      </c>
      <c r="N14" s="262" t="e">
        <f>IF(L14="nio",0,IF(L14&gt;0,L14*J14/P14,0))*VLOOKUP(B14,'2-Kosten per locatie'!$A$14:$C$23,3,FALSE)</f>
        <v>#DIV/0!</v>
      </c>
      <c r="O14" s="262" t="e">
        <f>IF(M14&gt;0,M14*J14/Q14,0)*VLOOKUP(B14,'2-Kosten per locatie'!$A$14:$C$23,3,FALSE)</f>
        <v>#DIV/0!</v>
      </c>
      <c r="P14" s="356">
        <f>IF(L14="nio",0,IF(L14&gt;0,VLOOKUP(G14,'3-Productie normen'!A:L,VLOOKUP(L14,'3-Productie normen'!$B$32:$C$39,2,FALSE),FALSE)))</f>
        <v>0</v>
      </c>
      <c r="Q14" s="356">
        <f t="shared" si="1"/>
        <v>0</v>
      </c>
      <c r="R14" s="357" t="str">
        <f>VLOOKUP(G14,'3-Productie normen'!A:N,14,FALSE)</f>
        <v>S</v>
      </c>
      <c r="S14" s="357"/>
      <c r="U14" s="358">
        <f t="shared" si="2"/>
        <v>4233</v>
      </c>
    </row>
    <row r="15" spans="1:21" ht="14.1" customHeight="1">
      <c r="A15" s="75">
        <v>15</v>
      </c>
      <c r="B15" s="497" t="s">
        <v>270</v>
      </c>
      <c r="C15" s="320" t="s">
        <v>271</v>
      </c>
      <c r="D15" s="353" t="s">
        <v>94</v>
      </c>
      <c r="E15" s="354"/>
      <c r="F15" s="320" t="s">
        <v>259</v>
      </c>
      <c r="G15" s="320" t="s">
        <v>58</v>
      </c>
      <c r="H15" s="72" t="s">
        <v>269</v>
      </c>
      <c r="I15" s="497" t="s">
        <v>96</v>
      </c>
      <c r="J15" s="504">
        <v>1.4</v>
      </c>
      <c r="K15" s="355">
        <f t="shared" si="0"/>
        <v>510</v>
      </c>
      <c r="L15" s="263">
        <v>255</v>
      </c>
      <c r="M15" s="263">
        <v>255</v>
      </c>
      <c r="N15" s="262" t="e">
        <f>IF(L15="nio",0,IF(L15&gt;0,L15*J15/P15,0))*VLOOKUP(B15,'2-Kosten per locatie'!$A$14:$C$23,3,FALSE)</f>
        <v>#DIV/0!</v>
      </c>
      <c r="O15" s="262" t="e">
        <f>IF(M15&gt;0,M15*J15/Q15,0)*VLOOKUP(B15,'2-Kosten per locatie'!$A$14:$C$23,3,FALSE)</f>
        <v>#DIV/0!</v>
      </c>
      <c r="P15" s="356">
        <f>IF(L15="nio",0,IF(L15&gt;0,VLOOKUP(G15,'3-Productie normen'!A:L,VLOOKUP(L15,'3-Productie normen'!$B$32:$C$39,2,FALSE),FALSE)))</f>
        <v>0</v>
      </c>
      <c r="Q15" s="356">
        <f t="shared" si="1"/>
        <v>0</v>
      </c>
      <c r="R15" s="357" t="str">
        <f>VLOOKUP(G15,'3-Productie normen'!A:N,14,FALSE)</f>
        <v>S</v>
      </c>
      <c r="S15" s="357"/>
      <c r="U15" s="358">
        <f t="shared" si="2"/>
        <v>714</v>
      </c>
    </row>
    <row r="16" spans="1:21" ht="14.1" customHeight="1">
      <c r="A16" s="75">
        <v>16</v>
      </c>
      <c r="B16" s="497" t="s">
        <v>270</v>
      </c>
      <c r="C16" s="320" t="s">
        <v>271</v>
      </c>
      <c r="D16" s="353" t="s">
        <v>94</v>
      </c>
      <c r="E16" s="354"/>
      <c r="F16" s="320" t="s">
        <v>259</v>
      </c>
      <c r="G16" s="320" t="s">
        <v>58</v>
      </c>
      <c r="H16" s="72" t="s">
        <v>269</v>
      </c>
      <c r="I16" s="497" t="s">
        <v>96</v>
      </c>
      <c r="J16" s="504">
        <v>1.4</v>
      </c>
      <c r="K16" s="355">
        <f t="shared" si="0"/>
        <v>510</v>
      </c>
      <c r="L16" s="263">
        <v>255</v>
      </c>
      <c r="M16" s="263">
        <v>255</v>
      </c>
      <c r="N16" s="262" t="e">
        <f>IF(L16="nio",0,IF(L16&gt;0,L16*J16/P16,0))*VLOOKUP(B16,'2-Kosten per locatie'!$A$14:$C$23,3,FALSE)</f>
        <v>#DIV/0!</v>
      </c>
      <c r="O16" s="262" t="e">
        <f>IF(M16&gt;0,M16*J16/Q16,0)*VLOOKUP(B16,'2-Kosten per locatie'!$A$14:$C$23,3,FALSE)</f>
        <v>#DIV/0!</v>
      </c>
      <c r="P16" s="356">
        <f>IF(L16="nio",0,IF(L16&gt;0,VLOOKUP(G16,'3-Productie normen'!A:L,VLOOKUP(L16,'3-Productie normen'!$B$32:$C$39,2,FALSE),FALSE)))</f>
        <v>0</v>
      </c>
      <c r="Q16" s="356">
        <f t="shared" si="1"/>
        <v>0</v>
      </c>
      <c r="R16" s="357" t="str">
        <f>VLOOKUP(G16,'3-Productie normen'!A:N,14,FALSE)</f>
        <v>S</v>
      </c>
      <c r="S16" s="357"/>
      <c r="U16" s="358">
        <f t="shared" si="2"/>
        <v>714</v>
      </c>
    </row>
    <row r="17" spans="1:21" ht="14.1" customHeight="1">
      <c r="A17" s="75">
        <v>17</v>
      </c>
      <c r="B17" s="497" t="s">
        <v>270</v>
      </c>
      <c r="C17" s="320" t="s">
        <v>271</v>
      </c>
      <c r="D17" s="353" t="s">
        <v>94</v>
      </c>
      <c r="E17" s="354"/>
      <c r="F17" s="72" t="s">
        <v>258</v>
      </c>
      <c r="G17" s="72" t="s">
        <v>258</v>
      </c>
      <c r="H17" s="72" t="s">
        <v>269</v>
      </c>
      <c r="I17" s="497" t="s">
        <v>99</v>
      </c>
      <c r="J17" s="504">
        <v>1.6</v>
      </c>
      <c r="K17" s="355">
        <f t="shared" si="0"/>
        <v>255</v>
      </c>
      <c r="L17" s="263">
        <v>255</v>
      </c>
      <c r="M17" s="263"/>
      <c r="N17" s="262" t="e">
        <f>IF(L17="nio",0,IF(L17&gt;0,L17*J17/P17,0))*VLOOKUP(B17,'2-Kosten per locatie'!$A$14:$C$23,3,FALSE)</f>
        <v>#DIV/0!</v>
      </c>
      <c r="O17" s="262">
        <f>IF(M17&gt;0,M17*J17/Q17,0)*VLOOKUP(B17,'2-Kosten per locatie'!$A$14:$C$23,3,FALSE)</f>
        <v>0</v>
      </c>
      <c r="P17" s="356">
        <f>IF(L17="nio",0,IF(L17&gt;0,VLOOKUP(G17,'3-Productie normen'!A:L,VLOOKUP(L17,'3-Productie normen'!$B$32:$C$39,2,FALSE),FALSE)))</f>
        <v>0</v>
      </c>
      <c r="Q17" s="356">
        <f t="shared" si="1"/>
        <v>0</v>
      </c>
      <c r="R17" s="357" t="str">
        <f>VLOOKUP(G17,'3-Productie normen'!A:N,14,FALSE)</f>
        <v>V</v>
      </c>
      <c r="S17" s="357"/>
      <c r="U17" s="358">
        <f t="shared" si="2"/>
        <v>408</v>
      </c>
    </row>
    <row r="18" spans="1:21" ht="14.1" customHeight="1">
      <c r="A18" s="75">
        <v>18</v>
      </c>
      <c r="B18" s="497" t="s">
        <v>270</v>
      </c>
      <c r="C18" s="320" t="s">
        <v>271</v>
      </c>
      <c r="D18" s="353" t="s">
        <v>94</v>
      </c>
      <c r="E18" s="354"/>
      <c r="F18" s="72" t="s">
        <v>261</v>
      </c>
      <c r="G18" s="336" t="s">
        <v>60</v>
      </c>
      <c r="H18" s="72" t="s">
        <v>504</v>
      </c>
      <c r="I18" s="497" t="s">
        <v>99</v>
      </c>
      <c r="J18" s="504">
        <v>39.9</v>
      </c>
      <c r="K18" s="355">
        <f t="shared" si="0"/>
        <v>255</v>
      </c>
      <c r="L18" s="263">
        <v>255</v>
      </c>
      <c r="M18" s="263"/>
      <c r="N18" s="262" t="e">
        <f>IF(L18="nio",0,IF(L18&gt;0,L18*J18/P18,0))*VLOOKUP(B18,'2-Kosten per locatie'!$A$14:$C$23,3,FALSE)</f>
        <v>#DIV/0!</v>
      </c>
      <c r="O18" s="262">
        <f>IF(M18&gt;0,M18*J18/Q18,0)*VLOOKUP(B18,'2-Kosten per locatie'!$A$14:$C$23,3,FALSE)</f>
        <v>0</v>
      </c>
      <c r="P18" s="356">
        <f>IF(L18="nio",0,IF(L18&gt;0,VLOOKUP(G18,'3-Productie normen'!A:L,VLOOKUP(L18,'3-Productie normen'!$B$32:$C$39,2,FALSE),FALSE)))</f>
        <v>0</v>
      </c>
      <c r="Q18" s="356">
        <f t="shared" si="1"/>
        <v>0</v>
      </c>
      <c r="R18" s="357" t="str">
        <f>VLOOKUP(G18,'3-Productie normen'!A:N,14,FALSE)</f>
        <v>V</v>
      </c>
      <c r="S18" s="357"/>
      <c r="U18" s="358">
        <f t="shared" si="2"/>
        <v>10174.5</v>
      </c>
    </row>
    <row r="19" spans="1:21" ht="14.1" customHeight="1">
      <c r="A19" s="75">
        <v>19</v>
      </c>
      <c r="B19" s="497" t="s">
        <v>270</v>
      </c>
      <c r="C19" s="320" t="s">
        <v>271</v>
      </c>
      <c r="D19" s="353" t="s">
        <v>94</v>
      </c>
      <c r="E19" s="354"/>
      <c r="F19" s="320" t="s">
        <v>262</v>
      </c>
      <c r="G19" s="320" t="s">
        <v>63</v>
      </c>
      <c r="H19" s="72" t="s">
        <v>504</v>
      </c>
      <c r="I19" s="497" t="s">
        <v>99</v>
      </c>
      <c r="J19" s="504">
        <v>76.2</v>
      </c>
      <c r="K19" s="355">
        <f t="shared" si="0"/>
        <v>255</v>
      </c>
      <c r="L19" s="263">
        <v>255</v>
      </c>
      <c r="M19" s="263"/>
      <c r="N19" s="262" t="e">
        <f>IF(L19="nio",0,IF(L19&gt;0,L19*J19/P19,0))*VLOOKUP(B19,'2-Kosten per locatie'!$A$14:$C$23,3,FALSE)</f>
        <v>#DIV/0!</v>
      </c>
      <c r="O19" s="262">
        <f>IF(M19&gt;0,M19*J19/Q19,0)*VLOOKUP(B19,'2-Kosten per locatie'!$A$14:$C$23,3,FALSE)</f>
        <v>0</v>
      </c>
      <c r="P19" s="356">
        <f>IF(L19="nio",0,IF(L19&gt;0,VLOOKUP(G19,'3-Productie normen'!A:L,VLOOKUP(L19,'3-Productie normen'!$B$32:$C$39,2,FALSE),FALSE)))</f>
        <v>0</v>
      </c>
      <c r="Q19" s="356">
        <f t="shared" si="1"/>
        <v>0</v>
      </c>
      <c r="R19" s="357" t="str">
        <f>VLOOKUP(G19,'3-Productie normen'!A:N,14,FALSE)</f>
        <v>B</v>
      </c>
      <c r="S19" s="357"/>
      <c r="U19" s="358">
        <f t="shared" si="2"/>
        <v>19431</v>
      </c>
    </row>
    <row r="20" spans="1:21" ht="14.1" customHeight="1">
      <c r="A20" s="75">
        <v>20</v>
      </c>
      <c r="B20" s="497" t="s">
        <v>270</v>
      </c>
      <c r="C20" s="320" t="s">
        <v>271</v>
      </c>
      <c r="D20" s="353" t="s">
        <v>94</v>
      </c>
      <c r="E20" s="354"/>
      <c r="F20" s="320" t="s">
        <v>263</v>
      </c>
      <c r="G20" s="320" t="s">
        <v>502</v>
      </c>
      <c r="H20" s="72" t="s">
        <v>268</v>
      </c>
      <c r="I20" s="497" t="s">
        <v>98</v>
      </c>
      <c r="J20" s="504">
        <v>3.6</v>
      </c>
      <c r="K20" s="355">
        <f t="shared" si="0"/>
        <v>4</v>
      </c>
      <c r="L20" s="263">
        <v>4</v>
      </c>
      <c r="M20" s="263"/>
      <c r="N20" s="262" t="e">
        <f>IF(L20="nio",0,IF(L20&gt;0,L20*J20/P20,0))*VLOOKUP(B20,'2-Kosten per locatie'!$A$14:$C$23,3,FALSE)</f>
        <v>#DIV/0!</v>
      </c>
      <c r="O20" s="262">
        <f>IF(M20&gt;0,M20*J20/Q20,0)*VLOOKUP(B20,'2-Kosten per locatie'!$A$14:$C$23,3,FALSE)</f>
        <v>0</v>
      </c>
      <c r="P20" s="356">
        <f>IF(L20="nio",0,IF(L20&gt;0,VLOOKUP(G20,'3-Productie normen'!A:L,VLOOKUP(L20,'3-Productie normen'!$B$32:$C$39,2,FALSE),FALSE)))</f>
        <v>0</v>
      </c>
      <c r="Q20" s="356">
        <f t="shared" si="1"/>
        <v>0</v>
      </c>
      <c r="R20" s="357" t="str">
        <f>VLOOKUP(G20,'3-Productie normen'!A:N,14,FALSE)</f>
        <v>V</v>
      </c>
      <c r="S20" s="357"/>
      <c r="U20" s="358">
        <f t="shared" si="2"/>
        <v>14.4</v>
      </c>
    </row>
    <row r="21" spans="1:21" ht="14.1" customHeight="1">
      <c r="A21" s="75">
        <v>21</v>
      </c>
      <c r="B21" s="497" t="s">
        <v>270</v>
      </c>
      <c r="C21" s="320" t="s">
        <v>271</v>
      </c>
      <c r="D21" s="353" t="s">
        <v>94</v>
      </c>
      <c r="E21" s="354"/>
      <c r="F21" s="320" t="s">
        <v>257</v>
      </c>
      <c r="G21" s="320" t="s">
        <v>60</v>
      </c>
      <c r="H21" s="72" t="s">
        <v>268</v>
      </c>
      <c r="I21" s="497" t="s">
        <v>98</v>
      </c>
      <c r="J21" s="504">
        <v>5.4</v>
      </c>
      <c r="K21" s="355">
        <f t="shared" si="0"/>
        <v>255</v>
      </c>
      <c r="L21" s="263">
        <v>255</v>
      </c>
      <c r="M21" s="263"/>
      <c r="N21" s="262" t="e">
        <f>IF(L21="nio",0,IF(L21&gt;0,L21*J21/P21,0))*VLOOKUP(B21,'2-Kosten per locatie'!$A$14:$C$23,3,FALSE)</f>
        <v>#DIV/0!</v>
      </c>
      <c r="O21" s="262">
        <f>IF(M21&gt;0,M21*J21/Q21,0)*VLOOKUP(B21,'2-Kosten per locatie'!$A$14:$C$23,3,FALSE)</f>
        <v>0</v>
      </c>
      <c r="P21" s="356">
        <f>IF(L21="nio",0,IF(L21&gt;0,VLOOKUP(G21,'3-Productie normen'!A:L,VLOOKUP(L21,'3-Productie normen'!$B$32:$C$39,2,FALSE),FALSE)))</f>
        <v>0</v>
      </c>
      <c r="Q21" s="356">
        <f t="shared" si="1"/>
        <v>0</v>
      </c>
      <c r="R21" s="357" t="str">
        <f>VLOOKUP(G21,'3-Productie normen'!A:N,14,FALSE)</f>
        <v>V</v>
      </c>
      <c r="S21" s="357"/>
      <c r="U21" s="358">
        <f t="shared" si="2"/>
        <v>1377</v>
      </c>
    </row>
    <row r="22" spans="1:21" ht="14.1" customHeight="1">
      <c r="A22" s="75">
        <v>22</v>
      </c>
      <c r="B22" s="497" t="s">
        <v>270</v>
      </c>
      <c r="C22" s="320" t="s">
        <v>271</v>
      </c>
      <c r="D22" s="353" t="s">
        <v>94</v>
      </c>
      <c r="E22" s="354"/>
      <c r="F22" s="72" t="s">
        <v>263</v>
      </c>
      <c r="G22" s="72" t="s">
        <v>502</v>
      </c>
      <c r="H22" s="72" t="s">
        <v>268</v>
      </c>
      <c r="I22" s="497" t="s">
        <v>98</v>
      </c>
      <c r="J22" s="504">
        <v>1.5</v>
      </c>
      <c r="K22" s="355">
        <f t="shared" si="0"/>
        <v>4</v>
      </c>
      <c r="L22" s="263">
        <v>4</v>
      </c>
      <c r="M22" s="263"/>
      <c r="N22" s="262" t="e">
        <f>IF(L22="nio",0,IF(L22&gt;0,L22*J22/P22,0))*VLOOKUP(B22,'2-Kosten per locatie'!$A$14:$C$23,3,FALSE)</f>
        <v>#DIV/0!</v>
      </c>
      <c r="O22" s="262">
        <f>IF(M22&gt;0,M22*J22/Q22,0)*VLOOKUP(B22,'2-Kosten per locatie'!$A$14:$C$23,3,FALSE)</f>
        <v>0</v>
      </c>
      <c r="P22" s="356">
        <f>IF(L22="nio",0,IF(L22&gt;0,VLOOKUP(G22,'3-Productie normen'!A:L,VLOOKUP(L22,'3-Productie normen'!$B$32:$C$39,2,FALSE),FALSE)))</f>
        <v>0</v>
      </c>
      <c r="Q22" s="356">
        <f t="shared" si="1"/>
        <v>0</v>
      </c>
      <c r="R22" s="357" t="str">
        <f>VLOOKUP(G22,'3-Productie normen'!A:N,14,FALSE)</f>
        <v>V</v>
      </c>
      <c r="S22" s="357"/>
      <c r="U22" s="358">
        <f t="shared" si="2"/>
        <v>6</v>
      </c>
    </row>
    <row r="23" spans="1:21" ht="14.1" customHeight="1">
      <c r="A23" s="75">
        <v>23</v>
      </c>
      <c r="B23" s="497" t="s">
        <v>270</v>
      </c>
      <c r="C23" s="320" t="s">
        <v>271</v>
      </c>
      <c r="D23" s="353" t="s">
        <v>94</v>
      </c>
      <c r="E23" s="354"/>
      <c r="F23" s="72" t="s">
        <v>262</v>
      </c>
      <c r="G23" s="320" t="s">
        <v>63</v>
      </c>
      <c r="H23" s="72" t="s">
        <v>504</v>
      </c>
      <c r="I23" s="497" t="s">
        <v>99</v>
      </c>
      <c r="J23" s="504">
        <v>23.9</v>
      </c>
      <c r="K23" s="355">
        <f t="shared" si="0"/>
        <v>255</v>
      </c>
      <c r="L23" s="263">
        <v>255</v>
      </c>
      <c r="M23" s="263"/>
      <c r="N23" s="262" t="e">
        <f>IF(L23="nio",0,IF(L23&gt;0,L23*J23/P23,0))*VLOOKUP(B23,'2-Kosten per locatie'!$A$14:$C$23,3,FALSE)</f>
        <v>#DIV/0!</v>
      </c>
      <c r="O23" s="262">
        <f>IF(M23&gt;0,M23*J23/Q23,0)*VLOOKUP(B23,'2-Kosten per locatie'!$A$14:$C$23,3,FALSE)</f>
        <v>0</v>
      </c>
      <c r="P23" s="356">
        <f>IF(L23="nio",0,IF(L23&gt;0,VLOOKUP(G23,'3-Productie normen'!A:L,VLOOKUP(L23,'3-Productie normen'!$B$32:$C$39,2,FALSE),FALSE)))</f>
        <v>0</v>
      </c>
      <c r="Q23" s="356">
        <f t="shared" si="1"/>
        <v>0</v>
      </c>
      <c r="R23" s="357" t="str">
        <f>VLOOKUP(G23,'3-Productie normen'!A:N,14,FALSE)</f>
        <v>B</v>
      </c>
      <c r="S23" s="357"/>
      <c r="U23" s="358">
        <f t="shared" si="2"/>
        <v>6094.5</v>
      </c>
    </row>
    <row r="24" spans="1:21" ht="14.1" customHeight="1">
      <c r="A24" s="75">
        <v>24</v>
      </c>
      <c r="B24" s="497" t="s">
        <v>270</v>
      </c>
      <c r="C24" s="320" t="s">
        <v>271</v>
      </c>
      <c r="D24" s="353" t="s">
        <v>94</v>
      </c>
      <c r="E24" s="354"/>
      <c r="F24" s="320" t="s">
        <v>65</v>
      </c>
      <c r="G24" s="320" t="s">
        <v>65</v>
      </c>
      <c r="H24" s="72" t="s">
        <v>269</v>
      </c>
      <c r="I24" s="497" t="s">
        <v>99</v>
      </c>
      <c r="J24" s="504">
        <v>23.7</v>
      </c>
      <c r="K24" s="355">
        <f t="shared" si="0"/>
        <v>255</v>
      </c>
      <c r="L24" s="263">
        <v>255</v>
      </c>
      <c r="M24" s="263"/>
      <c r="N24" s="262" t="e">
        <f>IF(L24="nio",0,IF(L24&gt;0,L24*J24/P24,0))*VLOOKUP(B24,'2-Kosten per locatie'!$A$14:$C$23,3,FALSE)</f>
        <v>#DIV/0!</v>
      </c>
      <c r="O24" s="262">
        <f>IF(M24&gt;0,M24*J24/Q24,0)*VLOOKUP(B24,'2-Kosten per locatie'!$A$14:$C$23,3,FALSE)</f>
        <v>0</v>
      </c>
      <c r="P24" s="356">
        <f>IF(L24="nio",0,IF(L24&gt;0,VLOOKUP(G24,'3-Productie normen'!A:L,VLOOKUP(L24,'3-Productie normen'!$B$32:$C$39,2,FALSE),FALSE)))</f>
        <v>0</v>
      </c>
      <c r="Q24" s="356">
        <f t="shared" si="1"/>
        <v>0</v>
      </c>
      <c r="R24" s="357" t="str">
        <f>VLOOKUP(G24,'3-Productie normen'!A:N,14,FALSE)</f>
        <v>V</v>
      </c>
      <c r="S24" s="357"/>
      <c r="U24" s="358">
        <f t="shared" si="2"/>
        <v>6043.5</v>
      </c>
    </row>
    <row r="25" spans="1:21" ht="14.1" customHeight="1">
      <c r="A25" s="75">
        <v>25</v>
      </c>
      <c r="B25" s="497" t="s">
        <v>270</v>
      </c>
      <c r="C25" s="320" t="s">
        <v>271</v>
      </c>
      <c r="D25" s="353" t="s">
        <v>94</v>
      </c>
      <c r="E25" s="354"/>
      <c r="F25" s="320" t="s">
        <v>262</v>
      </c>
      <c r="G25" s="320" t="s">
        <v>63</v>
      </c>
      <c r="H25" s="72" t="s">
        <v>504</v>
      </c>
      <c r="I25" s="497" t="s">
        <v>99</v>
      </c>
      <c r="J25" s="504">
        <v>47.1</v>
      </c>
      <c r="K25" s="355">
        <f t="shared" si="0"/>
        <v>255</v>
      </c>
      <c r="L25" s="263">
        <v>255</v>
      </c>
      <c r="M25" s="263"/>
      <c r="N25" s="262" t="e">
        <f>IF(L25="nio",0,IF(L25&gt;0,L25*J25/P25,0))*VLOOKUP(B25,'2-Kosten per locatie'!$A$14:$C$23,3,FALSE)</f>
        <v>#DIV/0!</v>
      </c>
      <c r="O25" s="262">
        <f>IF(M25&gt;0,M25*J25/Q25,0)*VLOOKUP(B25,'2-Kosten per locatie'!$A$14:$C$23,3,FALSE)</f>
        <v>0</v>
      </c>
      <c r="P25" s="356">
        <f>IF(L25="nio",0,IF(L25&gt;0,VLOOKUP(G25,'3-Productie normen'!A:L,VLOOKUP(L25,'3-Productie normen'!$B$32:$C$39,2,FALSE),FALSE)))</f>
        <v>0</v>
      </c>
      <c r="Q25" s="356">
        <f t="shared" si="1"/>
        <v>0</v>
      </c>
      <c r="R25" s="357" t="str">
        <f>VLOOKUP(G25,'3-Productie normen'!A:N,14,FALSE)</f>
        <v>B</v>
      </c>
      <c r="S25" s="357"/>
      <c r="U25" s="358">
        <f t="shared" si="2"/>
        <v>12010.5</v>
      </c>
    </row>
    <row r="26" spans="1:21" ht="14.1" customHeight="1">
      <c r="A26" s="75">
        <v>26</v>
      </c>
      <c r="B26" s="497" t="s">
        <v>270</v>
      </c>
      <c r="C26" s="320" t="s">
        <v>271</v>
      </c>
      <c r="D26" s="353" t="s">
        <v>94</v>
      </c>
      <c r="E26" s="354"/>
      <c r="F26" s="320" t="s">
        <v>257</v>
      </c>
      <c r="G26" s="320" t="s">
        <v>60</v>
      </c>
      <c r="H26" s="72" t="s">
        <v>269</v>
      </c>
      <c r="I26" s="497" t="s">
        <v>99</v>
      </c>
      <c r="J26" s="504">
        <v>22.8</v>
      </c>
      <c r="K26" s="355">
        <f t="shared" si="0"/>
        <v>255</v>
      </c>
      <c r="L26" s="263">
        <v>255</v>
      </c>
      <c r="M26" s="263"/>
      <c r="N26" s="262" t="e">
        <f>IF(L26="nio",0,IF(L26&gt;0,L26*J26/P26,0))*VLOOKUP(B26,'2-Kosten per locatie'!$A$14:$C$23,3,FALSE)</f>
        <v>#DIV/0!</v>
      </c>
      <c r="O26" s="262">
        <f>IF(M26&gt;0,M26*J26/Q26,0)*VLOOKUP(B26,'2-Kosten per locatie'!$A$14:$C$23,3,FALSE)</f>
        <v>0</v>
      </c>
      <c r="P26" s="356">
        <f>IF(L26="nio",0,IF(L26&gt;0,VLOOKUP(G26,'3-Productie normen'!A:L,VLOOKUP(L26,'3-Productie normen'!$B$32:$C$39,2,FALSE),FALSE)))</f>
        <v>0</v>
      </c>
      <c r="Q26" s="356">
        <f t="shared" si="1"/>
        <v>0</v>
      </c>
      <c r="R26" s="357" t="str">
        <f>VLOOKUP(G26,'3-Productie normen'!A:N,14,FALSE)</f>
        <v>V</v>
      </c>
      <c r="S26" s="357"/>
      <c r="U26" s="358">
        <f t="shared" si="2"/>
        <v>5814</v>
      </c>
    </row>
    <row r="27" spans="1:21" ht="14.1" customHeight="1">
      <c r="A27" s="75">
        <v>27</v>
      </c>
      <c r="B27" s="497" t="s">
        <v>270</v>
      </c>
      <c r="C27" s="320" t="s">
        <v>271</v>
      </c>
      <c r="D27" s="353" t="s">
        <v>267</v>
      </c>
      <c r="E27" s="354"/>
      <c r="F27" s="72" t="s">
        <v>257</v>
      </c>
      <c r="G27" s="72" t="s">
        <v>60</v>
      </c>
      <c r="H27" s="72" t="s">
        <v>504</v>
      </c>
      <c r="I27" s="497" t="s">
        <v>99</v>
      </c>
      <c r="J27" s="504">
        <v>44.4</v>
      </c>
      <c r="K27" s="355">
        <f t="shared" si="0"/>
        <v>255</v>
      </c>
      <c r="L27" s="263">
        <v>255</v>
      </c>
      <c r="M27" s="263"/>
      <c r="N27" s="262" t="e">
        <f>IF(L27="nio",0,IF(L27&gt;0,L27*J27/P27,0))*VLOOKUP(B27,'2-Kosten per locatie'!$A$14:$C$23,3,FALSE)</f>
        <v>#DIV/0!</v>
      </c>
      <c r="O27" s="262">
        <f>IF(M27&gt;0,M27*J27/Q27,0)*VLOOKUP(B27,'2-Kosten per locatie'!$A$14:$C$23,3,FALSE)</f>
        <v>0</v>
      </c>
      <c r="P27" s="356">
        <f>IF(L27="nio",0,IF(L27&gt;0,VLOOKUP(G27,'3-Productie normen'!A:L,VLOOKUP(L27,'3-Productie normen'!$B$32:$C$39,2,FALSE),FALSE)))</f>
        <v>0</v>
      </c>
      <c r="Q27" s="356">
        <f t="shared" si="1"/>
        <v>0</v>
      </c>
      <c r="R27" s="357" t="str">
        <f>VLOOKUP(G27,'3-Productie normen'!A:N,14,FALSE)</f>
        <v>V</v>
      </c>
      <c r="S27" s="357"/>
      <c r="U27" s="358">
        <f t="shared" si="2"/>
        <v>11322</v>
      </c>
    </row>
    <row r="28" spans="1:21" ht="14.1" customHeight="1">
      <c r="A28" s="75">
        <v>28</v>
      </c>
      <c r="B28" s="497" t="s">
        <v>270</v>
      </c>
      <c r="C28" s="320" t="s">
        <v>271</v>
      </c>
      <c r="D28" s="353" t="s">
        <v>267</v>
      </c>
      <c r="E28" s="354"/>
      <c r="F28" s="72" t="s">
        <v>259</v>
      </c>
      <c r="G28" s="72" t="s">
        <v>58</v>
      </c>
      <c r="H28" s="72" t="s">
        <v>269</v>
      </c>
      <c r="I28" s="497" t="s">
        <v>96</v>
      </c>
      <c r="J28" s="504">
        <v>9.6</v>
      </c>
      <c r="K28" s="355">
        <f t="shared" si="0"/>
        <v>510</v>
      </c>
      <c r="L28" s="263">
        <v>255</v>
      </c>
      <c r="M28" s="263">
        <v>255</v>
      </c>
      <c r="N28" s="262" t="e">
        <f>IF(L28="nio",0,IF(L28&gt;0,L28*J28/P28,0))*VLOOKUP(B28,'2-Kosten per locatie'!$A$14:$C$23,3,FALSE)</f>
        <v>#DIV/0!</v>
      </c>
      <c r="O28" s="262" t="e">
        <f>IF(M28&gt;0,M28*J28/Q28,0)*VLOOKUP(B28,'2-Kosten per locatie'!$A$14:$C$23,3,FALSE)</f>
        <v>#DIV/0!</v>
      </c>
      <c r="P28" s="356">
        <f>IF(L28="nio",0,IF(L28&gt;0,VLOOKUP(G28,'3-Productie normen'!A:L,VLOOKUP(L28,'3-Productie normen'!$B$32:$C$39,2,FALSE),FALSE)))</f>
        <v>0</v>
      </c>
      <c r="Q28" s="356">
        <f t="shared" si="1"/>
        <v>0</v>
      </c>
      <c r="R28" s="357" t="str">
        <f>VLOOKUP(G28,'3-Productie normen'!A:N,14,FALSE)</f>
        <v>S</v>
      </c>
      <c r="S28" s="357"/>
      <c r="U28" s="358">
        <f t="shared" si="2"/>
        <v>4896</v>
      </c>
    </row>
    <row r="29" spans="1:21" ht="14.1" customHeight="1">
      <c r="A29" s="75">
        <v>29</v>
      </c>
      <c r="B29" s="497" t="s">
        <v>270</v>
      </c>
      <c r="C29" s="320" t="s">
        <v>271</v>
      </c>
      <c r="D29" s="353" t="s">
        <v>267</v>
      </c>
      <c r="E29" s="354"/>
      <c r="F29" s="72" t="s">
        <v>259</v>
      </c>
      <c r="G29" s="72" t="s">
        <v>58</v>
      </c>
      <c r="H29" s="72" t="s">
        <v>269</v>
      </c>
      <c r="I29" s="497" t="s">
        <v>96</v>
      </c>
      <c r="J29" s="504">
        <v>1.2</v>
      </c>
      <c r="K29" s="355">
        <f t="shared" si="0"/>
        <v>510</v>
      </c>
      <c r="L29" s="263">
        <v>255</v>
      </c>
      <c r="M29" s="263">
        <v>255</v>
      </c>
      <c r="N29" s="262" t="e">
        <f>IF(L29="nio",0,IF(L29&gt;0,L29*J29/P29,0))*VLOOKUP(B29,'2-Kosten per locatie'!$A$14:$C$23,3,FALSE)</f>
        <v>#DIV/0!</v>
      </c>
      <c r="O29" s="262" t="e">
        <f>IF(M29&gt;0,M29*J29/Q29,0)*VLOOKUP(B29,'2-Kosten per locatie'!$A$14:$C$23,3,FALSE)</f>
        <v>#DIV/0!</v>
      </c>
      <c r="P29" s="356">
        <f>IF(L29="nio",0,IF(L29&gt;0,VLOOKUP(G29,'3-Productie normen'!A:L,VLOOKUP(L29,'3-Productie normen'!$B$32:$C$39,2,FALSE),FALSE)))</f>
        <v>0</v>
      </c>
      <c r="Q29" s="356">
        <f t="shared" si="1"/>
        <v>0</v>
      </c>
      <c r="R29" s="357" t="str">
        <f>VLOOKUP(G29,'3-Productie normen'!A:N,14,FALSE)</f>
        <v>S</v>
      </c>
      <c r="S29" s="357"/>
      <c r="U29" s="358">
        <f t="shared" si="2"/>
        <v>612</v>
      </c>
    </row>
    <row r="30" spans="1:21" ht="14.1" customHeight="1">
      <c r="A30" s="75">
        <v>30</v>
      </c>
      <c r="B30" s="497" t="s">
        <v>270</v>
      </c>
      <c r="C30" s="320" t="s">
        <v>271</v>
      </c>
      <c r="D30" s="353" t="s">
        <v>267</v>
      </c>
      <c r="E30" s="354"/>
      <c r="F30" s="72" t="s">
        <v>259</v>
      </c>
      <c r="G30" s="72" t="s">
        <v>58</v>
      </c>
      <c r="H30" s="72" t="s">
        <v>269</v>
      </c>
      <c r="I30" s="497" t="s">
        <v>96</v>
      </c>
      <c r="J30" s="504">
        <v>1.2</v>
      </c>
      <c r="K30" s="355">
        <f t="shared" si="0"/>
        <v>510</v>
      </c>
      <c r="L30" s="263">
        <v>255</v>
      </c>
      <c r="M30" s="263">
        <v>255</v>
      </c>
      <c r="N30" s="262" t="e">
        <f>IF(L30="nio",0,IF(L30&gt;0,L30*J30/P30,0))*VLOOKUP(B30,'2-Kosten per locatie'!$A$14:$C$23,3,FALSE)</f>
        <v>#DIV/0!</v>
      </c>
      <c r="O30" s="262" t="e">
        <f>IF(M30&gt;0,M30*J30/Q30,0)*VLOOKUP(B30,'2-Kosten per locatie'!$A$14:$C$23,3,FALSE)</f>
        <v>#DIV/0!</v>
      </c>
      <c r="P30" s="356">
        <f>IF(L30="nio",0,IF(L30&gt;0,VLOOKUP(G30,'3-Productie normen'!A:L,VLOOKUP(L30,'3-Productie normen'!$B$32:$C$39,2,FALSE),FALSE)))</f>
        <v>0</v>
      </c>
      <c r="Q30" s="356">
        <f t="shared" si="1"/>
        <v>0</v>
      </c>
      <c r="R30" s="357" t="str">
        <f>VLOOKUP(G30,'3-Productie normen'!A:N,14,FALSE)</f>
        <v>S</v>
      </c>
      <c r="S30" s="357"/>
      <c r="U30" s="358">
        <f t="shared" si="2"/>
        <v>612</v>
      </c>
    </row>
    <row r="31" spans="1:21" ht="14.1" customHeight="1">
      <c r="A31" s="75">
        <v>31</v>
      </c>
      <c r="B31" s="497" t="s">
        <v>270</v>
      </c>
      <c r="C31" s="320" t="s">
        <v>271</v>
      </c>
      <c r="D31" s="353" t="s">
        <v>267</v>
      </c>
      <c r="E31" s="354"/>
      <c r="F31" s="72" t="s">
        <v>259</v>
      </c>
      <c r="G31" s="72" t="s">
        <v>58</v>
      </c>
      <c r="H31" s="72" t="s">
        <v>269</v>
      </c>
      <c r="I31" s="497" t="s">
        <v>96</v>
      </c>
      <c r="J31" s="504">
        <v>1.3</v>
      </c>
      <c r="K31" s="355">
        <f t="shared" si="0"/>
        <v>510</v>
      </c>
      <c r="L31" s="263">
        <v>255</v>
      </c>
      <c r="M31" s="263">
        <v>255</v>
      </c>
      <c r="N31" s="262" t="e">
        <f>IF(L31="nio",0,IF(L31&gt;0,L31*J31/P31,0))*VLOOKUP(B31,'2-Kosten per locatie'!$A$14:$C$23,3,FALSE)</f>
        <v>#DIV/0!</v>
      </c>
      <c r="O31" s="262" t="e">
        <f>IF(M31&gt;0,M31*J31/Q31,0)*VLOOKUP(B31,'2-Kosten per locatie'!$A$14:$C$23,3,FALSE)</f>
        <v>#DIV/0!</v>
      </c>
      <c r="P31" s="356">
        <f>IF(L31="nio",0,IF(L31&gt;0,VLOOKUP(G31,'3-Productie normen'!A:L,VLOOKUP(L31,'3-Productie normen'!$B$32:$C$39,2,FALSE),FALSE)))</f>
        <v>0</v>
      </c>
      <c r="Q31" s="356">
        <f t="shared" si="1"/>
        <v>0</v>
      </c>
      <c r="R31" s="357" t="str">
        <f>VLOOKUP(G31,'3-Productie normen'!A:N,14,FALSE)</f>
        <v>S</v>
      </c>
      <c r="S31" s="357"/>
      <c r="U31" s="358">
        <f t="shared" si="2"/>
        <v>663</v>
      </c>
    </row>
    <row r="32" spans="1:21" ht="14.1" customHeight="1">
      <c r="A32" s="75">
        <v>32</v>
      </c>
      <c r="B32" s="497" t="s">
        <v>270</v>
      </c>
      <c r="C32" s="320" t="s">
        <v>271</v>
      </c>
      <c r="D32" s="353" t="s">
        <v>267</v>
      </c>
      <c r="E32" s="354"/>
      <c r="F32" s="72" t="s">
        <v>259</v>
      </c>
      <c r="G32" s="72" t="s">
        <v>58</v>
      </c>
      <c r="H32" s="72" t="s">
        <v>269</v>
      </c>
      <c r="I32" s="497" t="s">
        <v>96</v>
      </c>
      <c r="J32" s="504">
        <v>1.8</v>
      </c>
      <c r="K32" s="355">
        <f t="shared" si="0"/>
        <v>510</v>
      </c>
      <c r="L32" s="263">
        <v>255</v>
      </c>
      <c r="M32" s="263">
        <v>255</v>
      </c>
      <c r="N32" s="262" t="e">
        <f>IF(L32="nio",0,IF(L32&gt;0,L32*J32/P32,0))*VLOOKUP(B32,'2-Kosten per locatie'!$A$14:$C$23,3,FALSE)</f>
        <v>#DIV/0!</v>
      </c>
      <c r="O32" s="262" t="e">
        <f>IF(M32&gt;0,M32*J32/Q32,0)*VLOOKUP(B32,'2-Kosten per locatie'!$A$14:$C$23,3,FALSE)</f>
        <v>#DIV/0!</v>
      </c>
      <c r="P32" s="356">
        <f>IF(L32="nio",0,IF(L32&gt;0,VLOOKUP(G32,'3-Productie normen'!A:L,VLOOKUP(L32,'3-Productie normen'!$B$32:$C$39,2,FALSE),FALSE)))</f>
        <v>0</v>
      </c>
      <c r="Q32" s="356">
        <f t="shared" si="1"/>
        <v>0</v>
      </c>
      <c r="R32" s="357" t="str">
        <f>VLOOKUP(G32,'3-Productie normen'!A:N,14,FALSE)</f>
        <v>S</v>
      </c>
      <c r="S32" s="357"/>
      <c r="U32" s="358">
        <f t="shared" si="2"/>
        <v>918</v>
      </c>
    </row>
    <row r="33" spans="1:21" ht="14.1" customHeight="1">
      <c r="A33" s="75">
        <v>33</v>
      </c>
      <c r="B33" s="497" t="s">
        <v>270</v>
      </c>
      <c r="C33" s="320" t="s">
        <v>271</v>
      </c>
      <c r="D33" s="353" t="s">
        <v>267</v>
      </c>
      <c r="E33" s="354"/>
      <c r="F33" s="72" t="s">
        <v>262</v>
      </c>
      <c r="G33" s="320" t="s">
        <v>63</v>
      </c>
      <c r="H33" s="72" t="s">
        <v>504</v>
      </c>
      <c r="I33" s="497" t="s">
        <v>99</v>
      </c>
      <c r="J33" s="504">
        <v>28</v>
      </c>
      <c r="K33" s="355">
        <f t="shared" si="0"/>
        <v>255</v>
      </c>
      <c r="L33" s="263">
        <v>255</v>
      </c>
      <c r="M33" s="263"/>
      <c r="N33" s="262" t="e">
        <f>IF(L33="nio",0,IF(L33&gt;0,L33*J33/P33,0))*VLOOKUP(B33,'2-Kosten per locatie'!$A$14:$C$23,3,FALSE)</f>
        <v>#DIV/0!</v>
      </c>
      <c r="O33" s="262">
        <f>IF(M33&gt;0,M33*J33/Q33,0)*VLOOKUP(B33,'2-Kosten per locatie'!$A$14:$C$23,3,FALSE)</f>
        <v>0</v>
      </c>
      <c r="P33" s="356">
        <f>IF(L33="nio",0,IF(L33&gt;0,VLOOKUP(G33,'3-Productie normen'!A:L,VLOOKUP(L33,'3-Productie normen'!$B$32:$C$39,2,FALSE),FALSE)))</f>
        <v>0</v>
      </c>
      <c r="Q33" s="356">
        <f t="shared" si="1"/>
        <v>0</v>
      </c>
      <c r="R33" s="357" t="str">
        <f>VLOOKUP(G33,'3-Productie normen'!A:N,14,FALSE)</f>
        <v>B</v>
      </c>
      <c r="S33" s="357"/>
      <c r="U33" s="358">
        <f t="shared" si="2"/>
        <v>7140</v>
      </c>
    </row>
    <row r="34" spans="1:21" ht="14.1" customHeight="1">
      <c r="A34" s="75">
        <v>34</v>
      </c>
      <c r="B34" s="497" t="s">
        <v>270</v>
      </c>
      <c r="C34" s="320" t="s">
        <v>271</v>
      </c>
      <c r="D34" s="353" t="s">
        <v>267</v>
      </c>
      <c r="E34" s="354"/>
      <c r="F34" s="72" t="s">
        <v>258</v>
      </c>
      <c r="G34" s="72" t="s">
        <v>258</v>
      </c>
      <c r="H34" s="72" t="s">
        <v>269</v>
      </c>
      <c r="I34" s="497" t="s">
        <v>99</v>
      </c>
      <c r="J34" s="504">
        <v>2</v>
      </c>
      <c r="K34" s="355">
        <f t="shared" si="0"/>
        <v>255</v>
      </c>
      <c r="L34" s="263">
        <v>255</v>
      </c>
      <c r="M34" s="263"/>
      <c r="N34" s="262" t="e">
        <f>IF(L34="nio",0,IF(L34&gt;0,L34*J34/P34,0))*VLOOKUP(B34,'2-Kosten per locatie'!$A$14:$C$23,3,FALSE)</f>
        <v>#DIV/0!</v>
      </c>
      <c r="O34" s="262">
        <f>IF(M34&gt;0,M34*J34/Q34,0)*VLOOKUP(B34,'2-Kosten per locatie'!$A$14:$C$23,3,FALSE)</f>
        <v>0</v>
      </c>
      <c r="P34" s="356">
        <f>IF(L34="nio",0,IF(L34&gt;0,VLOOKUP(G34,'3-Productie normen'!A:L,VLOOKUP(L34,'3-Productie normen'!$B$32:$C$39,2,FALSE),FALSE)))</f>
        <v>0</v>
      </c>
      <c r="Q34" s="356">
        <f t="shared" si="1"/>
        <v>0</v>
      </c>
      <c r="R34" s="357" t="str">
        <f>VLOOKUP(G34,'3-Productie normen'!A:N,14,FALSE)</f>
        <v>V</v>
      </c>
      <c r="S34" s="357"/>
      <c r="U34" s="358">
        <f t="shared" si="2"/>
        <v>510</v>
      </c>
    </row>
    <row r="35" spans="1:21" ht="14.1" customHeight="1">
      <c r="A35" s="75">
        <v>35</v>
      </c>
      <c r="B35" s="497" t="s">
        <v>270</v>
      </c>
      <c r="C35" s="320" t="s">
        <v>271</v>
      </c>
      <c r="D35" s="353" t="s">
        <v>267</v>
      </c>
      <c r="E35" s="354"/>
      <c r="F35" s="72" t="s">
        <v>264</v>
      </c>
      <c r="G35" s="72" t="s">
        <v>500</v>
      </c>
      <c r="H35" s="72" t="s">
        <v>269</v>
      </c>
      <c r="I35" s="497" t="s">
        <v>99</v>
      </c>
      <c r="J35" s="504">
        <v>4.0999999999999996</v>
      </c>
      <c r="K35" s="355">
        <f t="shared" si="0"/>
        <v>255</v>
      </c>
      <c r="L35" s="263">
        <v>255</v>
      </c>
      <c r="M35" s="263"/>
      <c r="N35" s="262" t="e">
        <f>IF(L35="nio",0,IF(L35&gt;0,L35*J35/P35,0))*VLOOKUP(B35,'2-Kosten per locatie'!$A$14:$C$23,3,FALSE)</f>
        <v>#DIV/0!</v>
      </c>
      <c r="O35" s="262">
        <f>IF(M35&gt;0,M35*J35/Q35,0)*VLOOKUP(B35,'2-Kosten per locatie'!$A$14:$C$23,3,FALSE)</f>
        <v>0</v>
      </c>
      <c r="P35" s="356">
        <f>IF(L35="nio",0,IF(L35&gt;0,VLOOKUP(G35,'3-Productie normen'!A:L,VLOOKUP(L35,'3-Productie normen'!$B$32:$C$39,2,FALSE),FALSE)))</f>
        <v>0</v>
      </c>
      <c r="Q35" s="356">
        <f t="shared" si="1"/>
        <v>0</v>
      </c>
      <c r="R35" s="357" t="str">
        <f>VLOOKUP(G35,'3-Productie normen'!A:N,14,FALSE)</f>
        <v>V</v>
      </c>
      <c r="S35" s="357"/>
      <c r="U35" s="358">
        <f t="shared" si="2"/>
        <v>1045.5</v>
      </c>
    </row>
    <row r="36" spans="1:21" ht="14.1" customHeight="1">
      <c r="A36" s="75">
        <v>36</v>
      </c>
      <c r="B36" s="497" t="s">
        <v>270</v>
      </c>
      <c r="C36" s="320" t="s">
        <v>271</v>
      </c>
      <c r="D36" s="353" t="s">
        <v>267</v>
      </c>
      <c r="E36" s="354"/>
      <c r="F36" s="72" t="s">
        <v>65</v>
      </c>
      <c r="G36" s="320" t="s">
        <v>65</v>
      </c>
      <c r="H36" s="72" t="s">
        <v>269</v>
      </c>
      <c r="I36" s="497" t="s">
        <v>99</v>
      </c>
      <c r="J36" s="504">
        <v>2.7</v>
      </c>
      <c r="K36" s="355">
        <f t="shared" si="0"/>
        <v>255</v>
      </c>
      <c r="L36" s="263">
        <v>255</v>
      </c>
      <c r="M36" s="263"/>
      <c r="N36" s="262" t="e">
        <f>IF(L36="nio",0,IF(L36&gt;0,L36*J36/P36,0))*VLOOKUP(B36,'2-Kosten per locatie'!$A$14:$C$23,3,FALSE)</f>
        <v>#DIV/0!</v>
      </c>
      <c r="O36" s="262">
        <f>IF(M36&gt;0,M36*J36/Q36,0)*VLOOKUP(B36,'2-Kosten per locatie'!$A$14:$C$23,3,FALSE)</f>
        <v>0</v>
      </c>
      <c r="P36" s="356">
        <f>IF(L36="nio",0,IF(L36&gt;0,VLOOKUP(G36,'3-Productie normen'!A:L,VLOOKUP(L36,'3-Productie normen'!$B$32:$C$39,2,FALSE),FALSE)))</f>
        <v>0</v>
      </c>
      <c r="Q36" s="356">
        <f t="shared" si="1"/>
        <v>0</v>
      </c>
      <c r="R36" s="357" t="str">
        <f>VLOOKUP(G36,'3-Productie normen'!A:N,14,FALSE)</f>
        <v>V</v>
      </c>
      <c r="S36" s="357"/>
      <c r="U36" s="358">
        <f t="shared" si="2"/>
        <v>688.5</v>
      </c>
    </row>
    <row r="37" spans="1:21" ht="14.1" customHeight="1">
      <c r="A37" s="75">
        <v>37</v>
      </c>
      <c r="B37" s="497" t="s">
        <v>270</v>
      </c>
      <c r="C37" s="320" t="s">
        <v>271</v>
      </c>
      <c r="D37" s="353" t="s">
        <v>267</v>
      </c>
      <c r="E37" s="354"/>
      <c r="F37" s="72" t="s">
        <v>265</v>
      </c>
      <c r="G37" s="72" t="s">
        <v>60</v>
      </c>
      <c r="H37" s="72" t="s">
        <v>504</v>
      </c>
      <c r="I37" s="497" t="s">
        <v>99</v>
      </c>
      <c r="J37" s="504">
        <v>7</v>
      </c>
      <c r="K37" s="355">
        <f t="shared" si="0"/>
        <v>255</v>
      </c>
      <c r="L37" s="263">
        <v>255</v>
      </c>
      <c r="M37" s="263"/>
      <c r="N37" s="262" t="e">
        <f>IF(L37="nio",0,IF(L37&gt;0,L37*J37/P37,0))*VLOOKUP(B37,'2-Kosten per locatie'!$A$14:$C$23,3,FALSE)</f>
        <v>#DIV/0!</v>
      </c>
      <c r="O37" s="262">
        <f>IF(M37&gt;0,M37*J37/Q37,0)*VLOOKUP(B37,'2-Kosten per locatie'!$A$14:$C$23,3,FALSE)</f>
        <v>0</v>
      </c>
      <c r="P37" s="356">
        <f>IF(L37="nio",0,IF(L37&gt;0,VLOOKUP(G37,'3-Productie normen'!A:L,VLOOKUP(L37,'3-Productie normen'!$B$32:$C$39,2,FALSE),FALSE)))</f>
        <v>0</v>
      </c>
      <c r="Q37" s="356">
        <f t="shared" si="1"/>
        <v>0</v>
      </c>
      <c r="R37" s="357" t="str">
        <f>VLOOKUP(G37,'3-Productie normen'!A:N,14,FALSE)</f>
        <v>V</v>
      </c>
      <c r="S37" s="357"/>
      <c r="U37" s="358">
        <f t="shared" si="2"/>
        <v>1785</v>
      </c>
    </row>
    <row r="38" spans="1:21" ht="14.1" customHeight="1">
      <c r="A38" s="75">
        <v>38</v>
      </c>
      <c r="B38" s="497" t="s">
        <v>270</v>
      </c>
      <c r="C38" s="320" t="s">
        <v>271</v>
      </c>
      <c r="D38" s="353" t="s">
        <v>267</v>
      </c>
      <c r="E38" s="354"/>
      <c r="F38" s="72" t="s">
        <v>266</v>
      </c>
      <c r="G38" s="72" t="s">
        <v>63</v>
      </c>
      <c r="H38" s="72" t="s">
        <v>504</v>
      </c>
      <c r="I38" s="497" t="s">
        <v>99</v>
      </c>
      <c r="J38" s="504">
        <v>25</v>
      </c>
      <c r="K38" s="355">
        <f t="shared" si="0"/>
        <v>255</v>
      </c>
      <c r="L38" s="263">
        <v>255</v>
      </c>
      <c r="M38" s="263"/>
      <c r="N38" s="262" t="e">
        <f>IF(L38="nio",0,IF(L38&gt;0,L38*J38/P38,0))*VLOOKUP(B38,'2-Kosten per locatie'!$A$14:$C$23,3,FALSE)</f>
        <v>#DIV/0!</v>
      </c>
      <c r="O38" s="262">
        <f>IF(M38&gt;0,M38*J38/Q38,0)*VLOOKUP(B38,'2-Kosten per locatie'!$A$14:$C$23,3,FALSE)</f>
        <v>0</v>
      </c>
      <c r="P38" s="356">
        <f>IF(L38="nio",0,IF(L38&gt;0,VLOOKUP(G38,'3-Productie normen'!A:L,VLOOKUP(L38,'3-Productie normen'!$B$32:$C$39,2,FALSE),FALSE)))</f>
        <v>0</v>
      </c>
      <c r="Q38" s="356">
        <f t="shared" si="1"/>
        <v>0</v>
      </c>
      <c r="R38" s="357" t="str">
        <f>VLOOKUP(G38,'3-Productie normen'!A:N,14,FALSE)</f>
        <v>B</v>
      </c>
      <c r="S38" s="357"/>
      <c r="U38" s="358">
        <f t="shared" si="2"/>
        <v>6375</v>
      </c>
    </row>
    <row r="39" spans="1:21" ht="14.1" customHeight="1">
      <c r="A39" s="75">
        <v>39</v>
      </c>
      <c r="B39" s="497" t="s">
        <v>270</v>
      </c>
      <c r="C39" s="320" t="s">
        <v>271</v>
      </c>
      <c r="D39" s="353" t="s">
        <v>267</v>
      </c>
      <c r="E39" s="354"/>
      <c r="F39" s="72" t="s">
        <v>262</v>
      </c>
      <c r="G39" s="320" t="s">
        <v>63</v>
      </c>
      <c r="H39" s="72" t="s">
        <v>504</v>
      </c>
      <c r="I39" s="497" t="s">
        <v>99</v>
      </c>
      <c r="J39" s="504">
        <v>152.9</v>
      </c>
      <c r="K39" s="355">
        <f t="shared" si="0"/>
        <v>255</v>
      </c>
      <c r="L39" s="263">
        <v>255</v>
      </c>
      <c r="M39" s="263"/>
      <c r="N39" s="262" t="e">
        <f>IF(L39="nio",0,IF(L39&gt;0,L39*J39/P39,0))*VLOOKUP(B39,'2-Kosten per locatie'!$A$14:$C$23,3,FALSE)</f>
        <v>#DIV/0!</v>
      </c>
      <c r="O39" s="262">
        <f>IF(M39&gt;0,M39*J39/Q39,0)*VLOOKUP(B39,'2-Kosten per locatie'!$A$14:$C$23,3,FALSE)</f>
        <v>0</v>
      </c>
      <c r="P39" s="356">
        <f>IF(L39="nio",0,IF(L39&gt;0,VLOOKUP(G39,'3-Productie normen'!A:L,VLOOKUP(L39,'3-Productie normen'!$B$32:$C$39,2,FALSE),FALSE)))</f>
        <v>0</v>
      </c>
      <c r="Q39" s="356">
        <f t="shared" si="1"/>
        <v>0</v>
      </c>
      <c r="R39" s="357" t="str">
        <f>VLOOKUP(G39,'3-Productie normen'!A:N,14,FALSE)</f>
        <v>B</v>
      </c>
      <c r="S39" s="357"/>
      <c r="U39" s="358">
        <f t="shared" si="2"/>
        <v>38989.5</v>
      </c>
    </row>
    <row r="40" spans="1:21" ht="14.1" customHeight="1">
      <c r="A40" s="75">
        <v>40</v>
      </c>
      <c r="B40" s="497" t="s">
        <v>464</v>
      </c>
      <c r="C40" s="320" t="s">
        <v>465</v>
      </c>
      <c r="D40" s="505" t="s">
        <v>94</v>
      </c>
      <c r="E40" s="506" t="s">
        <v>299</v>
      </c>
      <c r="F40" s="505" t="s">
        <v>64</v>
      </c>
      <c r="G40" s="72" t="s">
        <v>64</v>
      </c>
      <c r="H40" s="505" t="s">
        <v>268</v>
      </c>
      <c r="I40" s="508" t="s">
        <v>98</v>
      </c>
      <c r="J40" s="507">
        <v>13.9</v>
      </c>
      <c r="K40" s="355">
        <f t="shared" ref="K40:K58" si="3">SUM(L40:M40)</f>
        <v>255</v>
      </c>
      <c r="L40" s="263">
        <v>255</v>
      </c>
      <c r="M40" s="263"/>
      <c r="N40" s="262" t="e">
        <f>IF(L40="nio",0,IF(L40&gt;0,L40*J40/P40,0))*VLOOKUP(B40,'2-Kosten per locatie'!$A$14:$C$23,3,FALSE)</f>
        <v>#DIV/0!</v>
      </c>
      <c r="O40" s="262">
        <f>IF(M40&gt;0,M40*J40/Q40,0)*VLOOKUP(B40,'2-Kosten per locatie'!$A$14:$C$23,3,FALSE)</f>
        <v>0</v>
      </c>
      <c r="P40" s="356">
        <f>IF(L40="nio",0,IF(L40&gt;0,VLOOKUP(G40,'3-Productie normen'!A:L,VLOOKUP(L40,'3-Productie normen'!$B$32:$C$39,2,FALSE),FALSE)))</f>
        <v>0</v>
      </c>
      <c r="Q40" s="356">
        <f t="shared" ref="Q40:Q58" si="4">IF(M40&gt;0,P40*$Q$8,0)</f>
        <v>0</v>
      </c>
      <c r="R40" s="357" t="str">
        <f>VLOOKUP(G40,'3-Productie normen'!A:N,14,FALSE)</f>
        <v>V</v>
      </c>
      <c r="S40" s="357"/>
      <c r="U40" s="358">
        <f t="shared" ref="U40:U58" si="5">K40*J40</f>
        <v>3544.5</v>
      </c>
    </row>
    <row r="41" spans="1:21" ht="14.1" customHeight="1">
      <c r="A41" s="75">
        <v>41</v>
      </c>
      <c r="B41" s="497" t="s">
        <v>464</v>
      </c>
      <c r="C41" s="320" t="s">
        <v>465</v>
      </c>
      <c r="D41" s="505" t="s">
        <v>94</v>
      </c>
      <c r="E41" s="506" t="s">
        <v>469</v>
      </c>
      <c r="F41" s="505" t="s">
        <v>300</v>
      </c>
      <c r="G41" s="72" t="s">
        <v>499</v>
      </c>
      <c r="H41" s="505" t="s">
        <v>268</v>
      </c>
      <c r="I41" s="508" t="s">
        <v>98</v>
      </c>
      <c r="J41" s="507">
        <v>36</v>
      </c>
      <c r="K41" s="355">
        <f t="shared" si="3"/>
        <v>255</v>
      </c>
      <c r="L41" s="263">
        <v>255</v>
      </c>
      <c r="M41" s="263"/>
      <c r="N41" s="262" t="e">
        <f>IF(L41="nio",0,IF(L41&gt;0,L41*J41/P41,0))*VLOOKUP(B41,'2-Kosten per locatie'!$A$14:$C$23,3,FALSE)</f>
        <v>#DIV/0!</v>
      </c>
      <c r="O41" s="262">
        <f>IF(M41&gt;0,M41*J41/Q41,0)*VLOOKUP(B41,'2-Kosten per locatie'!$A$14:$C$23,3,FALSE)</f>
        <v>0</v>
      </c>
      <c r="P41" s="356">
        <f>IF(L41="nio",0,IF(L41&gt;0,VLOOKUP(G41,'3-Productie normen'!A:L,VLOOKUP(L41,'3-Productie normen'!$B$32:$C$39,2,FALSE),FALSE)))</f>
        <v>0</v>
      </c>
      <c r="Q41" s="356">
        <f t="shared" si="4"/>
        <v>0</v>
      </c>
      <c r="R41" s="357" t="str">
        <f>VLOOKUP(G41,'3-Productie normen'!A:N,14,FALSE)</f>
        <v>B</v>
      </c>
      <c r="S41" s="357"/>
      <c r="U41" s="358">
        <f t="shared" si="5"/>
        <v>9180</v>
      </c>
    </row>
    <row r="42" spans="1:21" ht="14.1" customHeight="1">
      <c r="A42" s="75">
        <v>42</v>
      </c>
      <c r="B42" s="497" t="s">
        <v>464</v>
      </c>
      <c r="C42" s="320" t="s">
        <v>465</v>
      </c>
      <c r="D42" s="505" t="s">
        <v>94</v>
      </c>
      <c r="E42" s="506" t="s">
        <v>301</v>
      </c>
      <c r="F42" s="505" t="s">
        <v>300</v>
      </c>
      <c r="G42" s="72" t="s">
        <v>499</v>
      </c>
      <c r="H42" s="505" t="s">
        <v>268</v>
      </c>
      <c r="I42" s="508" t="s">
        <v>98</v>
      </c>
      <c r="J42" s="507">
        <v>24.8</v>
      </c>
      <c r="K42" s="355">
        <f t="shared" si="3"/>
        <v>255</v>
      </c>
      <c r="L42" s="263">
        <v>255</v>
      </c>
      <c r="M42" s="263"/>
      <c r="N42" s="262" t="e">
        <f>IF(L42="nio",0,IF(L42&gt;0,L42*J42/P42,0))*VLOOKUP(B42,'2-Kosten per locatie'!$A$14:$C$23,3,FALSE)</f>
        <v>#DIV/0!</v>
      </c>
      <c r="O42" s="262">
        <f>IF(M42&gt;0,M42*J42/Q42,0)*VLOOKUP(B42,'2-Kosten per locatie'!$A$14:$C$23,3,FALSE)</f>
        <v>0</v>
      </c>
      <c r="P42" s="356">
        <f>IF(L42="nio",0,IF(L42&gt;0,VLOOKUP(G42,'3-Productie normen'!A:L,VLOOKUP(L42,'3-Productie normen'!$B$32:$C$39,2,FALSE),FALSE)))</f>
        <v>0</v>
      </c>
      <c r="Q42" s="356">
        <f t="shared" si="4"/>
        <v>0</v>
      </c>
      <c r="R42" s="357" t="str">
        <f>VLOOKUP(G42,'3-Productie normen'!A:N,14,FALSE)</f>
        <v>B</v>
      </c>
      <c r="S42" s="357"/>
      <c r="U42" s="358">
        <f t="shared" si="5"/>
        <v>6324</v>
      </c>
    </row>
    <row r="43" spans="1:21" ht="14.1" customHeight="1">
      <c r="A43" s="75">
        <v>43</v>
      </c>
      <c r="B43" s="497" t="s">
        <v>464</v>
      </c>
      <c r="C43" s="320" t="s">
        <v>465</v>
      </c>
      <c r="D43" s="505" t="s">
        <v>94</v>
      </c>
      <c r="E43" s="506" t="s">
        <v>470</v>
      </c>
      <c r="F43" s="505" t="s">
        <v>300</v>
      </c>
      <c r="G43" s="72" t="s">
        <v>499</v>
      </c>
      <c r="H43" s="505" t="s">
        <v>268</v>
      </c>
      <c r="I43" s="508" t="s">
        <v>98</v>
      </c>
      <c r="J43" s="507">
        <v>26.3</v>
      </c>
      <c r="K43" s="355">
        <f t="shared" si="3"/>
        <v>255</v>
      </c>
      <c r="L43" s="263">
        <v>255</v>
      </c>
      <c r="M43" s="263"/>
      <c r="N43" s="262" t="e">
        <f>IF(L43="nio",0,IF(L43&gt;0,L43*J43/P43,0))*VLOOKUP(B43,'2-Kosten per locatie'!$A$14:$C$23,3,FALSE)</f>
        <v>#DIV/0!</v>
      </c>
      <c r="O43" s="262">
        <f>IF(M43&gt;0,M43*J43/Q43,0)*VLOOKUP(B43,'2-Kosten per locatie'!$A$14:$C$23,3,FALSE)</f>
        <v>0</v>
      </c>
      <c r="P43" s="356">
        <f>IF(L43="nio",0,IF(L43&gt;0,VLOOKUP(G43,'3-Productie normen'!A:L,VLOOKUP(L43,'3-Productie normen'!$B$32:$C$39,2,FALSE),FALSE)))</f>
        <v>0</v>
      </c>
      <c r="Q43" s="356">
        <f t="shared" si="4"/>
        <v>0</v>
      </c>
      <c r="R43" s="357" t="str">
        <f>VLOOKUP(G43,'3-Productie normen'!A:N,14,FALSE)</f>
        <v>B</v>
      </c>
      <c r="S43" s="357"/>
      <c r="U43" s="358">
        <f t="shared" si="5"/>
        <v>6706.5</v>
      </c>
    </row>
    <row r="44" spans="1:21" ht="14.1" customHeight="1">
      <c r="A44" s="75">
        <v>44</v>
      </c>
      <c r="B44" s="497" t="s">
        <v>464</v>
      </c>
      <c r="C44" s="320" t="s">
        <v>465</v>
      </c>
      <c r="D44" s="505" t="s">
        <v>94</v>
      </c>
      <c r="E44" s="506" t="s">
        <v>471</v>
      </c>
      <c r="F44" s="505" t="s">
        <v>300</v>
      </c>
      <c r="G44" s="72" t="s">
        <v>499</v>
      </c>
      <c r="H44" s="505" t="s">
        <v>268</v>
      </c>
      <c r="I44" s="508" t="s">
        <v>98</v>
      </c>
      <c r="J44" s="507">
        <v>15.9</v>
      </c>
      <c r="K44" s="355">
        <f t="shared" si="3"/>
        <v>255</v>
      </c>
      <c r="L44" s="263">
        <v>255</v>
      </c>
      <c r="M44" s="263"/>
      <c r="N44" s="262" t="e">
        <f>IF(L44="nio",0,IF(L44&gt;0,L44*J44/P44,0))*VLOOKUP(B44,'2-Kosten per locatie'!$A$14:$C$23,3,FALSE)</f>
        <v>#DIV/0!</v>
      </c>
      <c r="O44" s="262">
        <f>IF(M44&gt;0,M44*J44/Q44,0)*VLOOKUP(B44,'2-Kosten per locatie'!$A$14:$C$23,3,FALSE)</f>
        <v>0</v>
      </c>
      <c r="P44" s="356">
        <f>IF(L44="nio",0,IF(L44&gt;0,VLOOKUP(G44,'3-Productie normen'!A:L,VLOOKUP(L44,'3-Productie normen'!$B$32:$C$39,2,FALSE),FALSE)))</f>
        <v>0</v>
      </c>
      <c r="Q44" s="356">
        <f t="shared" si="4"/>
        <v>0</v>
      </c>
      <c r="R44" s="357" t="str">
        <f>VLOOKUP(G44,'3-Productie normen'!A:N,14,FALSE)</f>
        <v>B</v>
      </c>
      <c r="S44" s="357"/>
      <c r="U44" s="358">
        <f t="shared" si="5"/>
        <v>4054.5</v>
      </c>
    </row>
    <row r="45" spans="1:21" ht="14.1" customHeight="1">
      <c r="A45" s="75">
        <v>45</v>
      </c>
      <c r="B45" s="497" t="s">
        <v>464</v>
      </c>
      <c r="C45" s="320" t="s">
        <v>465</v>
      </c>
      <c r="D45" s="505" t="s">
        <v>94</v>
      </c>
      <c r="E45" s="506" t="s">
        <v>303</v>
      </c>
      <c r="F45" s="505" t="s">
        <v>300</v>
      </c>
      <c r="G45" s="72" t="s">
        <v>499</v>
      </c>
      <c r="H45" s="505" t="s">
        <v>268</v>
      </c>
      <c r="I45" s="508" t="s">
        <v>98</v>
      </c>
      <c r="J45" s="507">
        <v>29.6</v>
      </c>
      <c r="K45" s="355">
        <f t="shared" si="3"/>
        <v>255</v>
      </c>
      <c r="L45" s="263">
        <v>255</v>
      </c>
      <c r="M45" s="263"/>
      <c r="N45" s="262" t="e">
        <f>IF(L45="nio",0,IF(L45&gt;0,L45*J45/P45,0))*VLOOKUP(B45,'2-Kosten per locatie'!$A$14:$C$23,3,FALSE)</f>
        <v>#DIV/0!</v>
      </c>
      <c r="O45" s="262">
        <f>IF(M45&gt;0,M45*J45/Q45,0)*VLOOKUP(B45,'2-Kosten per locatie'!$A$14:$C$23,3,FALSE)</f>
        <v>0</v>
      </c>
      <c r="P45" s="356">
        <f>IF(L45="nio",0,IF(L45&gt;0,VLOOKUP(G45,'3-Productie normen'!A:L,VLOOKUP(L45,'3-Productie normen'!$B$32:$C$39,2,FALSE),FALSE)))</f>
        <v>0</v>
      </c>
      <c r="Q45" s="356">
        <f t="shared" si="4"/>
        <v>0</v>
      </c>
      <c r="R45" s="357" t="str">
        <f>VLOOKUP(G45,'3-Productie normen'!A:N,14,FALSE)</f>
        <v>B</v>
      </c>
      <c r="S45" s="357"/>
      <c r="U45" s="358">
        <f t="shared" si="5"/>
        <v>7548</v>
      </c>
    </row>
    <row r="46" spans="1:21" ht="14.1" customHeight="1">
      <c r="A46" s="75">
        <v>46</v>
      </c>
      <c r="B46" s="497" t="s">
        <v>464</v>
      </c>
      <c r="C46" s="320" t="s">
        <v>465</v>
      </c>
      <c r="D46" s="505" t="s">
        <v>94</v>
      </c>
      <c r="E46" s="506" t="s">
        <v>304</v>
      </c>
      <c r="F46" s="505" t="s">
        <v>300</v>
      </c>
      <c r="G46" s="72" t="s">
        <v>499</v>
      </c>
      <c r="H46" s="505" t="s">
        <v>268</v>
      </c>
      <c r="I46" s="508" t="s">
        <v>98</v>
      </c>
      <c r="J46" s="507">
        <v>21.5</v>
      </c>
      <c r="K46" s="355">
        <f t="shared" si="3"/>
        <v>255</v>
      </c>
      <c r="L46" s="263">
        <v>255</v>
      </c>
      <c r="M46" s="263"/>
      <c r="N46" s="262" t="e">
        <f>IF(L46="nio",0,IF(L46&gt;0,L46*J46/P46,0))*VLOOKUP(B46,'2-Kosten per locatie'!$A$14:$C$23,3,FALSE)</f>
        <v>#DIV/0!</v>
      </c>
      <c r="O46" s="262">
        <f>IF(M46&gt;0,M46*J46/Q46,0)*VLOOKUP(B46,'2-Kosten per locatie'!$A$14:$C$23,3,FALSE)</f>
        <v>0</v>
      </c>
      <c r="P46" s="356">
        <f>IF(L46="nio",0,IF(L46&gt;0,VLOOKUP(G46,'3-Productie normen'!A:L,VLOOKUP(L46,'3-Productie normen'!$B$32:$C$39,2,FALSE),FALSE)))</f>
        <v>0</v>
      </c>
      <c r="Q46" s="356">
        <f t="shared" si="4"/>
        <v>0</v>
      </c>
      <c r="R46" s="357" t="str">
        <f>VLOOKUP(G46,'3-Productie normen'!A:N,14,FALSE)</f>
        <v>B</v>
      </c>
      <c r="S46" s="357"/>
      <c r="U46" s="358">
        <f t="shared" si="5"/>
        <v>5482.5</v>
      </c>
    </row>
    <row r="47" spans="1:21" ht="14.1" customHeight="1">
      <c r="A47" s="75">
        <v>47</v>
      </c>
      <c r="B47" s="497" t="s">
        <v>464</v>
      </c>
      <c r="C47" s="320" t="s">
        <v>465</v>
      </c>
      <c r="D47" s="505" t="s">
        <v>94</v>
      </c>
      <c r="E47" s="506" t="s">
        <v>305</v>
      </c>
      <c r="F47" s="505" t="s">
        <v>300</v>
      </c>
      <c r="G47" s="72" t="s">
        <v>499</v>
      </c>
      <c r="H47" s="505" t="s">
        <v>268</v>
      </c>
      <c r="I47" s="508" t="s">
        <v>98</v>
      </c>
      <c r="J47" s="507">
        <v>18.3</v>
      </c>
      <c r="K47" s="355">
        <f t="shared" si="3"/>
        <v>255</v>
      </c>
      <c r="L47" s="263">
        <v>255</v>
      </c>
      <c r="M47" s="263"/>
      <c r="N47" s="262" t="e">
        <f>IF(L47="nio",0,IF(L47&gt;0,L47*J47/P47,0))*VLOOKUP(B47,'2-Kosten per locatie'!$A$14:$C$23,3,FALSE)</f>
        <v>#DIV/0!</v>
      </c>
      <c r="O47" s="262">
        <f>IF(M47&gt;0,M47*J47/Q47,0)*VLOOKUP(B47,'2-Kosten per locatie'!$A$14:$C$23,3,FALSE)</f>
        <v>0</v>
      </c>
      <c r="P47" s="356">
        <f>IF(L47="nio",0,IF(L47&gt;0,VLOOKUP(G47,'3-Productie normen'!A:L,VLOOKUP(L47,'3-Productie normen'!$B$32:$C$39,2,FALSE),FALSE)))</f>
        <v>0</v>
      </c>
      <c r="Q47" s="356">
        <f t="shared" si="4"/>
        <v>0</v>
      </c>
      <c r="R47" s="357" t="str">
        <f>VLOOKUP(G47,'3-Productie normen'!A:N,14,FALSE)</f>
        <v>B</v>
      </c>
      <c r="S47" s="357"/>
      <c r="U47" s="358">
        <f t="shared" si="5"/>
        <v>4666.5</v>
      </c>
    </row>
    <row r="48" spans="1:21" ht="14.1" customHeight="1">
      <c r="A48" s="75">
        <v>48</v>
      </c>
      <c r="B48" s="497" t="s">
        <v>464</v>
      </c>
      <c r="C48" s="320" t="s">
        <v>465</v>
      </c>
      <c r="D48" s="505" t="s">
        <v>94</v>
      </c>
      <c r="E48" s="506" t="s">
        <v>306</v>
      </c>
      <c r="F48" s="505" t="s">
        <v>300</v>
      </c>
      <c r="G48" s="72" t="s">
        <v>499</v>
      </c>
      <c r="H48" s="505" t="s">
        <v>268</v>
      </c>
      <c r="I48" s="508" t="s">
        <v>98</v>
      </c>
      <c r="J48" s="507">
        <v>25</v>
      </c>
      <c r="K48" s="355">
        <f t="shared" si="3"/>
        <v>255</v>
      </c>
      <c r="L48" s="263">
        <v>255</v>
      </c>
      <c r="M48" s="263"/>
      <c r="N48" s="262" t="e">
        <f>IF(L48="nio",0,IF(L48&gt;0,L48*J48/P48,0))*VLOOKUP(B48,'2-Kosten per locatie'!$A$14:$C$23,3,FALSE)</f>
        <v>#DIV/0!</v>
      </c>
      <c r="O48" s="262">
        <f>IF(M48&gt;0,M48*J48/Q48,0)*VLOOKUP(B48,'2-Kosten per locatie'!$A$14:$C$23,3,FALSE)</f>
        <v>0</v>
      </c>
      <c r="P48" s="356">
        <f>IF(L48="nio",0,IF(L48&gt;0,VLOOKUP(G48,'3-Productie normen'!A:L,VLOOKUP(L48,'3-Productie normen'!$B$32:$C$39,2,FALSE),FALSE)))</f>
        <v>0</v>
      </c>
      <c r="Q48" s="356">
        <f t="shared" si="4"/>
        <v>0</v>
      </c>
      <c r="R48" s="357" t="str">
        <f>VLOOKUP(G48,'3-Productie normen'!A:N,14,FALSE)</f>
        <v>B</v>
      </c>
      <c r="S48" s="357"/>
      <c r="U48" s="358">
        <f t="shared" si="5"/>
        <v>6375</v>
      </c>
    </row>
    <row r="49" spans="1:21" ht="14.1" customHeight="1">
      <c r="A49" s="75">
        <v>49</v>
      </c>
      <c r="B49" s="497" t="s">
        <v>464</v>
      </c>
      <c r="C49" s="320" t="s">
        <v>465</v>
      </c>
      <c r="D49" s="505" t="s">
        <v>94</v>
      </c>
      <c r="E49" s="506" t="s">
        <v>307</v>
      </c>
      <c r="F49" s="505" t="s">
        <v>257</v>
      </c>
      <c r="G49" s="72" t="s">
        <v>60</v>
      </c>
      <c r="H49" s="505" t="s">
        <v>461</v>
      </c>
      <c r="I49" s="497" t="s">
        <v>95</v>
      </c>
      <c r="J49" s="507">
        <v>63.75</v>
      </c>
      <c r="K49" s="355">
        <f t="shared" si="3"/>
        <v>255</v>
      </c>
      <c r="L49" s="263">
        <v>255</v>
      </c>
      <c r="M49" s="263"/>
      <c r="N49" s="262" t="e">
        <f>IF(L49="nio",0,IF(L49&gt;0,L49*J49/P49,0))*VLOOKUP(B49,'2-Kosten per locatie'!$A$14:$C$23,3,FALSE)</f>
        <v>#DIV/0!</v>
      </c>
      <c r="O49" s="262">
        <f>IF(M49&gt;0,M49*J49/Q49,0)*VLOOKUP(B49,'2-Kosten per locatie'!$A$14:$C$23,3,FALSE)</f>
        <v>0</v>
      </c>
      <c r="P49" s="356">
        <f>IF(L49="nio",0,IF(L49&gt;0,VLOOKUP(G49,'3-Productie normen'!A:L,VLOOKUP(L49,'3-Productie normen'!$B$32:$C$39,2,FALSE),FALSE)))</f>
        <v>0</v>
      </c>
      <c r="Q49" s="356">
        <f t="shared" si="4"/>
        <v>0</v>
      </c>
      <c r="R49" s="357" t="str">
        <f>VLOOKUP(G49,'3-Productie normen'!A:N,14,FALSE)</f>
        <v>V</v>
      </c>
      <c r="S49" s="357"/>
      <c r="U49" s="358">
        <f t="shared" si="5"/>
        <v>16256.25</v>
      </c>
    </row>
    <row r="50" spans="1:21" ht="14.1" customHeight="1">
      <c r="A50" s="75">
        <v>50</v>
      </c>
      <c r="B50" s="497" t="s">
        <v>464</v>
      </c>
      <c r="C50" s="320" t="s">
        <v>465</v>
      </c>
      <c r="D50" s="505" t="s">
        <v>94</v>
      </c>
      <c r="E50" s="506" t="s">
        <v>307</v>
      </c>
      <c r="F50" s="505" t="s">
        <v>257</v>
      </c>
      <c r="G50" s="72" t="s">
        <v>60</v>
      </c>
      <c r="H50" s="505" t="s">
        <v>269</v>
      </c>
      <c r="I50" s="497" t="s">
        <v>99</v>
      </c>
      <c r="J50" s="507">
        <v>16.75</v>
      </c>
      <c r="K50" s="355">
        <f t="shared" si="3"/>
        <v>255</v>
      </c>
      <c r="L50" s="263">
        <v>255</v>
      </c>
      <c r="M50" s="263"/>
      <c r="N50" s="262" t="e">
        <f>IF(L50="nio",0,IF(L50&gt;0,L50*J50/P50,0))*VLOOKUP(B50,'2-Kosten per locatie'!$A$14:$C$23,3,FALSE)</f>
        <v>#DIV/0!</v>
      </c>
      <c r="O50" s="262">
        <f>IF(M50&gt;0,M50*J50/Q50,0)*VLOOKUP(B50,'2-Kosten per locatie'!$A$14:$C$23,3,FALSE)</f>
        <v>0</v>
      </c>
      <c r="P50" s="356">
        <f>IF(L50="nio",0,IF(L50&gt;0,VLOOKUP(G50,'3-Productie normen'!A:L,VLOOKUP(L50,'3-Productie normen'!$B$32:$C$39,2,FALSE),FALSE)))</f>
        <v>0</v>
      </c>
      <c r="Q50" s="356">
        <f t="shared" si="4"/>
        <v>0</v>
      </c>
      <c r="R50" s="357" t="str">
        <f>VLOOKUP(G50,'3-Productie normen'!A:N,14,FALSE)</f>
        <v>V</v>
      </c>
      <c r="S50" s="357"/>
      <c r="U50" s="358">
        <f t="shared" si="5"/>
        <v>4271.25</v>
      </c>
    </row>
    <row r="51" spans="1:21" ht="14.1" customHeight="1">
      <c r="A51" s="75">
        <v>51</v>
      </c>
      <c r="B51" s="497" t="s">
        <v>464</v>
      </c>
      <c r="C51" s="320" t="s">
        <v>465</v>
      </c>
      <c r="D51" s="505" t="s">
        <v>94</v>
      </c>
      <c r="E51" s="506" t="s">
        <v>308</v>
      </c>
      <c r="F51" s="505" t="s">
        <v>300</v>
      </c>
      <c r="G51" s="72" t="s">
        <v>499</v>
      </c>
      <c r="H51" s="505" t="s">
        <v>268</v>
      </c>
      <c r="I51" s="508" t="s">
        <v>98</v>
      </c>
      <c r="J51" s="507">
        <v>25</v>
      </c>
      <c r="K51" s="355">
        <f t="shared" si="3"/>
        <v>255</v>
      </c>
      <c r="L51" s="263">
        <v>255</v>
      </c>
      <c r="M51" s="263"/>
      <c r="N51" s="262" t="e">
        <f>IF(L51="nio",0,IF(L51&gt;0,L51*J51/P51,0))*VLOOKUP(B51,'2-Kosten per locatie'!$A$14:$C$23,3,FALSE)</f>
        <v>#DIV/0!</v>
      </c>
      <c r="O51" s="262">
        <f>IF(M51&gt;0,M51*J51/Q51,0)*VLOOKUP(B51,'2-Kosten per locatie'!$A$14:$C$23,3,FALSE)</f>
        <v>0</v>
      </c>
      <c r="P51" s="356">
        <f>IF(L51="nio",0,IF(L51&gt;0,VLOOKUP(G51,'3-Productie normen'!A:L,VLOOKUP(L51,'3-Productie normen'!$B$32:$C$39,2,FALSE),FALSE)))</f>
        <v>0</v>
      </c>
      <c r="Q51" s="356">
        <f t="shared" si="4"/>
        <v>0</v>
      </c>
      <c r="R51" s="357" t="str">
        <f>VLOOKUP(G51,'3-Productie normen'!A:N,14,FALSE)</f>
        <v>B</v>
      </c>
      <c r="S51" s="357"/>
      <c r="U51" s="358">
        <f t="shared" si="5"/>
        <v>6375</v>
      </c>
    </row>
    <row r="52" spans="1:21" ht="14.1" customHeight="1">
      <c r="A52" s="75">
        <v>52</v>
      </c>
      <c r="B52" s="497" t="s">
        <v>464</v>
      </c>
      <c r="C52" s="320" t="s">
        <v>465</v>
      </c>
      <c r="D52" s="505" t="s">
        <v>94</v>
      </c>
      <c r="E52" s="509" t="s">
        <v>309</v>
      </c>
      <c r="F52" s="510" t="s">
        <v>300</v>
      </c>
      <c r="G52" s="511" t="s">
        <v>499</v>
      </c>
      <c r="H52" s="505" t="s">
        <v>268</v>
      </c>
      <c r="I52" s="508" t="s">
        <v>98</v>
      </c>
      <c r="J52" s="507">
        <v>25</v>
      </c>
      <c r="K52" s="355">
        <f t="shared" si="3"/>
        <v>255</v>
      </c>
      <c r="L52" s="263">
        <v>255</v>
      </c>
      <c r="M52" s="263"/>
      <c r="N52" s="262" t="e">
        <f>IF(L52="nio",0,IF(L52&gt;0,L52*J52/P52,0))*VLOOKUP(B52,'2-Kosten per locatie'!$A$14:$C$23,3,FALSE)</f>
        <v>#DIV/0!</v>
      </c>
      <c r="O52" s="262">
        <f>IF(M52&gt;0,M52*J52/Q52,0)*VLOOKUP(B52,'2-Kosten per locatie'!$A$14:$C$23,3,FALSE)</f>
        <v>0</v>
      </c>
      <c r="P52" s="356">
        <f>IF(L52="nio",0,IF(L52&gt;0,VLOOKUP(G52,'3-Productie normen'!A:L,VLOOKUP(L52,'3-Productie normen'!$B$32:$C$39,2,FALSE),FALSE)))</f>
        <v>0</v>
      </c>
      <c r="Q52" s="356">
        <f t="shared" si="4"/>
        <v>0</v>
      </c>
      <c r="R52" s="357" t="str">
        <f>VLOOKUP(G52,'3-Productie normen'!A:N,14,FALSE)</f>
        <v>B</v>
      </c>
      <c r="S52" s="357"/>
      <c r="U52" s="358">
        <f t="shared" si="5"/>
        <v>6375</v>
      </c>
    </row>
    <row r="53" spans="1:21" ht="14.1" customHeight="1">
      <c r="A53" s="75">
        <v>53</v>
      </c>
      <c r="B53" s="497" t="s">
        <v>464</v>
      </c>
      <c r="C53" s="320" t="s">
        <v>465</v>
      </c>
      <c r="D53" s="505" t="s">
        <v>94</v>
      </c>
      <c r="E53" s="506" t="s">
        <v>310</v>
      </c>
      <c r="F53" s="505" t="s">
        <v>300</v>
      </c>
      <c r="G53" s="72" t="s">
        <v>499</v>
      </c>
      <c r="H53" s="505" t="s">
        <v>268</v>
      </c>
      <c r="I53" s="508" t="s">
        <v>98</v>
      </c>
      <c r="J53" s="507">
        <v>35.6</v>
      </c>
      <c r="K53" s="355">
        <f t="shared" si="3"/>
        <v>255</v>
      </c>
      <c r="L53" s="263">
        <v>255</v>
      </c>
      <c r="M53" s="263"/>
      <c r="N53" s="262" t="e">
        <f>IF(L53="nio",0,IF(L53&gt;0,L53*J53/P53,0))*VLOOKUP(B53,'2-Kosten per locatie'!$A$14:$C$23,3,FALSE)</f>
        <v>#DIV/0!</v>
      </c>
      <c r="O53" s="262">
        <f>IF(M53&gt;0,M53*J53/Q53,0)*VLOOKUP(B53,'2-Kosten per locatie'!$A$14:$C$23,3,FALSE)</f>
        <v>0</v>
      </c>
      <c r="P53" s="356">
        <f>IF(L53="nio",0,IF(L53&gt;0,VLOOKUP(G53,'3-Productie normen'!A:L,VLOOKUP(L53,'3-Productie normen'!$B$32:$C$39,2,FALSE),FALSE)))</f>
        <v>0</v>
      </c>
      <c r="Q53" s="356">
        <f t="shared" si="4"/>
        <v>0</v>
      </c>
      <c r="R53" s="357" t="str">
        <f>VLOOKUP(G53,'3-Productie normen'!A:N,14,FALSE)</f>
        <v>B</v>
      </c>
      <c r="S53" s="357"/>
      <c r="U53" s="358">
        <f t="shared" si="5"/>
        <v>9078</v>
      </c>
    </row>
    <row r="54" spans="1:21" ht="14.1" customHeight="1">
      <c r="A54" s="75">
        <v>54</v>
      </c>
      <c r="B54" s="497" t="s">
        <v>464</v>
      </c>
      <c r="C54" s="320" t="s">
        <v>465</v>
      </c>
      <c r="D54" s="505" t="s">
        <v>94</v>
      </c>
      <c r="E54" s="506" t="s">
        <v>311</v>
      </c>
      <c r="F54" s="505" t="s">
        <v>490</v>
      </c>
      <c r="G54" s="72" t="s">
        <v>502</v>
      </c>
      <c r="H54" s="505" t="s">
        <v>460</v>
      </c>
      <c r="I54" s="497" t="s">
        <v>95</v>
      </c>
      <c r="J54" s="507">
        <v>4</v>
      </c>
      <c r="K54" s="355">
        <f t="shared" si="3"/>
        <v>4</v>
      </c>
      <c r="L54" s="263">
        <v>4</v>
      </c>
      <c r="M54" s="263"/>
      <c r="N54" s="262" t="e">
        <f>IF(L54="nio",0,IF(L54&gt;0,L54*J54/P54,0))*VLOOKUP(B54,'2-Kosten per locatie'!$A$14:$C$23,3,FALSE)</f>
        <v>#DIV/0!</v>
      </c>
      <c r="O54" s="262">
        <f>IF(M54&gt;0,M54*J54/Q54,0)*VLOOKUP(B54,'2-Kosten per locatie'!$A$14:$C$23,3,FALSE)</f>
        <v>0</v>
      </c>
      <c r="P54" s="356">
        <f>IF(L54="nio",0,IF(L54&gt;0,VLOOKUP(G54,'3-Productie normen'!A:L,VLOOKUP(L54,'3-Productie normen'!$B$32:$C$39,2,FALSE),FALSE)))</f>
        <v>0</v>
      </c>
      <c r="Q54" s="356">
        <f t="shared" si="4"/>
        <v>0</v>
      </c>
      <c r="R54" s="357" t="str">
        <f>VLOOKUP(G54,'3-Productie normen'!A:N,14,FALSE)</f>
        <v>V</v>
      </c>
      <c r="S54" s="357"/>
      <c r="U54" s="358">
        <f t="shared" si="5"/>
        <v>16</v>
      </c>
    </row>
    <row r="55" spans="1:21" ht="14.1" customHeight="1">
      <c r="A55" s="75">
        <v>55</v>
      </c>
      <c r="B55" s="497" t="s">
        <v>464</v>
      </c>
      <c r="C55" s="320" t="s">
        <v>465</v>
      </c>
      <c r="D55" s="505" t="s">
        <v>94</v>
      </c>
      <c r="E55" s="506" t="s">
        <v>472</v>
      </c>
      <c r="F55" s="505" t="s">
        <v>491</v>
      </c>
      <c r="G55" s="72" t="s">
        <v>501</v>
      </c>
      <c r="H55" s="505" t="s">
        <v>269</v>
      </c>
      <c r="I55" s="497" t="s">
        <v>96</v>
      </c>
      <c r="J55" s="507">
        <v>10.4</v>
      </c>
      <c r="K55" s="355">
        <f t="shared" si="3"/>
        <v>255</v>
      </c>
      <c r="L55" s="263">
        <v>255</v>
      </c>
      <c r="M55" s="263"/>
      <c r="N55" s="262" t="e">
        <f>IF(L55="nio",0,IF(L55&gt;0,L55*J55/P55,0))*VLOOKUP(B55,'2-Kosten per locatie'!$A$14:$C$23,3,FALSE)</f>
        <v>#DIV/0!</v>
      </c>
      <c r="O55" s="262">
        <f>IF(M55&gt;0,M55*J55/Q55,0)*VLOOKUP(B55,'2-Kosten per locatie'!$A$14:$C$23,3,FALSE)</f>
        <v>0</v>
      </c>
      <c r="P55" s="356">
        <f>IF(L55="nio",0,IF(L55&gt;0,VLOOKUP(G55,'3-Productie normen'!A:L,VLOOKUP(L55,'3-Productie normen'!$B$32:$C$39,2,FALSE),FALSE)))</f>
        <v>0</v>
      </c>
      <c r="Q55" s="356">
        <f t="shared" si="4"/>
        <v>0</v>
      </c>
      <c r="R55" s="357" t="str">
        <f>VLOOKUP(G55,'3-Productie normen'!A:N,14,FALSE)</f>
        <v>S</v>
      </c>
      <c r="S55" s="357"/>
      <c r="U55" s="358">
        <f t="shared" si="5"/>
        <v>2652</v>
      </c>
    </row>
    <row r="56" spans="1:21" ht="14.1" customHeight="1">
      <c r="A56" s="75">
        <v>56</v>
      </c>
      <c r="B56" s="497" t="s">
        <v>464</v>
      </c>
      <c r="C56" s="320" t="s">
        <v>465</v>
      </c>
      <c r="D56" s="505" t="s">
        <v>94</v>
      </c>
      <c r="E56" s="506" t="s">
        <v>313</v>
      </c>
      <c r="F56" s="505" t="s">
        <v>259</v>
      </c>
      <c r="G56" s="72" t="s">
        <v>58</v>
      </c>
      <c r="H56" s="505" t="s">
        <v>269</v>
      </c>
      <c r="I56" s="497" t="s">
        <v>96</v>
      </c>
      <c r="J56" s="507">
        <v>1</v>
      </c>
      <c r="K56" s="355">
        <f t="shared" si="3"/>
        <v>255</v>
      </c>
      <c r="L56" s="263">
        <v>255</v>
      </c>
      <c r="M56" s="263"/>
      <c r="N56" s="262" t="e">
        <f>IF(L56="nio",0,IF(L56&gt;0,L56*J56/P56,0))*VLOOKUP(B56,'2-Kosten per locatie'!$A$14:$C$23,3,FALSE)</f>
        <v>#DIV/0!</v>
      </c>
      <c r="O56" s="262">
        <f>IF(M56&gt;0,M56*J56/Q56,0)*VLOOKUP(B56,'2-Kosten per locatie'!$A$14:$C$23,3,FALSE)</f>
        <v>0</v>
      </c>
      <c r="P56" s="356">
        <f>IF(L56="nio",0,IF(L56&gt;0,VLOOKUP(G56,'3-Productie normen'!A:L,VLOOKUP(L56,'3-Productie normen'!$B$32:$C$39,2,FALSE),FALSE)))</f>
        <v>0</v>
      </c>
      <c r="Q56" s="356">
        <f t="shared" si="4"/>
        <v>0</v>
      </c>
      <c r="R56" s="357" t="str">
        <f>VLOOKUP(G56,'3-Productie normen'!A:N,14,FALSE)</f>
        <v>S</v>
      </c>
      <c r="S56" s="357"/>
      <c r="U56" s="358">
        <f t="shared" si="5"/>
        <v>255</v>
      </c>
    </row>
    <row r="57" spans="1:21" ht="14.1" customHeight="1">
      <c r="A57" s="75">
        <v>57</v>
      </c>
      <c r="B57" s="497" t="s">
        <v>464</v>
      </c>
      <c r="C57" s="320" t="s">
        <v>465</v>
      </c>
      <c r="D57" s="505" t="s">
        <v>94</v>
      </c>
      <c r="E57" s="506" t="s">
        <v>314</v>
      </c>
      <c r="F57" s="505" t="s">
        <v>259</v>
      </c>
      <c r="G57" s="72" t="s">
        <v>58</v>
      </c>
      <c r="H57" s="505" t="s">
        <v>269</v>
      </c>
      <c r="I57" s="497" t="s">
        <v>96</v>
      </c>
      <c r="J57" s="507">
        <v>1.1000000000000001</v>
      </c>
      <c r="K57" s="355">
        <f t="shared" si="3"/>
        <v>255</v>
      </c>
      <c r="L57" s="263">
        <v>255</v>
      </c>
      <c r="M57" s="263"/>
      <c r="N57" s="262" t="e">
        <f>IF(L57="nio",0,IF(L57&gt;0,L57*J57/P57,0))*VLOOKUP(B57,'2-Kosten per locatie'!$A$14:$C$23,3,FALSE)</f>
        <v>#DIV/0!</v>
      </c>
      <c r="O57" s="262">
        <f>IF(M57&gt;0,M57*J57/Q57,0)*VLOOKUP(B57,'2-Kosten per locatie'!$A$14:$C$23,3,FALSE)</f>
        <v>0</v>
      </c>
      <c r="P57" s="356">
        <f>IF(L57="nio",0,IF(L57&gt;0,VLOOKUP(G57,'3-Productie normen'!A:L,VLOOKUP(L57,'3-Productie normen'!$B$32:$C$39,2,FALSE),FALSE)))</f>
        <v>0</v>
      </c>
      <c r="Q57" s="356">
        <f t="shared" si="4"/>
        <v>0</v>
      </c>
      <c r="R57" s="357" t="str">
        <f>VLOOKUP(G57,'3-Productie normen'!A:N,14,FALSE)</f>
        <v>S</v>
      </c>
      <c r="S57" s="357"/>
      <c r="U57" s="358">
        <f t="shared" si="5"/>
        <v>280.5</v>
      </c>
    </row>
    <row r="58" spans="1:21" ht="14.1" customHeight="1">
      <c r="A58" s="75">
        <v>58</v>
      </c>
      <c r="B58" s="497" t="s">
        <v>464</v>
      </c>
      <c r="C58" s="320" t="s">
        <v>465</v>
      </c>
      <c r="D58" s="505" t="s">
        <v>94</v>
      </c>
      <c r="E58" s="506" t="s">
        <v>315</v>
      </c>
      <c r="F58" s="505" t="s">
        <v>259</v>
      </c>
      <c r="G58" s="72" t="s">
        <v>58</v>
      </c>
      <c r="H58" s="505" t="s">
        <v>269</v>
      </c>
      <c r="I58" s="497" t="s">
        <v>96</v>
      </c>
      <c r="J58" s="507">
        <v>1</v>
      </c>
      <c r="K58" s="355">
        <f t="shared" si="3"/>
        <v>255</v>
      </c>
      <c r="L58" s="263">
        <v>255</v>
      </c>
      <c r="M58" s="263"/>
      <c r="N58" s="262" t="e">
        <f>IF(L58="nio",0,IF(L58&gt;0,L58*J58/P58,0))*VLOOKUP(B58,'2-Kosten per locatie'!$A$14:$C$23,3,FALSE)</f>
        <v>#DIV/0!</v>
      </c>
      <c r="O58" s="262">
        <f>IF(M58&gt;0,M58*J58/Q58,0)*VLOOKUP(B58,'2-Kosten per locatie'!$A$14:$C$23,3,FALSE)</f>
        <v>0</v>
      </c>
      <c r="P58" s="356">
        <f>IF(L58="nio",0,IF(L58&gt;0,VLOOKUP(G58,'3-Productie normen'!A:L,VLOOKUP(L58,'3-Productie normen'!$B$32:$C$39,2,FALSE),FALSE)))</f>
        <v>0</v>
      </c>
      <c r="Q58" s="356">
        <f t="shared" si="4"/>
        <v>0</v>
      </c>
      <c r="R58" s="357" t="str">
        <f>VLOOKUP(G58,'3-Productie normen'!A:N,14,FALSE)</f>
        <v>S</v>
      </c>
      <c r="S58" s="357"/>
      <c r="U58" s="358">
        <f t="shared" si="5"/>
        <v>255</v>
      </c>
    </row>
    <row r="59" spans="1:21" ht="14.1" customHeight="1">
      <c r="A59" s="75">
        <v>59</v>
      </c>
      <c r="B59" s="497" t="s">
        <v>464</v>
      </c>
      <c r="C59" s="320" t="s">
        <v>465</v>
      </c>
      <c r="D59" s="505" t="s">
        <v>94</v>
      </c>
      <c r="E59" s="506" t="s">
        <v>316</v>
      </c>
      <c r="F59" s="505" t="s">
        <v>259</v>
      </c>
      <c r="G59" s="72" t="s">
        <v>58</v>
      </c>
      <c r="H59" s="505" t="s">
        <v>269</v>
      </c>
      <c r="I59" s="497" t="s">
        <v>96</v>
      </c>
      <c r="J59" s="507">
        <v>1.8</v>
      </c>
      <c r="K59" s="355">
        <f t="shared" ref="K59:K122" si="6">SUM(L59:M59)</f>
        <v>255</v>
      </c>
      <c r="L59" s="263">
        <v>255</v>
      </c>
      <c r="M59" s="263"/>
      <c r="N59" s="262" t="e">
        <f>IF(L59="nio",0,IF(L59&gt;0,L59*J59/P59,0))*VLOOKUP(B59,'2-Kosten per locatie'!$A$14:$C$23,3,FALSE)</f>
        <v>#DIV/0!</v>
      </c>
      <c r="O59" s="262">
        <f>IF(M59&gt;0,M59*J59/Q59,0)*VLOOKUP(B59,'2-Kosten per locatie'!$A$14:$C$23,3,FALSE)</f>
        <v>0</v>
      </c>
      <c r="P59" s="356">
        <f>IF(L59="nio",0,IF(L59&gt;0,VLOOKUP(G59,'3-Productie normen'!A:L,VLOOKUP(L59,'3-Productie normen'!$B$32:$C$39,2,FALSE),FALSE)))</f>
        <v>0</v>
      </c>
      <c r="Q59" s="356">
        <f t="shared" ref="Q59:Q104" si="7">IF(M59&gt;0,P59*$Q$8,0)</f>
        <v>0</v>
      </c>
      <c r="R59" s="357" t="str">
        <f>VLOOKUP(G59,'3-Productie normen'!A:N,14,FALSE)</f>
        <v>S</v>
      </c>
      <c r="S59" s="357"/>
      <c r="U59" s="358">
        <f t="shared" ref="U59:U104" si="8">K59*J59</f>
        <v>459</v>
      </c>
    </row>
    <row r="60" spans="1:21" ht="14.1" customHeight="1">
      <c r="A60" s="75">
        <v>60</v>
      </c>
      <c r="B60" s="497" t="s">
        <v>464</v>
      </c>
      <c r="C60" s="320" t="s">
        <v>465</v>
      </c>
      <c r="D60" s="505" t="s">
        <v>94</v>
      </c>
      <c r="E60" s="506" t="s">
        <v>473</v>
      </c>
      <c r="F60" s="505" t="s">
        <v>490</v>
      </c>
      <c r="G60" s="72" t="s">
        <v>502</v>
      </c>
      <c r="H60" s="505" t="s">
        <v>268</v>
      </c>
      <c r="I60" s="508" t="s">
        <v>98</v>
      </c>
      <c r="J60" s="507">
        <v>18.5</v>
      </c>
      <c r="K60" s="355">
        <f t="shared" si="6"/>
        <v>4</v>
      </c>
      <c r="L60" s="263">
        <v>4</v>
      </c>
      <c r="M60" s="263"/>
      <c r="N60" s="262" t="e">
        <f>IF(L60="nio",0,IF(L60&gt;0,L60*J60/P60,0))*VLOOKUP(B60,'2-Kosten per locatie'!$A$14:$C$23,3,FALSE)</f>
        <v>#DIV/0!</v>
      </c>
      <c r="O60" s="262">
        <f>IF(M60&gt;0,M60*J60/Q60,0)*VLOOKUP(B60,'2-Kosten per locatie'!$A$14:$C$23,3,FALSE)</f>
        <v>0</v>
      </c>
      <c r="P60" s="356">
        <f>IF(L60="nio",0,IF(L60&gt;0,VLOOKUP(G60,'3-Productie normen'!A:L,VLOOKUP(L60,'3-Productie normen'!$B$32:$C$39,2,FALSE),FALSE)))</f>
        <v>0</v>
      </c>
      <c r="Q60" s="356">
        <f t="shared" si="7"/>
        <v>0</v>
      </c>
      <c r="R60" s="357" t="str">
        <f>VLOOKUP(G60,'3-Productie normen'!A:N,14,FALSE)</f>
        <v>V</v>
      </c>
      <c r="S60" s="357"/>
      <c r="U60" s="358">
        <f t="shared" si="8"/>
        <v>74</v>
      </c>
    </row>
    <row r="61" spans="1:21" ht="14.1" customHeight="1">
      <c r="A61" s="75">
        <v>61</v>
      </c>
      <c r="B61" s="497" t="s">
        <v>464</v>
      </c>
      <c r="C61" s="320" t="s">
        <v>465</v>
      </c>
      <c r="D61" s="505" t="s">
        <v>94</v>
      </c>
      <c r="E61" s="506" t="s">
        <v>317</v>
      </c>
      <c r="F61" s="505" t="s">
        <v>335</v>
      </c>
      <c r="G61" s="72" t="s">
        <v>62</v>
      </c>
      <c r="H61" s="505" t="s">
        <v>269</v>
      </c>
      <c r="I61" s="497" t="s">
        <v>99</v>
      </c>
      <c r="J61" s="507">
        <v>124.3</v>
      </c>
      <c r="K61" s="355">
        <f t="shared" si="6"/>
        <v>255</v>
      </c>
      <c r="L61" s="263">
        <v>255</v>
      </c>
      <c r="M61" s="263"/>
      <c r="N61" s="262" t="e">
        <f>IF(L61="nio",0,IF(L61&gt;0,L61*J61/P61,0))*VLOOKUP(B61,'2-Kosten per locatie'!$A$14:$C$23,3,FALSE)</f>
        <v>#DIV/0!</v>
      </c>
      <c r="O61" s="262">
        <f>IF(M61&gt;0,M61*J61/Q61,0)*VLOOKUP(B61,'2-Kosten per locatie'!$A$14:$C$23,3,FALSE)</f>
        <v>0</v>
      </c>
      <c r="P61" s="356">
        <f>IF(L61="nio",0,IF(L61&gt;0,VLOOKUP(G61,'3-Productie normen'!A:L,VLOOKUP(L61,'3-Productie normen'!$B$32:$C$39,2,FALSE),FALSE)))</f>
        <v>0</v>
      </c>
      <c r="Q61" s="356">
        <f t="shared" si="7"/>
        <v>0</v>
      </c>
      <c r="R61" s="357" t="str">
        <f>VLOOKUP(G61,'3-Productie normen'!A:N,14,FALSE)</f>
        <v>V</v>
      </c>
      <c r="S61" s="357"/>
      <c r="U61" s="358">
        <f t="shared" si="8"/>
        <v>31696.5</v>
      </c>
    </row>
    <row r="62" spans="1:21" ht="14.1" customHeight="1">
      <c r="A62" s="75">
        <v>62</v>
      </c>
      <c r="B62" s="497" t="s">
        <v>464</v>
      </c>
      <c r="C62" s="320" t="s">
        <v>465</v>
      </c>
      <c r="D62" s="505" t="s">
        <v>94</v>
      </c>
      <c r="E62" s="506" t="s">
        <v>318</v>
      </c>
      <c r="F62" s="505" t="s">
        <v>492</v>
      </c>
      <c r="G62" s="72" t="s">
        <v>500</v>
      </c>
      <c r="H62" s="505" t="s">
        <v>269</v>
      </c>
      <c r="I62" s="497" t="s">
        <v>99</v>
      </c>
      <c r="J62" s="507">
        <v>16</v>
      </c>
      <c r="K62" s="355">
        <f t="shared" si="6"/>
        <v>0</v>
      </c>
      <c r="L62" s="263" t="s">
        <v>463</v>
      </c>
      <c r="M62" s="263"/>
      <c r="N62" s="262">
        <f>IF(L62="nio",0,IF(L62&gt;0,L62*J62/P62,0))*VLOOKUP(B62,'2-Kosten per locatie'!$A$14:$C$23,3,FALSE)</f>
        <v>0</v>
      </c>
      <c r="O62" s="262">
        <f>IF(M62&gt;0,M62*J62/Q62,0)*VLOOKUP(B62,'2-Kosten per locatie'!$A$14:$C$23,3,FALSE)</f>
        <v>0</v>
      </c>
      <c r="P62" s="356">
        <f>IF(L62="nio",0,IF(L62&gt;0,VLOOKUP(G62,'3-Productie normen'!A:L,VLOOKUP(L62,'3-Productie normen'!$B$32:$C$39,2,FALSE),FALSE)))</f>
        <v>0</v>
      </c>
      <c r="Q62" s="356">
        <f t="shared" si="7"/>
        <v>0</v>
      </c>
      <c r="R62" s="357" t="str">
        <f>VLOOKUP(G62,'3-Productie normen'!A:N,14,FALSE)</f>
        <v>V</v>
      </c>
      <c r="S62" s="357"/>
      <c r="U62" s="358">
        <f t="shared" si="8"/>
        <v>0</v>
      </c>
    </row>
    <row r="63" spans="1:21" ht="14.1" customHeight="1">
      <c r="A63" s="75">
        <v>63</v>
      </c>
      <c r="B63" s="497" t="s">
        <v>464</v>
      </c>
      <c r="C63" s="320" t="s">
        <v>465</v>
      </c>
      <c r="D63" s="505" t="s">
        <v>94</v>
      </c>
      <c r="E63" s="506" t="s">
        <v>319</v>
      </c>
      <c r="F63" s="505" t="s">
        <v>493</v>
      </c>
      <c r="G63" s="72" t="s">
        <v>500</v>
      </c>
      <c r="H63" s="505" t="s">
        <v>269</v>
      </c>
      <c r="I63" s="497" t="s">
        <v>99</v>
      </c>
      <c r="J63" s="507">
        <v>7.3</v>
      </c>
      <c r="K63" s="355">
        <f t="shared" si="6"/>
        <v>0</v>
      </c>
      <c r="L63" s="263" t="s">
        <v>463</v>
      </c>
      <c r="M63" s="263"/>
      <c r="N63" s="262">
        <f>IF(L63="nio",0,IF(L63&gt;0,L63*J63/P63,0))*VLOOKUP(B63,'2-Kosten per locatie'!$A$14:$C$23,3,FALSE)</f>
        <v>0</v>
      </c>
      <c r="O63" s="262">
        <f>IF(M63&gt;0,M63*J63/Q63,0)*VLOOKUP(B63,'2-Kosten per locatie'!$A$14:$C$23,3,FALSE)</f>
        <v>0</v>
      </c>
      <c r="P63" s="356">
        <f>IF(L63="nio",0,IF(L63&gt;0,VLOOKUP(G63,'3-Productie normen'!A:L,VLOOKUP(L63,'3-Productie normen'!$B$32:$C$39,2,FALSE),FALSE)))</f>
        <v>0</v>
      </c>
      <c r="Q63" s="356">
        <f t="shared" si="7"/>
        <v>0</v>
      </c>
      <c r="R63" s="357" t="str">
        <f>VLOOKUP(G63,'3-Productie normen'!A:N,14,FALSE)</f>
        <v>V</v>
      </c>
      <c r="S63" s="357"/>
      <c r="U63" s="358">
        <f t="shared" si="8"/>
        <v>0</v>
      </c>
    </row>
    <row r="64" spans="1:21" ht="14.1" customHeight="1">
      <c r="A64" s="75">
        <v>64</v>
      </c>
      <c r="B64" s="497" t="s">
        <v>464</v>
      </c>
      <c r="C64" s="320" t="s">
        <v>465</v>
      </c>
      <c r="D64" s="505" t="s">
        <v>94</v>
      </c>
      <c r="E64" s="506" t="s">
        <v>321</v>
      </c>
      <c r="F64" s="505" t="s">
        <v>494</v>
      </c>
      <c r="G64" s="72" t="s">
        <v>60</v>
      </c>
      <c r="H64" s="505" t="s">
        <v>269</v>
      </c>
      <c r="I64" s="497" t="s">
        <v>99</v>
      </c>
      <c r="J64" s="507">
        <v>76.3</v>
      </c>
      <c r="K64" s="355">
        <f t="shared" si="6"/>
        <v>255</v>
      </c>
      <c r="L64" s="263">
        <v>255</v>
      </c>
      <c r="M64" s="263"/>
      <c r="N64" s="262" t="e">
        <f>IF(L64="nio",0,IF(L64&gt;0,L64*J64/P64,0))*VLOOKUP(B64,'2-Kosten per locatie'!$A$14:$C$23,3,FALSE)</f>
        <v>#DIV/0!</v>
      </c>
      <c r="O64" s="262">
        <f>IF(M64&gt;0,M64*J64/Q64,0)*VLOOKUP(B64,'2-Kosten per locatie'!$A$14:$C$23,3,FALSE)</f>
        <v>0</v>
      </c>
      <c r="P64" s="356">
        <f>IF(L64="nio",0,IF(L64&gt;0,VLOOKUP(G64,'3-Productie normen'!A:L,VLOOKUP(L64,'3-Productie normen'!$B$32:$C$39,2,FALSE),FALSE)))</f>
        <v>0</v>
      </c>
      <c r="Q64" s="356">
        <f t="shared" si="7"/>
        <v>0</v>
      </c>
      <c r="R64" s="357" t="str">
        <f>VLOOKUP(G64,'3-Productie normen'!A:N,14,FALSE)</f>
        <v>V</v>
      </c>
      <c r="S64" s="357"/>
      <c r="U64" s="358">
        <f t="shared" si="8"/>
        <v>19456.5</v>
      </c>
    </row>
    <row r="65" spans="1:21" ht="14.1" customHeight="1">
      <c r="A65" s="75">
        <v>65</v>
      </c>
      <c r="B65" s="497" t="s">
        <v>464</v>
      </c>
      <c r="C65" s="320" t="s">
        <v>465</v>
      </c>
      <c r="D65" s="505" t="s">
        <v>94</v>
      </c>
      <c r="E65" s="506" t="s">
        <v>322</v>
      </c>
      <c r="F65" s="505" t="s">
        <v>260</v>
      </c>
      <c r="G65" s="320" t="s">
        <v>501</v>
      </c>
      <c r="H65" s="505" t="s">
        <v>269</v>
      </c>
      <c r="I65" s="497" t="s">
        <v>96</v>
      </c>
      <c r="J65" s="507">
        <v>23.3</v>
      </c>
      <c r="K65" s="355">
        <f t="shared" si="6"/>
        <v>255</v>
      </c>
      <c r="L65" s="263">
        <v>255</v>
      </c>
      <c r="M65" s="263"/>
      <c r="N65" s="262" t="e">
        <f>IF(L65="nio",0,IF(L65&gt;0,L65*J65/P65,0))*VLOOKUP(B65,'2-Kosten per locatie'!$A$14:$C$23,3,FALSE)</f>
        <v>#DIV/0!</v>
      </c>
      <c r="O65" s="262">
        <f>IF(M65&gt;0,M65*J65/Q65,0)*VLOOKUP(B65,'2-Kosten per locatie'!$A$14:$C$23,3,FALSE)</f>
        <v>0</v>
      </c>
      <c r="P65" s="356">
        <f>IF(L65="nio",0,IF(L65&gt;0,VLOOKUP(G65,'3-Productie normen'!A:L,VLOOKUP(L65,'3-Productie normen'!$B$32:$C$39,2,FALSE),FALSE)))</f>
        <v>0</v>
      </c>
      <c r="Q65" s="356">
        <f t="shared" si="7"/>
        <v>0</v>
      </c>
      <c r="R65" s="357" t="str">
        <f>VLOOKUP(G65,'3-Productie normen'!A:N,14,FALSE)</f>
        <v>S</v>
      </c>
      <c r="S65" s="357"/>
      <c r="U65" s="358">
        <f t="shared" si="8"/>
        <v>5941.5</v>
      </c>
    </row>
    <row r="66" spans="1:21" ht="14.1" customHeight="1">
      <c r="A66" s="75">
        <v>66</v>
      </c>
      <c r="B66" s="497" t="s">
        <v>464</v>
      </c>
      <c r="C66" s="320" t="s">
        <v>465</v>
      </c>
      <c r="D66" s="505" t="s">
        <v>94</v>
      </c>
      <c r="E66" s="506" t="s">
        <v>323</v>
      </c>
      <c r="F66" s="505" t="s">
        <v>495</v>
      </c>
      <c r="G66" s="72" t="s">
        <v>503</v>
      </c>
      <c r="H66" s="505" t="s">
        <v>269</v>
      </c>
      <c r="I66" s="497" t="s">
        <v>96</v>
      </c>
      <c r="J66" s="507">
        <v>3</v>
      </c>
      <c r="K66" s="355">
        <f t="shared" si="6"/>
        <v>255</v>
      </c>
      <c r="L66" s="263">
        <v>255</v>
      </c>
      <c r="M66" s="263"/>
      <c r="N66" s="262" t="e">
        <f>IF(L66="nio",0,IF(L66&gt;0,L66*J66/P66,0))*VLOOKUP(B66,'2-Kosten per locatie'!$A$14:$C$23,3,FALSE)</f>
        <v>#DIV/0!</v>
      </c>
      <c r="O66" s="262">
        <f>IF(M66&gt;0,M66*J66/Q66,0)*VLOOKUP(B66,'2-Kosten per locatie'!$A$14:$C$23,3,FALSE)</f>
        <v>0</v>
      </c>
      <c r="P66" s="356">
        <f>IF(L66="nio",0,IF(L66&gt;0,VLOOKUP(G66,'3-Productie normen'!A:L,VLOOKUP(L66,'3-Productie normen'!$B$32:$C$39,2,FALSE),FALSE)))</f>
        <v>0</v>
      </c>
      <c r="Q66" s="356">
        <f t="shared" si="7"/>
        <v>0</v>
      </c>
      <c r="R66" s="357" t="str">
        <f>VLOOKUP(G66,'3-Productie normen'!A:N,14,FALSE)</f>
        <v>S</v>
      </c>
      <c r="S66" s="357"/>
      <c r="U66" s="358">
        <f t="shared" si="8"/>
        <v>765</v>
      </c>
    </row>
    <row r="67" spans="1:21" ht="14.1" customHeight="1">
      <c r="A67" s="75">
        <v>67</v>
      </c>
      <c r="B67" s="497" t="s">
        <v>464</v>
      </c>
      <c r="C67" s="320" t="s">
        <v>465</v>
      </c>
      <c r="D67" s="505" t="s">
        <v>94</v>
      </c>
      <c r="E67" s="506" t="s">
        <v>325</v>
      </c>
      <c r="F67" s="505" t="s">
        <v>259</v>
      </c>
      <c r="G67" s="72" t="s">
        <v>58</v>
      </c>
      <c r="H67" s="505" t="s">
        <v>269</v>
      </c>
      <c r="I67" s="497" t="s">
        <v>96</v>
      </c>
      <c r="J67" s="507">
        <v>1.1000000000000001</v>
      </c>
      <c r="K67" s="355">
        <f t="shared" si="6"/>
        <v>255</v>
      </c>
      <c r="L67" s="263">
        <v>255</v>
      </c>
      <c r="M67" s="263"/>
      <c r="N67" s="262" t="e">
        <f>IF(L67="nio",0,IF(L67&gt;0,L67*J67/P67,0))*VLOOKUP(B67,'2-Kosten per locatie'!$A$14:$C$23,3,FALSE)</f>
        <v>#DIV/0!</v>
      </c>
      <c r="O67" s="262">
        <f>IF(M67&gt;0,M67*J67/Q67,0)*VLOOKUP(B67,'2-Kosten per locatie'!$A$14:$C$23,3,FALSE)</f>
        <v>0</v>
      </c>
      <c r="P67" s="356">
        <f>IF(L67="nio",0,IF(L67&gt;0,VLOOKUP(G67,'3-Productie normen'!A:L,VLOOKUP(L67,'3-Productie normen'!$B$32:$C$39,2,FALSE),FALSE)))</f>
        <v>0</v>
      </c>
      <c r="Q67" s="356">
        <f t="shared" si="7"/>
        <v>0</v>
      </c>
      <c r="R67" s="357" t="str">
        <f>VLOOKUP(G67,'3-Productie normen'!A:N,14,FALSE)</f>
        <v>S</v>
      </c>
      <c r="S67" s="357"/>
      <c r="U67" s="358">
        <f t="shared" si="8"/>
        <v>280.5</v>
      </c>
    </row>
    <row r="68" spans="1:21" ht="14.1" customHeight="1">
      <c r="A68" s="75">
        <v>68</v>
      </c>
      <c r="B68" s="497" t="s">
        <v>464</v>
      </c>
      <c r="C68" s="320" t="s">
        <v>465</v>
      </c>
      <c r="D68" s="505" t="s">
        <v>94</v>
      </c>
      <c r="E68" s="506" t="s">
        <v>326</v>
      </c>
      <c r="F68" s="505" t="s">
        <v>259</v>
      </c>
      <c r="G68" s="72" t="s">
        <v>58</v>
      </c>
      <c r="H68" s="505" t="s">
        <v>269</v>
      </c>
      <c r="I68" s="497" t="s">
        <v>96</v>
      </c>
      <c r="J68" s="507">
        <v>1</v>
      </c>
      <c r="K68" s="355">
        <f t="shared" si="6"/>
        <v>255</v>
      </c>
      <c r="L68" s="263">
        <v>255</v>
      </c>
      <c r="M68" s="263"/>
      <c r="N68" s="262" t="e">
        <f>IF(L68="nio",0,IF(L68&gt;0,L68*J68/P68,0))*VLOOKUP(B68,'2-Kosten per locatie'!$A$14:$C$23,3,FALSE)</f>
        <v>#DIV/0!</v>
      </c>
      <c r="O68" s="262">
        <f>IF(M68&gt;0,M68*J68/Q68,0)*VLOOKUP(B68,'2-Kosten per locatie'!$A$14:$C$23,3,FALSE)</f>
        <v>0</v>
      </c>
      <c r="P68" s="356">
        <f>IF(L68="nio",0,IF(L68&gt;0,VLOOKUP(G68,'3-Productie normen'!A:L,VLOOKUP(L68,'3-Productie normen'!$B$32:$C$39,2,FALSE),FALSE)))</f>
        <v>0</v>
      </c>
      <c r="Q68" s="356">
        <f t="shared" si="7"/>
        <v>0</v>
      </c>
      <c r="R68" s="357" t="str">
        <f>VLOOKUP(G68,'3-Productie normen'!A:N,14,FALSE)</f>
        <v>S</v>
      </c>
      <c r="S68" s="357"/>
      <c r="U68" s="358">
        <f t="shared" si="8"/>
        <v>255</v>
      </c>
    </row>
    <row r="69" spans="1:21" ht="14.1" customHeight="1">
      <c r="A69" s="75">
        <v>69</v>
      </c>
      <c r="B69" s="497" t="s">
        <v>464</v>
      </c>
      <c r="C69" s="320" t="s">
        <v>465</v>
      </c>
      <c r="D69" s="505" t="s">
        <v>94</v>
      </c>
      <c r="E69" s="506" t="s">
        <v>330</v>
      </c>
      <c r="F69" s="505" t="s">
        <v>259</v>
      </c>
      <c r="G69" s="72" t="s">
        <v>58</v>
      </c>
      <c r="H69" s="505" t="s">
        <v>269</v>
      </c>
      <c r="I69" s="497" t="s">
        <v>96</v>
      </c>
      <c r="J69" s="507">
        <v>5.2</v>
      </c>
      <c r="K69" s="355">
        <f t="shared" si="6"/>
        <v>255</v>
      </c>
      <c r="L69" s="263">
        <v>255</v>
      </c>
      <c r="M69" s="263"/>
      <c r="N69" s="262" t="e">
        <f>IF(L69="nio",0,IF(L69&gt;0,L69*J69/P69,0))*VLOOKUP(B69,'2-Kosten per locatie'!$A$14:$C$23,3,FALSE)</f>
        <v>#DIV/0!</v>
      </c>
      <c r="O69" s="262">
        <f>IF(M69&gt;0,M69*J69/Q69,0)*VLOOKUP(B69,'2-Kosten per locatie'!$A$14:$C$23,3,FALSE)</f>
        <v>0</v>
      </c>
      <c r="P69" s="356">
        <f>IF(L69="nio",0,IF(L69&gt;0,VLOOKUP(G69,'3-Productie normen'!A:L,VLOOKUP(L69,'3-Productie normen'!$B$32:$C$39,2,FALSE),FALSE)))</f>
        <v>0</v>
      </c>
      <c r="Q69" s="356">
        <f t="shared" si="7"/>
        <v>0</v>
      </c>
      <c r="R69" s="357" t="str">
        <f>VLOOKUP(G69,'3-Productie normen'!A:N,14,FALSE)</f>
        <v>S</v>
      </c>
      <c r="S69" s="357"/>
      <c r="U69" s="358">
        <f t="shared" si="8"/>
        <v>1326</v>
      </c>
    </row>
    <row r="70" spans="1:21" ht="14.1" customHeight="1">
      <c r="A70" s="75">
        <v>70</v>
      </c>
      <c r="B70" s="497" t="s">
        <v>464</v>
      </c>
      <c r="C70" s="320" t="s">
        <v>465</v>
      </c>
      <c r="D70" s="505" t="s">
        <v>94</v>
      </c>
      <c r="E70" s="506" t="s">
        <v>332</v>
      </c>
      <c r="F70" s="505" t="s">
        <v>259</v>
      </c>
      <c r="G70" s="72" t="s">
        <v>58</v>
      </c>
      <c r="H70" s="505" t="s">
        <v>269</v>
      </c>
      <c r="I70" s="497" t="s">
        <v>96</v>
      </c>
      <c r="J70" s="507">
        <v>3.6</v>
      </c>
      <c r="K70" s="355">
        <f t="shared" si="6"/>
        <v>255</v>
      </c>
      <c r="L70" s="263">
        <v>255</v>
      </c>
      <c r="M70" s="263"/>
      <c r="N70" s="262" t="e">
        <f>IF(L70="nio",0,IF(L70&gt;0,L70*J70/P70,0))*VLOOKUP(B70,'2-Kosten per locatie'!$A$14:$C$23,3,FALSE)</f>
        <v>#DIV/0!</v>
      </c>
      <c r="O70" s="262">
        <f>IF(M70&gt;0,M70*J70/Q70,0)*VLOOKUP(B70,'2-Kosten per locatie'!$A$14:$C$23,3,FALSE)</f>
        <v>0</v>
      </c>
      <c r="P70" s="356">
        <f>IF(L70="nio",0,IF(L70&gt;0,VLOOKUP(G70,'3-Productie normen'!A:L,VLOOKUP(L70,'3-Productie normen'!$B$32:$C$39,2,FALSE),FALSE)))</f>
        <v>0</v>
      </c>
      <c r="Q70" s="356">
        <f t="shared" si="7"/>
        <v>0</v>
      </c>
      <c r="R70" s="357" t="str">
        <f>VLOOKUP(G70,'3-Productie normen'!A:N,14,FALSE)</f>
        <v>S</v>
      </c>
      <c r="S70" s="357"/>
      <c r="U70" s="358">
        <f t="shared" si="8"/>
        <v>918</v>
      </c>
    </row>
    <row r="71" spans="1:21" ht="14.1" customHeight="1">
      <c r="A71" s="75">
        <v>71</v>
      </c>
      <c r="B71" s="497" t="s">
        <v>464</v>
      </c>
      <c r="C71" s="320" t="s">
        <v>465</v>
      </c>
      <c r="D71" s="505" t="s">
        <v>94</v>
      </c>
      <c r="E71" s="506" t="s">
        <v>474</v>
      </c>
      <c r="F71" s="505" t="s">
        <v>300</v>
      </c>
      <c r="G71" s="72" t="s">
        <v>499</v>
      </c>
      <c r="H71" s="505" t="s">
        <v>268</v>
      </c>
      <c r="I71" s="508" t="s">
        <v>98</v>
      </c>
      <c r="J71" s="507">
        <v>22</v>
      </c>
      <c r="K71" s="355">
        <f t="shared" si="6"/>
        <v>255</v>
      </c>
      <c r="L71" s="263">
        <v>255</v>
      </c>
      <c r="M71" s="263"/>
      <c r="N71" s="262" t="e">
        <f>IF(L71="nio",0,IF(L71&gt;0,L71*J71/P71,0))*VLOOKUP(B71,'2-Kosten per locatie'!$A$14:$C$23,3,FALSE)</f>
        <v>#DIV/0!</v>
      </c>
      <c r="O71" s="262">
        <f>IF(M71&gt;0,M71*J71/Q71,0)*VLOOKUP(B71,'2-Kosten per locatie'!$A$14:$C$23,3,FALSE)</f>
        <v>0</v>
      </c>
      <c r="P71" s="356">
        <f>IF(L71="nio",0,IF(L71&gt;0,VLOOKUP(G71,'3-Productie normen'!A:L,VLOOKUP(L71,'3-Productie normen'!$B$32:$C$39,2,FALSE),FALSE)))</f>
        <v>0</v>
      </c>
      <c r="Q71" s="356">
        <f t="shared" si="7"/>
        <v>0</v>
      </c>
      <c r="R71" s="357" t="str">
        <f>VLOOKUP(G71,'3-Productie normen'!A:N,14,FALSE)</f>
        <v>B</v>
      </c>
      <c r="S71" s="357"/>
      <c r="U71" s="358">
        <f t="shared" si="8"/>
        <v>5610</v>
      </c>
    </row>
    <row r="72" spans="1:21" ht="14.1" customHeight="1">
      <c r="A72" s="75">
        <v>72</v>
      </c>
      <c r="B72" s="497" t="s">
        <v>464</v>
      </c>
      <c r="C72" s="320" t="s">
        <v>465</v>
      </c>
      <c r="D72" s="505" t="s">
        <v>94</v>
      </c>
      <c r="E72" s="506" t="s">
        <v>328</v>
      </c>
      <c r="F72" s="505" t="s">
        <v>263</v>
      </c>
      <c r="G72" s="72" t="s">
        <v>502</v>
      </c>
      <c r="H72" s="505" t="s">
        <v>461</v>
      </c>
      <c r="I72" s="497" t="s">
        <v>95</v>
      </c>
      <c r="J72" s="507">
        <v>7.9</v>
      </c>
      <c r="K72" s="355">
        <f t="shared" si="6"/>
        <v>4</v>
      </c>
      <c r="L72" s="263">
        <v>4</v>
      </c>
      <c r="M72" s="263"/>
      <c r="N72" s="262" t="e">
        <f>IF(L72="nio",0,IF(L72&gt;0,L72*J72/P72,0))*VLOOKUP(B72,'2-Kosten per locatie'!$A$14:$C$23,3,FALSE)</f>
        <v>#DIV/0!</v>
      </c>
      <c r="O72" s="262">
        <f>IF(M72&gt;0,M72*J72/Q72,0)*VLOOKUP(B72,'2-Kosten per locatie'!$A$14:$C$23,3,FALSE)</f>
        <v>0</v>
      </c>
      <c r="P72" s="356">
        <f>IF(L72="nio",0,IF(L72&gt;0,VLOOKUP(G72,'3-Productie normen'!A:L,VLOOKUP(L72,'3-Productie normen'!$B$32:$C$39,2,FALSE),FALSE)))</f>
        <v>0</v>
      </c>
      <c r="Q72" s="356">
        <f t="shared" si="7"/>
        <v>0</v>
      </c>
      <c r="R72" s="357" t="str">
        <f>VLOOKUP(G72,'3-Productie normen'!A:N,14,FALSE)</f>
        <v>V</v>
      </c>
      <c r="S72" s="357"/>
      <c r="U72" s="358">
        <f t="shared" si="8"/>
        <v>31.6</v>
      </c>
    </row>
    <row r="73" spans="1:21" ht="14.1" customHeight="1">
      <c r="A73" s="75">
        <v>73</v>
      </c>
      <c r="B73" s="497" t="s">
        <v>464</v>
      </c>
      <c r="C73" s="320" t="s">
        <v>465</v>
      </c>
      <c r="D73" s="505" t="s">
        <v>94</v>
      </c>
      <c r="E73" s="506" t="s">
        <v>327</v>
      </c>
      <c r="F73" s="505" t="s">
        <v>300</v>
      </c>
      <c r="G73" s="72" t="s">
        <v>499</v>
      </c>
      <c r="H73" s="505" t="s">
        <v>268</v>
      </c>
      <c r="I73" s="508" t="s">
        <v>98</v>
      </c>
      <c r="J73" s="507">
        <v>29.2</v>
      </c>
      <c r="K73" s="355">
        <f t="shared" si="6"/>
        <v>255</v>
      </c>
      <c r="L73" s="263">
        <v>255</v>
      </c>
      <c r="M73" s="263"/>
      <c r="N73" s="262" t="e">
        <f>IF(L73="nio",0,IF(L73&gt;0,L73*J73/P73,0))*VLOOKUP(B73,'2-Kosten per locatie'!$A$14:$C$23,3,FALSE)</f>
        <v>#DIV/0!</v>
      </c>
      <c r="O73" s="262">
        <f>IF(M73&gt;0,M73*J73/Q73,0)*VLOOKUP(B73,'2-Kosten per locatie'!$A$14:$C$23,3,FALSE)</f>
        <v>0</v>
      </c>
      <c r="P73" s="356">
        <f>IF(L73="nio",0,IF(L73&gt;0,VLOOKUP(G73,'3-Productie normen'!A:L,VLOOKUP(L73,'3-Productie normen'!$B$32:$C$39,2,FALSE),FALSE)))</f>
        <v>0</v>
      </c>
      <c r="Q73" s="356">
        <f t="shared" si="7"/>
        <v>0</v>
      </c>
      <c r="R73" s="357" t="str">
        <f>VLOOKUP(G73,'3-Productie normen'!A:N,14,FALSE)</f>
        <v>B</v>
      </c>
      <c r="S73" s="357"/>
      <c r="U73" s="358">
        <f t="shared" si="8"/>
        <v>7446</v>
      </c>
    </row>
    <row r="74" spans="1:21" ht="14.1" customHeight="1">
      <c r="A74" s="75">
        <v>74</v>
      </c>
      <c r="B74" s="497" t="s">
        <v>464</v>
      </c>
      <c r="C74" s="320" t="s">
        <v>465</v>
      </c>
      <c r="D74" s="505" t="s">
        <v>94</v>
      </c>
      <c r="E74" s="506" t="s">
        <v>329</v>
      </c>
      <c r="F74" s="505" t="s">
        <v>300</v>
      </c>
      <c r="G74" s="72" t="s">
        <v>499</v>
      </c>
      <c r="H74" s="505" t="s">
        <v>268</v>
      </c>
      <c r="I74" s="508" t="s">
        <v>98</v>
      </c>
      <c r="J74" s="507">
        <v>22.6</v>
      </c>
      <c r="K74" s="355">
        <f t="shared" si="6"/>
        <v>255</v>
      </c>
      <c r="L74" s="263">
        <v>255</v>
      </c>
      <c r="M74" s="263"/>
      <c r="N74" s="262" t="e">
        <f>IF(L74="nio",0,IF(L74&gt;0,L74*J74/P74,0))*VLOOKUP(B74,'2-Kosten per locatie'!$A$14:$C$23,3,FALSE)</f>
        <v>#DIV/0!</v>
      </c>
      <c r="O74" s="262">
        <f>IF(M74&gt;0,M74*J74/Q74,0)*VLOOKUP(B74,'2-Kosten per locatie'!$A$14:$C$23,3,FALSE)</f>
        <v>0</v>
      </c>
      <c r="P74" s="356">
        <f>IF(L74="nio",0,IF(L74&gt;0,VLOOKUP(G74,'3-Productie normen'!A:L,VLOOKUP(L74,'3-Productie normen'!$B$32:$C$39,2,FALSE),FALSE)))</f>
        <v>0</v>
      </c>
      <c r="Q74" s="356">
        <f t="shared" si="7"/>
        <v>0</v>
      </c>
      <c r="R74" s="357" t="str">
        <f>VLOOKUP(G74,'3-Productie normen'!A:N,14,FALSE)</f>
        <v>B</v>
      </c>
      <c r="S74" s="357"/>
      <c r="U74" s="358">
        <f t="shared" si="8"/>
        <v>5763</v>
      </c>
    </row>
    <row r="75" spans="1:21" ht="14.1" customHeight="1">
      <c r="A75" s="75">
        <v>75</v>
      </c>
      <c r="B75" s="497" t="s">
        <v>464</v>
      </c>
      <c r="C75" s="320" t="s">
        <v>465</v>
      </c>
      <c r="D75" s="505" t="s">
        <v>94</v>
      </c>
      <c r="E75" s="506" t="s">
        <v>475</v>
      </c>
      <c r="F75" s="505" t="s">
        <v>300</v>
      </c>
      <c r="G75" s="72" t="s">
        <v>499</v>
      </c>
      <c r="H75" s="505" t="s">
        <v>268</v>
      </c>
      <c r="I75" s="508" t="s">
        <v>98</v>
      </c>
      <c r="J75" s="507">
        <v>21.8</v>
      </c>
      <c r="K75" s="355">
        <f t="shared" si="6"/>
        <v>255</v>
      </c>
      <c r="L75" s="263">
        <v>255</v>
      </c>
      <c r="M75" s="263"/>
      <c r="N75" s="262" t="e">
        <f>IF(L75="nio",0,IF(L75&gt;0,L75*J75/P75,0))*VLOOKUP(B75,'2-Kosten per locatie'!$A$14:$C$23,3,FALSE)</f>
        <v>#DIV/0!</v>
      </c>
      <c r="O75" s="262">
        <f>IF(M75&gt;0,M75*J75/Q75,0)*VLOOKUP(B75,'2-Kosten per locatie'!$A$14:$C$23,3,FALSE)</f>
        <v>0</v>
      </c>
      <c r="P75" s="356">
        <f>IF(L75="nio",0,IF(L75&gt;0,VLOOKUP(G75,'3-Productie normen'!A:L,VLOOKUP(L75,'3-Productie normen'!$B$32:$C$39,2,FALSE),FALSE)))</f>
        <v>0</v>
      </c>
      <c r="Q75" s="356">
        <f t="shared" si="7"/>
        <v>0</v>
      </c>
      <c r="R75" s="357" t="str">
        <f>VLOOKUP(G75,'3-Productie normen'!A:N,14,FALSE)</f>
        <v>B</v>
      </c>
      <c r="S75" s="357"/>
      <c r="U75" s="358">
        <f t="shared" si="8"/>
        <v>5559</v>
      </c>
    </row>
    <row r="76" spans="1:21" ht="14.1" customHeight="1">
      <c r="A76" s="75">
        <v>76</v>
      </c>
      <c r="B76" s="497" t="s">
        <v>464</v>
      </c>
      <c r="C76" s="320" t="s">
        <v>465</v>
      </c>
      <c r="D76" s="505" t="s">
        <v>94</v>
      </c>
      <c r="E76" s="506" t="s">
        <v>476</v>
      </c>
      <c r="F76" s="505" t="s">
        <v>257</v>
      </c>
      <c r="G76" s="72" t="s">
        <v>60</v>
      </c>
      <c r="H76" s="505" t="s">
        <v>461</v>
      </c>
      <c r="I76" s="497" t="s">
        <v>95</v>
      </c>
      <c r="J76" s="507">
        <v>56.7</v>
      </c>
      <c r="K76" s="355">
        <f t="shared" si="6"/>
        <v>255</v>
      </c>
      <c r="L76" s="263">
        <v>255</v>
      </c>
      <c r="M76" s="263"/>
      <c r="N76" s="262" t="e">
        <f>IF(L76="nio",0,IF(L76&gt;0,L76*J76/P76,0))*VLOOKUP(B76,'2-Kosten per locatie'!$A$14:$C$23,3,FALSE)</f>
        <v>#DIV/0!</v>
      </c>
      <c r="O76" s="262">
        <f>IF(M76&gt;0,M76*J76/Q76,0)*VLOOKUP(B76,'2-Kosten per locatie'!$A$14:$C$23,3,FALSE)</f>
        <v>0</v>
      </c>
      <c r="P76" s="356">
        <f>IF(L76="nio",0,IF(L76&gt;0,VLOOKUP(G76,'3-Productie normen'!A:L,VLOOKUP(L76,'3-Productie normen'!$B$32:$C$39,2,FALSE),FALSE)))</f>
        <v>0</v>
      </c>
      <c r="Q76" s="356">
        <f t="shared" si="7"/>
        <v>0</v>
      </c>
      <c r="R76" s="357" t="str">
        <f>VLOOKUP(G76,'3-Productie normen'!A:N,14,FALSE)</f>
        <v>V</v>
      </c>
      <c r="S76" s="357"/>
      <c r="U76" s="358">
        <f t="shared" si="8"/>
        <v>14458.5</v>
      </c>
    </row>
    <row r="77" spans="1:21" ht="14.1" customHeight="1">
      <c r="A77" s="75">
        <v>77</v>
      </c>
      <c r="B77" s="497" t="s">
        <v>464</v>
      </c>
      <c r="C77" s="320" t="s">
        <v>465</v>
      </c>
      <c r="D77" s="505" t="s">
        <v>94</v>
      </c>
      <c r="E77" s="506" t="s">
        <v>477</v>
      </c>
      <c r="F77" s="505" t="s">
        <v>259</v>
      </c>
      <c r="G77" s="72" t="s">
        <v>58</v>
      </c>
      <c r="H77" s="505" t="s">
        <v>269</v>
      </c>
      <c r="I77" s="497" t="s">
        <v>96</v>
      </c>
      <c r="J77" s="507">
        <v>4.7</v>
      </c>
      <c r="K77" s="355">
        <f t="shared" si="6"/>
        <v>255</v>
      </c>
      <c r="L77" s="263">
        <v>255</v>
      </c>
      <c r="M77" s="263"/>
      <c r="N77" s="262" t="e">
        <f>IF(L77="nio",0,IF(L77&gt;0,L77*J77/P77,0))*VLOOKUP(B77,'2-Kosten per locatie'!$A$14:$C$23,3,FALSE)</f>
        <v>#DIV/0!</v>
      </c>
      <c r="O77" s="262">
        <f>IF(M77&gt;0,M77*J77/Q77,0)*VLOOKUP(B77,'2-Kosten per locatie'!$A$14:$C$23,3,FALSE)</f>
        <v>0</v>
      </c>
      <c r="P77" s="356">
        <f>IF(L77="nio",0,IF(L77&gt;0,VLOOKUP(G77,'3-Productie normen'!A:L,VLOOKUP(L77,'3-Productie normen'!$B$32:$C$39,2,FALSE),FALSE)))</f>
        <v>0</v>
      </c>
      <c r="Q77" s="356">
        <f t="shared" si="7"/>
        <v>0</v>
      </c>
      <c r="R77" s="357" t="str">
        <f>VLOOKUP(G77,'3-Productie normen'!A:N,14,FALSE)</f>
        <v>S</v>
      </c>
      <c r="S77" s="357"/>
      <c r="U77" s="358">
        <f t="shared" si="8"/>
        <v>1198.5</v>
      </c>
    </row>
    <row r="78" spans="1:21" ht="14.1" customHeight="1">
      <c r="A78" s="75">
        <v>78</v>
      </c>
      <c r="B78" s="497" t="s">
        <v>464</v>
      </c>
      <c r="C78" s="320" t="s">
        <v>465</v>
      </c>
      <c r="D78" s="505" t="s">
        <v>94</v>
      </c>
      <c r="E78" s="506" t="s">
        <v>478</v>
      </c>
      <c r="F78" s="505" t="s">
        <v>300</v>
      </c>
      <c r="G78" s="72" t="s">
        <v>499</v>
      </c>
      <c r="H78" s="505" t="s">
        <v>462</v>
      </c>
      <c r="I78" s="508" t="s">
        <v>99</v>
      </c>
      <c r="J78" s="507">
        <v>30.2</v>
      </c>
      <c r="K78" s="355">
        <f t="shared" si="6"/>
        <v>255</v>
      </c>
      <c r="L78" s="263">
        <v>255</v>
      </c>
      <c r="M78" s="263"/>
      <c r="N78" s="262" t="e">
        <f>IF(L78="nio",0,IF(L78&gt;0,L78*J78/P78,0))*VLOOKUP(B78,'2-Kosten per locatie'!$A$14:$C$23,3,FALSE)</f>
        <v>#DIV/0!</v>
      </c>
      <c r="O78" s="262">
        <f>IF(M78&gt;0,M78*J78/Q78,0)*VLOOKUP(B78,'2-Kosten per locatie'!$A$14:$C$23,3,FALSE)</f>
        <v>0</v>
      </c>
      <c r="P78" s="356">
        <f>IF(L78="nio",0,IF(L78&gt;0,VLOOKUP(G78,'3-Productie normen'!A:L,VLOOKUP(L78,'3-Productie normen'!$B$32:$C$39,2,FALSE),FALSE)))</f>
        <v>0</v>
      </c>
      <c r="Q78" s="356">
        <f t="shared" si="7"/>
        <v>0</v>
      </c>
      <c r="R78" s="357" t="str">
        <f>VLOOKUP(G78,'3-Productie normen'!A:N,14,FALSE)</f>
        <v>B</v>
      </c>
      <c r="S78" s="357"/>
      <c r="U78" s="358">
        <f t="shared" si="8"/>
        <v>7701</v>
      </c>
    </row>
    <row r="79" spans="1:21" ht="14.1" customHeight="1">
      <c r="A79" s="75">
        <v>79</v>
      </c>
      <c r="B79" s="497" t="s">
        <v>464</v>
      </c>
      <c r="C79" s="320" t="s">
        <v>465</v>
      </c>
      <c r="D79" s="505" t="s">
        <v>94</v>
      </c>
      <c r="E79" s="506" t="s">
        <v>479</v>
      </c>
      <c r="F79" s="505" t="s">
        <v>300</v>
      </c>
      <c r="G79" s="72" t="s">
        <v>499</v>
      </c>
      <c r="H79" s="505" t="s">
        <v>462</v>
      </c>
      <c r="I79" s="508" t="s">
        <v>99</v>
      </c>
      <c r="J79" s="507">
        <v>30.3</v>
      </c>
      <c r="K79" s="355">
        <f t="shared" si="6"/>
        <v>255</v>
      </c>
      <c r="L79" s="263">
        <v>255</v>
      </c>
      <c r="M79" s="263"/>
      <c r="N79" s="262" t="e">
        <f>IF(L79="nio",0,IF(L79&gt;0,L79*J79/P79,0))*VLOOKUP(B79,'2-Kosten per locatie'!$A$14:$C$23,3,FALSE)</f>
        <v>#DIV/0!</v>
      </c>
      <c r="O79" s="262">
        <f>IF(M79&gt;0,M79*J79/Q79,0)*VLOOKUP(B79,'2-Kosten per locatie'!$A$14:$C$23,3,FALSE)</f>
        <v>0</v>
      </c>
      <c r="P79" s="356">
        <f>IF(L79="nio",0,IF(L79&gt;0,VLOOKUP(G79,'3-Productie normen'!A:L,VLOOKUP(L79,'3-Productie normen'!$B$32:$C$39,2,FALSE),FALSE)))</f>
        <v>0</v>
      </c>
      <c r="Q79" s="356">
        <f t="shared" si="7"/>
        <v>0</v>
      </c>
      <c r="R79" s="357" t="str">
        <f>VLOOKUP(G79,'3-Productie normen'!A:N,14,FALSE)</f>
        <v>B</v>
      </c>
      <c r="S79" s="357"/>
      <c r="U79" s="358">
        <f t="shared" si="8"/>
        <v>7726.5</v>
      </c>
    </row>
    <row r="80" spans="1:21" ht="14.1" customHeight="1">
      <c r="A80" s="75">
        <v>80</v>
      </c>
      <c r="B80" s="497" t="s">
        <v>464</v>
      </c>
      <c r="C80" s="320" t="s">
        <v>465</v>
      </c>
      <c r="D80" s="505" t="s">
        <v>94</v>
      </c>
      <c r="E80" s="506" t="s">
        <v>480</v>
      </c>
      <c r="F80" s="505" t="s">
        <v>300</v>
      </c>
      <c r="G80" s="72" t="s">
        <v>499</v>
      </c>
      <c r="H80" s="505" t="s">
        <v>462</v>
      </c>
      <c r="I80" s="508" t="s">
        <v>99</v>
      </c>
      <c r="J80" s="507">
        <v>30.4</v>
      </c>
      <c r="K80" s="355">
        <f t="shared" si="6"/>
        <v>255</v>
      </c>
      <c r="L80" s="263">
        <v>255</v>
      </c>
      <c r="M80" s="263"/>
      <c r="N80" s="262" t="e">
        <f>IF(L80="nio",0,IF(L80&gt;0,L80*J80/P80,0))*VLOOKUP(B80,'2-Kosten per locatie'!$A$14:$C$23,3,FALSE)</f>
        <v>#DIV/0!</v>
      </c>
      <c r="O80" s="262">
        <f>IF(M80&gt;0,M80*J80/Q80,0)*VLOOKUP(B80,'2-Kosten per locatie'!$A$14:$C$23,3,FALSE)</f>
        <v>0</v>
      </c>
      <c r="P80" s="356">
        <f>IF(L80="nio",0,IF(L80&gt;0,VLOOKUP(G80,'3-Productie normen'!A:L,VLOOKUP(L80,'3-Productie normen'!$B$32:$C$39,2,FALSE),FALSE)))</f>
        <v>0</v>
      </c>
      <c r="Q80" s="356">
        <f t="shared" si="7"/>
        <v>0</v>
      </c>
      <c r="R80" s="357" t="str">
        <f>VLOOKUP(G80,'3-Productie normen'!A:N,14,FALSE)</f>
        <v>B</v>
      </c>
      <c r="S80" s="357"/>
      <c r="U80" s="358">
        <f t="shared" si="8"/>
        <v>7752</v>
      </c>
    </row>
    <row r="81" spans="1:21" ht="14.1" customHeight="1">
      <c r="A81" s="75">
        <v>81</v>
      </c>
      <c r="B81" s="497" t="s">
        <v>464</v>
      </c>
      <c r="C81" s="320" t="s">
        <v>465</v>
      </c>
      <c r="D81" s="505" t="s">
        <v>333</v>
      </c>
      <c r="E81" s="506" t="s">
        <v>334</v>
      </c>
      <c r="F81" s="505" t="s">
        <v>257</v>
      </c>
      <c r="G81" s="72" t="s">
        <v>60</v>
      </c>
      <c r="H81" s="505" t="s">
        <v>268</v>
      </c>
      <c r="I81" s="508" t="s">
        <v>98</v>
      </c>
      <c r="J81" s="507">
        <v>11.2</v>
      </c>
      <c r="K81" s="355">
        <f t="shared" si="6"/>
        <v>255</v>
      </c>
      <c r="L81" s="263">
        <v>255</v>
      </c>
      <c r="M81" s="263"/>
      <c r="N81" s="262" t="e">
        <f>IF(L81="nio",0,IF(L81&gt;0,L81*J81/P81,0))*VLOOKUP(B81,'2-Kosten per locatie'!$A$14:$C$23,3,FALSE)</f>
        <v>#DIV/0!</v>
      </c>
      <c r="O81" s="262">
        <f>IF(M81&gt;0,M81*J81/Q81,0)*VLOOKUP(B81,'2-Kosten per locatie'!$A$14:$C$23,3,FALSE)</f>
        <v>0</v>
      </c>
      <c r="P81" s="356">
        <f>IF(L81="nio",0,IF(L81&gt;0,VLOOKUP(G81,'3-Productie normen'!A:L,VLOOKUP(L81,'3-Productie normen'!$B$32:$C$39,2,FALSE),FALSE)))</f>
        <v>0</v>
      </c>
      <c r="Q81" s="356">
        <f t="shared" si="7"/>
        <v>0</v>
      </c>
      <c r="R81" s="357" t="str">
        <f>VLOOKUP(G81,'3-Productie normen'!A:N,14,FALSE)</f>
        <v>V</v>
      </c>
      <c r="S81" s="357"/>
      <c r="U81" s="358">
        <f t="shared" si="8"/>
        <v>2856</v>
      </c>
    </row>
    <row r="82" spans="1:21" ht="14.1" customHeight="1">
      <c r="A82" s="75">
        <v>82</v>
      </c>
      <c r="B82" s="497" t="s">
        <v>464</v>
      </c>
      <c r="C82" s="320" t="s">
        <v>465</v>
      </c>
      <c r="D82" s="505" t="s">
        <v>333</v>
      </c>
      <c r="E82" s="506" t="s">
        <v>336</v>
      </c>
      <c r="F82" s="505" t="s">
        <v>300</v>
      </c>
      <c r="G82" s="72" t="s">
        <v>499</v>
      </c>
      <c r="H82" s="505" t="s">
        <v>268</v>
      </c>
      <c r="I82" s="508" t="s">
        <v>98</v>
      </c>
      <c r="J82" s="507">
        <v>18.2</v>
      </c>
      <c r="K82" s="355">
        <f t="shared" si="6"/>
        <v>255</v>
      </c>
      <c r="L82" s="263">
        <v>255</v>
      </c>
      <c r="M82" s="263"/>
      <c r="N82" s="262" t="e">
        <f>IF(L82="nio",0,IF(L82&gt;0,L82*J82/P82,0))*VLOOKUP(B82,'2-Kosten per locatie'!$A$14:$C$23,3,FALSE)</f>
        <v>#DIV/0!</v>
      </c>
      <c r="O82" s="262">
        <f>IF(M82&gt;0,M82*J82/Q82,0)*VLOOKUP(B82,'2-Kosten per locatie'!$A$14:$C$23,3,FALSE)</f>
        <v>0</v>
      </c>
      <c r="P82" s="356">
        <f>IF(L82="nio",0,IF(L82&gt;0,VLOOKUP(G82,'3-Productie normen'!A:L,VLOOKUP(L82,'3-Productie normen'!$B$32:$C$39,2,FALSE),FALSE)))</f>
        <v>0</v>
      </c>
      <c r="Q82" s="356">
        <f t="shared" si="7"/>
        <v>0</v>
      </c>
      <c r="R82" s="357" t="str">
        <f>VLOOKUP(G82,'3-Productie normen'!A:N,14,FALSE)</f>
        <v>B</v>
      </c>
      <c r="S82" s="357"/>
      <c r="U82" s="358">
        <f t="shared" si="8"/>
        <v>4641</v>
      </c>
    </row>
    <row r="83" spans="1:21" ht="14.1" customHeight="1">
      <c r="A83" s="75">
        <v>83</v>
      </c>
      <c r="B83" s="497" t="s">
        <v>464</v>
      </c>
      <c r="C83" s="320" t="s">
        <v>465</v>
      </c>
      <c r="D83" s="505" t="s">
        <v>333</v>
      </c>
      <c r="E83" s="506" t="s">
        <v>337</v>
      </c>
      <c r="F83" s="505" t="s">
        <v>300</v>
      </c>
      <c r="G83" s="72" t="s">
        <v>499</v>
      </c>
      <c r="H83" s="505" t="s">
        <v>268</v>
      </c>
      <c r="I83" s="508" t="s">
        <v>98</v>
      </c>
      <c r="J83" s="507">
        <v>22.6</v>
      </c>
      <c r="K83" s="355">
        <f t="shared" si="6"/>
        <v>255</v>
      </c>
      <c r="L83" s="263">
        <v>255</v>
      </c>
      <c r="M83" s="263"/>
      <c r="N83" s="262" t="e">
        <f>IF(L83="nio",0,IF(L83&gt;0,L83*J83/P83,0))*VLOOKUP(B83,'2-Kosten per locatie'!$A$14:$C$23,3,FALSE)</f>
        <v>#DIV/0!</v>
      </c>
      <c r="O83" s="262">
        <f>IF(M83&gt;0,M83*J83/Q83,0)*VLOOKUP(B83,'2-Kosten per locatie'!$A$14:$C$23,3,FALSE)</f>
        <v>0</v>
      </c>
      <c r="P83" s="356">
        <f>IF(L83="nio",0,IF(L83&gt;0,VLOOKUP(G83,'3-Productie normen'!A:L,VLOOKUP(L83,'3-Productie normen'!$B$32:$C$39,2,FALSE),FALSE)))</f>
        <v>0</v>
      </c>
      <c r="Q83" s="356">
        <f t="shared" si="7"/>
        <v>0</v>
      </c>
      <c r="R83" s="357" t="str">
        <f>VLOOKUP(G83,'3-Productie normen'!A:N,14,FALSE)</f>
        <v>B</v>
      </c>
      <c r="S83" s="357"/>
      <c r="U83" s="358">
        <f t="shared" si="8"/>
        <v>5763</v>
      </c>
    </row>
    <row r="84" spans="1:21" ht="14.1" customHeight="1">
      <c r="A84" s="75">
        <v>84</v>
      </c>
      <c r="B84" s="497" t="s">
        <v>464</v>
      </c>
      <c r="C84" s="320" t="s">
        <v>465</v>
      </c>
      <c r="D84" s="505" t="s">
        <v>481</v>
      </c>
      <c r="E84" s="506" t="s">
        <v>303</v>
      </c>
      <c r="F84" s="505" t="s">
        <v>300</v>
      </c>
      <c r="G84" s="72" t="s">
        <v>499</v>
      </c>
      <c r="H84" s="505" t="s">
        <v>269</v>
      </c>
      <c r="I84" s="497" t="s">
        <v>99</v>
      </c>
      <c r="J84" s="507">
        <v>8</v>
      </c>
      <c r="K84" s="355">
        <f t="shared" si="6"/>
        <v>255</v>
      </c>
      <c r="L84" s="263">
        <v>255</v>
      </c>
      <c r="M84" s="263"/>
      <c r="N84" s="262" t="e">
        <f>IF(L84="nio",0,IF(L84&gt;0,L84*J84/P84,0))*VLOOKUP(B84,'2-Kosten per locatie'!$A$14:$C$23,3,FALSE)</f>
        <v>#DIV/0!</v>
      </c>
      <c r="O84" s="262">
        <f>IF(M84&gt;0,M84*J84/Q84,0)*VLOOKUP(B84,'2-Kosten per locatie'!$A$14:$C$23,3,FALSE)</f>
        <v>0</v>
      </c>
      <c r="P84" s="356">
        <f>IF(L84="nio",0,IF(L84&gt;0,VLOOKUP(G84,'3-Productie normen'!A:L,VLOOKUP(L84,'3-Productie normen'!$B$32:$C$39,2,FALSE),FALSE)))</f>
        <v>0</v>
      </c>
      <c r="Q84" s="356">
        <f t="shared" si="7"/>
        <v>0</v>
      </c>
      <c r="R84" s="357" t="str">
        <f>VLOOKUP(G84,'3-Productie normen'!A:N,14,FALSE)</f>
        <v>B</v>
      </c>
      <c r="S84" s="357"/>
      <c r="U84" s="358">
        <f t="shared" si="8"/>
        <v>2040</v>
      </c>
    </row>
    <row r="85" spans="1:21" ht="14.1" customHeight="1">
      <c r="A85" s="75">
        <v>85</v>
      </c>
      <c r="B85" s="497" t="s">
        <v>464</v>
      </c>
      <c r="C85" s="320" t="s">
        <v>465</v>
      </c>
      <c r="D85" s="505" t="s">
        <v>481</v>
      </c>
      <c r="E85" s="506" t="s">
        <v>470</v>
      </c>
      <c r="F85" s="505" t="s">
        <v>259</v>
      </c>
      <c r="G85" s="72" t="s">
        <v>58</v>
      </c>
      <c r="H85" s="505" t="s">
        <v>269</v>
      </c>
      <c r="I85" s="497" t="s">
        <v>96</v>
      </c>
      <c r="J85" s="507">
        <v>4</v>
      </c>
      <c r="K85" s="355">
        <f t="shared" si="6"/>
        <v>255</v>
      </c>
      <c r="L85" s="263">
        <v>255</v>
      </c>
      <c r="M85" s="263"/>
      <c r="N85" s="262" t="e">
        <f>IF(L85="nio",0,IF(L85&gt;0,L85*J85/P85,0))*VLOOKUP(B85,'2-Kosten per locatie'!$A$14:$C$23,3,FALSE)</f>
        <v>#DIV/0!</v>
      </c>
      <c r="O85" s="262">
        <f>IF(M85&gt;0,M85*J85/Q85,0)*VLOOKUP(B85,'2-Kosten per locatie'!$A$14:$C$23,3,FALSE)</f>
        <v>0</v>
      </c>
      <c r="P85" s="356">
        <f>IF(L85="nio",0,IF(L85&gt;0,VLOOKUP(G85,'3-Productie normen'!A:L,VLOOKUP(L85,'3-Productie normen'!$B$32:$C$39,2,FALSE),FALSE)))</f>
        <v>0</v>
      </c>
      <c r="Q85" s="356">
        <f t="shared" si="7"/>
        <v>0</v>
      </c>
      <c r="R85" s="357" t="str">
        <f>VLOOKUP(G85,'3-Productie normen'!A:N,14,FALSE)</f>
        <v>S</v>
      </c>
      <c r="S85" s="357"/>
      <c r="U85" s="358">
        <f t="shared" si="8"/>
        <v>1020</v>
      </c>
    </row>
    <row r="86" spans="1:21" ht="14.1" customHeight="1">
      <c r="A86" s="75">
        <v>86</v>
      </c>
      <c r="B86" s="497" t="s">
        <v>464</v>
      </c>
      <c r="C86" s="320" t="s">
        <v>465</v>
      </c>
      <c r="D86" s="505" t="s">
        <v>481</v>
      </c>
      <c r="E86" s="506" t="s">
        <v>482</v>
      </c>
      <c r="F86" s="505" t="s">
        <v>300</v>
      </c>
      <c r="G86" s="72" t="s">
        <v>499</v>
      </c>
      <c r="H86" s="505" t="s">
        <v>269</v>
      </c>
      <c r="I86" s="497" t="s">
        <v>99</v>
      </c>
      <c r="J86" s="507">
        <v>5.5</v>
      </c>
      <c r="K86" s="355">
        <f t="shared" si="6"/>
        <v>255</v>
      </c>
      <c r="L86" s="263">
        <v>255</v>
      </c>
      <c r="M86" s="263"/>
      <c r="N86" s="262" t="e">
        <f>IF(L86="nio",0,IF(L86&gt;0,L86*J86/P86,0))*VLOOKUP(B86,'2-Kosten per locatie'!$A$14:$C$23,3,FALSE)</f>
        <v>#DIV/0!</v>
      </c>
      <c r="O86" s="262">
        <f>IF(M86&gt;0,M86*J86/Q86,0)*VLOOKUP(B86,'2-Kosten per locatie'!$A$14:$C$23,3,FALSE)</f>
        <v>0</v>
      </c>
      <c r="P86" s="356">
        <f>IF(L86="nio",0,IF(L86&gt;0,VLOOKUP(G86,'3-Productie normen'!A:L,VLOOKUP(L86,'3-Productie normen'!$B$32:$C$39,2,FALSE),FALSE)))</f>
        <v>0</v>
      </c>
      <c r="Q86" s="356">
        <f t="shared" si="7"/>
        <v>0</v>
      </c>
      <c r="R86" s="357" t="str">
        <f>VLOOKUP(G86,'3-Productie normen'!A:N,14,FALSE)</f>
        <v>B</v>
      </c>
      <c r="S86" s="357"/>
      <c r="U86" s="358">
        <f t="shared" si="8"/>
        <v>1402.5</v>
      </c>
    </row>
    <row r="87" spans="1:21" ht="14.1" customHeight="1">
      <c r="A87" s="75">
        <v>87</v>
      </c>
      <c r="B87" s="497" t="s">
        <v>464</v>
      </c>
      <c r="C87" s="320" t="s">
        <v>465</v>
      </c>
      <c r="D87" s="505" t="s">
        <v>481</v>
      </c>
      <c r="E87" s="506" t="s">
        <v>482</v>
      </c>
      <c r="F87" s="505" t="s">
        <v>257</v>
      </c>
      <c r="G87" s="72" t="s">
        <v>60</v>
      </c>
      <c r="H87" s="505" t="s">
        <v>269</v>
      </c>
      <c r="I87" s="497" t="s">
        <v>99</v>
      </c>
      <c r="J87" s="507">
        <v>5</v>
      </c>
      <c r="K87" s="355">
        <f t="shared" si="6"/>
        <v>255</v>
      </c>
      <c r="L87" s="263">
        <v>255</v>
      </c>
      <c r="M87" s="263"/>
      <c r="N87" s="262" t="e">
        <f>IF(L87="nio",0,IF(L87&gt;0,L87*J87/P87,0))*VLOOKUP(B87,'2-Kosten per locatie'!$A$14:$C$23,3,FALSE)</f>
        <v>#DIV/0!</v>
      </c>
      <c r="O87" s="262">
        <f>IF(M87&gt;0,M87*J87/Q87,0)*VLOOKUP(B87,'2-Kosten per locatie'!$A$14:$C$23,3,FALSE)</f>
        <v>0</v>
      </c>
      <c r="P87" s="356">
        <f>IF(L87="nio",0,IF(L87&gt;0,VLOOKUP(G87,'3-Productie normen'!A:L,VLOOKUP(L87,'3-Productie normen'!$B$32:$C$39,2,FALSE),FALSE)))</f>
        <v>0</v>
      </c>
      <c r="Q87" s="356">
        <f t="shared" si="7"/>
        <v>0</v>
      </c>
      <c r="R87" s="357" t="str">
        <f>VLOOKUP(G87,'3-Productie normen'!A:N,14,FALSE)</f>
        <v>V</v>
      </c>
      <c r="S87" s="357"/>
      <c r="U87" s="358">
        <f t="shared" si="8"/>
        <v>1275</v>
      </c>
    </row>
    <row r="88" spans="1:21" ht="14.1" customHeight="1">
      <c r="A88" s="75">
        <v>88</v>
      </c>
      <c r="B88" s="497" t="s">
        <v>496</v>
      </c>
      <c r="C88" s="320" t="s">
        <v>466</v>
      </c>
      <c r="D88" s="505" t="s">
        <v>94</v>
      </c>
      <c r="E88" s="506" t="s">
        <v>483</v>
      </c>
      <c r="F88" s="505" t="s">
        <v>64</v>
      </c>
      <c r="G88" s="72" t="s">
        <v>64</v>
      </c>
      <c r="H88" s="505" t="s">
        <v>269</v>
      </c>
      <c r="I88" s="497" t="s">
        <v>99</v>
      </c>
      <c r="J88" s="507">
        <v>7.2</v>
      </c>
      <c r="K88" s="355">
        <f t="shared" si="6"/>
        <v>104</v>
      </c>
      <c r="L88" s="263">
        <v>104</v>
      </c>
      <c r="M88" s="263"/>
      <c r="N88" s="262" t="e">
        <f>IF(L88="nio",0,IF(L88&gt;0,L88*J88/P88,0))*VLOOKUP(B88,'2-Kosten per locatie'!$A$14:$C$23,3,FALSE)</f>
        <v>#DIV/0!</v>
      </c>
      <c r="O88" s="262">
        <f>IF(M88&gt;0,M88*J88/Q88,0)*VLOOKUP(B88,'2-Kosten per locatie'!$A$14:$C$23,3,FALSE)</f>
        <v>0</v>
      </c>
      <c r="P88" s="356">
        <f>IF(L88="nio",0,IF(L88&gt;0,VLOOKUP(G88,'3-Productie normen'!A:L,VLOOKUP(L88,'3-Productie normen'!$B$32:$C$39,2,FALSE),FALSE)))</f>
        <v>0</v>
      </c>
      <c r="Q88" s="356">
        <f t="shared" si="7"/>
        <v>0</v>
      </c>
      <c r="R88" s="357" t="str">
        <f>VLOOKUP(G88,'3-Productie normen'!A:N,14,FALSE)</f>
        <v>V</v>
      </c>
      <c r="S88" s="357"/>
      <c r="U88" s="358">
        <f t="shared" si="8"/>
        <v>748.80000000000007</v>
      </c>
    </row>
    <row r="89" spans="1:21" ht="14.1" customHeight="1">
      <c r="A89" s="75">
        <v>89</v>
      </c>
      <c r="B89" s="497" t="s">
        <v>496</v>
      </c>
      <c r="C89" s="320" t="s">
        <v>466</v>
      </c>
      <c r="D89" s="505" t="s">
        <v>94</v>
      </c>
      <c r="E89" s="506" t="s">
        <v>484</v>
      </c>
      <c r="F89" s="505" t="s">
        <v>300</v>
      </c>
      <c r="G89" s="72" t="s">
        <v>499</v>
      </c>
      <c r="H89" s="505" t="s">
        <v>460</v>
      </c>
      <c r="I89" s="497" t="s">
        <v>95</v>
      </c>
      <c r="J89" s="507">
        <v>26.7</v>
      </c>
      <c r="K89" s="355">
        <f t="shared" si="6"/>
        <v>104</v>
      </c>
      <c r="L89" s="263">
        <v>104</v>
      </c>
      <c r="M89" s="263"/>
      <c r="N89" s="262" t="e">
        <f>IF(L89="nio",0,IF(L89&gt;0,L89*J89/P89,0))*VLOOKUP(B89,'2-Kosten per locatie'!$A$14:$C$23,3,FALSE)</f>
        <v>#DIV/0!</v>
      </c>
      <c r="O89" s="262">
        <f>IF(M89&gt;0,M89*J89/Q89,0)*VLOOKUP(B89,'2-Kosten per locatie'!$A$14:$C$23,3,FALSE)</f>
        <v>0</v>
      </c>
      <c r="P89" s="356">
        <f>IF(L89="nio",0,IF(L89&gt;0,VLOOKUP(G89,'3-Productie normen'!A:L,VLOOKUP(L89,'3-Productie normen'!$B$32:$C$39,2,FALSE),FALSE)))</f>
        <v>0</v>
      </c>
      <c r="Q89" s="356">
        <f t="shared" si="7"/>
        <v>0</v>
      </c>
      <c r="R89" s="357" t="str">
        <f>VLOOKUP(G89,'3-Productie normen'!A:N,14,FALSE)</f>
        <v>B</v>
      </c>
      <c r="S89" s="357"/>
      <c r="U89" s="358">
        <f t="shared" si="8"/>
        <v>2776.7999999999997</v>
      </c>
    </row>
    <row r="90" spans="1:21" ht="14.1" customHeight="1">
      <c r="A90" s="75">
        <v>90</v>
      </c>
      <c r="B90" s="497" t="s">
        <v>496</v>
      </c>
      <c r="C90" s="320" t="s">
        <v>466</v>
      </c>
      <c r="D90" s="505" t="s">
        <v>94</v>
      </c>
      <c r="E90" s="506" t="s">
        <v>485</v>
      </c>
      <c r="F90" s="505" t="s">
        <v>491</v>
      </c>
      <c r="G90" s="72" t="s">
        <v>501</v>
      </c>
      <c r="H90" s="505" t="s">
        <v>269</v>
      </c>
      <c r="I90" s="497" t="s">
        <v>96</v>
      </c>
      <c r="J90" s="507">
        <v>14.4</v>
      </c>
      <c r="K90" s="355">
        <f t="shared" si="6"/>
        <v>104</v>
      </c>
      <c r="L90" s="263">
        <v>104</v>
      </c>
      <c r="M90" s="263"/>
      <c r="N90" s="262" t="e">
        <f>IF(L90="nio",0,IF(L90&gt;0,L90*J90/P90,0))*VLOOKUP(B90,'2-Kosten per locatie'!$A$14:$C$23,3,FALSE)</f>
        <v>#DIV/0!</v>
      </c>
      <c r="O90" s="262">
        <f>IF(M90&gt;0,M90*J90/Q90,0)*VLOOKUP(B90,'2-Kosten per locatie'!$A$14:$C$23,3,FALSE)</f>
        <v>0</v>
      </c>
      <c r="P90" s="356">
        <f>IF(L90="nio",0,IF(L90&gt;0,VLOOKUP(G90,'3-Productie normen'!A:L,VLOOKUP(L90,'3-Productie normen'!$B$32:$C$39,2,FALSE),FALSE)))</f>
        <v>0</v>
      </c>
      <c r="Q90" s="356">
        <f t="shared" si="7"/>
        <v>0</v>
      </c>
      <c r="R90" s="357" t="str">
        <f>VLOOKUP(G90,'3-Productie normen'!A:N,14,FALSE)</f>
        <v>S</v>
      </c>
      <c r="S90" s="357"/>
      <c r="U90" s="358">
        <f t="shared" si="8"/>
        <v>1497.6000000000001</v>
      </c>
    </row>
    <row r="91" spans="1:21" ht="14.1" customHeight="1">
      <c r="A91" s="75">
        <v>91</v>
      </c>
      <c r="B91" s="497" t="s">
        <v>496</v>
      </c>
      <c r="C91" s="320" t="s">
        <v>466</v>
      </c>
      <c r="D91" s="505" t="s">
        <v>94</v>
      </c>
      <c r="E91" s="506" t="s">
        <v>486</v>
      </c>
      <c r="F91" s="505" t="s">
        <v>259</v>
      </c>
      <c r="G91" s="72" t="s">
        <v>58</v>
      </c>
      <c r="H91" s="505" t="s">
        <v>269</v>
      </c>
      <c r="I91" s="497" t="s">
        <v>96</v>
      </c>
      <c r="J91" s="507">
        <v>1.7</v>
      </c>
      <c r="K91" s="355">
        <f t="shared" si="6"/>
        <v>104</v>
      </c>
      <c r="L91" s="263">
        <v>104</v>
      </c>
      <c r="M91" s="263"/>
      <c r="N91" s="262" t="e">
        <f>IF(L91="nio",0,IF(L91&gt;0,L91*J91/P91,0))*VLOOKUP(B91,'2-Kosten per locatie'!$A$14:$C$23,3,FALSE)</f>
        <v>#DIV/0!</v>
      </c>
      <c r="O91" s="262">
        <f>IF(M91&gt;0,M91*J91/Q91,0)*VLOOKUP(B91,'2-Kosten per locatie'!$A$14:$C$23,3,FALSE)</f>
        <v>0</v>
      </c>
      <c r="P91" s="356">
        <f>IF(L91="nio",0,IF(L91&gt;0,VLOOKUP(G91,'3-Productie normen'!A:L,VLOOKUP(L91,'3-Productie normen'!$B$32:$C$39,2,FALSE),FALSE)))</f>
        <v>0</v>
      </c>
      <c r="Q91" s="356">
        <f t="shared" si="7"/>
        <v>0</v>
      </c>
      <c r="R91" s="357" t="str">
        <f>VLOOKUP(G91,'3-Productie normen'!A:N,14,FALSE)</f>
        <v>S</v>
      </c>
      <c r="S91" s="357"/>
      <c r="U91" s="358">
        <f t="shared" si="8"/>
        <v>176.79999999999998</v>
      </c>
    </row>
    <row r="92" spans="1:21" ht="14.1" customHeight="1">
      <c r="A92" s="75">
        <v>92</v>
      </c>
      <c r="B92" s="497" t="s">
        <v>496</v>
      </c>
      <c r="C92" s="320" t="s">
        <v>466</v>
      </c>
      <c r="D92" s="505" t="s">
        <v>94</v>
      </c>
      <c r="E92" s="506" t="s">
        <v>487</v>
      </c>
      <c r="F92" s="505" t="s">
        <v>258</v>
      </c>
      <c r="G92" s="72" t="s">
        <v>258</v>
      </c>
      <c r="H92" s="505" t="s">
        <v>269</v>
      </c>
      <c r="I92" s="497" t="s">
        <v>99</v>
      </c>
      <c r="J92" s="507">
        <v>0.4</v>
      </c>
      <c r="K92" s="355">
        <f t="shared" si="6"/>
        <v>0</v>
      </c>
      <c r="L92" s="263" t="s">
        <v>463</v>
      </c>
      <c r="M92" s="263"/>
      <c r="N92" s="262">
        <f>IF(L92="nio",0,IF(L92&gt;0,L92*J92/P92,0))*VLOOKUP(B92,'2-Kosten per locatie'!$A$14:$C$23,3,FALSE)</f>
        <v>0</v>
      </c>
      <c r="O92" s="262">
        <f>IF(M92&gt;0,M92*J92/Q92,0)*VLOOKUP(B92,'2-Kosten per locatie'!$A$14:$C$23,3,FALSE)</f>
        <v>0</v>
      </c>
      <c r="P92" s="356">
        <f>IF(L92="nio",0,IF(L92&gt;0,VLOOKUP(G92,'3-Productie normen'!A:L,VLOOKUP(L92,'3-Productie normen'!$B$32:$C$39,2,FALSE),FALSE)))</f>
        <v>0</v>
      </c>
      <c r="Q92" s="356">
        <f t="shared" si="7"/>
        <v>0</v>
      </c>
      <c r="R92" s="357" t="str">
        <f>VLOOKUP(G92,'3-Productie normen'!A:N,14,FALSE)</f>
        <v>V</v>
      </c>
      <c r="S92" s="357"/>
      <c r="U92" s="358">
        <f t="shared" si="8"/>
        <v>0</v>
      </c>
    </row>
    <row r="93" spans="1:21" ht="14.1" customHeight="1">
      <c r="A93" s="75">
        <v>93</v>
      </c>
      <c r="B93" s="497" t="s">
        <v>496</v>
      </c>
      <c r="C93" s="320" t="s">
        <v>466</v>
      </c>
      <c r="D93" s="505" t="s">
        <v>94</v>
      </c>
      <c r="E93" s="506" t="s">
        <v>488</v>
      </c>
      <c r="F93" s="505" t="s">
        <v>258</v>
      </c>
      <c r="G93" s="72" t="s">
        <v>258</v>
      </c>
      <c r="H93" s="505" t="s">
        <v>269</v>
      </c>
      <c r="I93" s="497" t="s">
        <v>99</v>
      </c>
      <c r="J93" s="507">
        <v>0.4</v>
      </c>
      <c r="K93" s="355">
        <f t="shared" si="6"/>
        <v>0</v>
      </c>
      <c r="L93" s="263" t="s">
        <v>463</v>
      </c>
      <c r="M93" s="263"/>
      <c r="N93" s="262">
        <f>IF(L93="nio",0,IF(L93&gt;0,L93*J93/P93,0))*VLOOKUP(B93,'2-Kosten per locatie'!$A$14:$C$23,3,FALSE)</f>
        <v>0</v>
      </c>
      <c r="O93" s="262">
        <f>IF(M93&gt;0,M93*J93/Q93,0)*VLOOKUP(B93,'2-Kosten per locatie'!$A$14:$C$23,3,FALSE)</f>
        <v>0</v>
      </c>
      <c r="P93" s="356">
        <f>IF(L93="nio",0,IF(L93&gt;0,VLOOKUP(G93,'3-Productie normen'!A:L,VLOOKUP(L93,'3-Productie normen'!$B$32:$C$39,2,FALSE),FALSE)))</f>
        <v>0</v>
      </c>
      <c r="Q93" s="356">
        <f t="shared" si="7"/>
        <v>0</v>
      </c>
      <c r="R93" s="357" t="str">
        <f>VLOOKUP(G93,'3-Productie normen'!A:N,14,FALSE)</f>
        <v>V</v>
      </c>
      <c r="S93" s="357"/>
      <c r="U93" s="358">
        <f t="shared" si="8"/>
        <v>0</v>
      </c>
    </row>
    <row r="94" spans="1:21" ht="14.1" customHeight="1">
      <c r="A94" s="75">
        <v>94</v>
      </c>
      <c r="B94" s="497" t="s">
        <v>496</v>
      </c>
      <c r="C94" s="320" t="s">
        <v>466</v>
      </c>
      <c r="D94" s="505" t="s">
        <v>94</v>
      </c>
      <c r="E94" s="506" t="s">
        <v>383</v>
      </c>
      <c r="F94" s="505" t="s">
        <v>65</v>
      </c>
      <c r="G94" s="320" t="s">
        <v>65</v>
      </c>
      <c r="H94" s="505" t="s">
        <v>269</v>
      </c>
      <c r="I94" s="497" t="s">
        <v>99</v>
      </c>
      <c r="J94" s="507">
        <v>9</v>
      </c>
      <c r="K94" s="355">
        <f t="shared" si="6"/>
        <v>104</v>
      </c>
      <c r="L94" s="263">
        <v>104</v>
      </c>
      <c r="M94" s="263"/>
      <c r="N94" s="262" t="e">
        <f>IF(L94="nio",0,IF(L94&gt;0,L94*J94/P94,0))*VLOOKUP(B94,'2-Kosten per locatie'!$A$14:$C$23,3,FALSE)</f>
        <v>#DIV/0!</v>
      </c>
      <c r="O94" s="262">
        <f>IF(M94&gt;0,M94*J94/Q94,0)*VLOOKUP(B94,'2-Kosten per locatie'!$A$14:$C$23,3,FALSE)</f>
        <v>0</v>
      </c>
      <c r="P94" s="356">
        <f>IF(L94="nio",0,IF(L94&gt;0,VLOOKUP(G94,'3-Productie normen'!A:L,VLOOKUP(L94,'3-Productie normen'!$B$32:$C$39,2,FALSE),FALSE)))</f>
        <v>0</v>
      </c>
      <c r="Q94" s="356">
        <f t="shared" si="7"/>
        <v>0</v>
      </c>
      <c r="R94" s="357" t="str">
        <f>VLOOKUP(G94,'3-Productie normen'!A:N,14,FALSE)</f>
        <v>V</v>
      </c>
      <c r="S94" s="357"/>
      <c r="U94" s="358">
        <f t="shared" si="8"/>
        <v>936</v>
      </c>
    </row>
    <row r="95" spans="1:21" ht="14.1" customHeight="1">
      <c r="A95" s="75">
        <v>95</v>
      </c>
      <c r="B95" s="497" t="s">
        <v>496</v>
      </c>
      <c r="C95" s="320" t="s">
        <v>466</v>
      </c>
      <c r="D95" s="505" t="s">
        <v>333</v>
      </c>
      <c r="E95" s="506" t="s">
        <v>384</v>
      </c>
      <c r="F95" s="505" t="s">
        <v>300</v>
      </c>
      <c r="G95" s="72" t="s">
        <v>499</v>
      </c>
      <c r="H95" s="505" t="s">
        <v>461</v>
      </c>
      <c r="I95" s="497" t="s">
        <v>95</v>
      </c>
      <c r="J95" s="507">
        <v>14.4</v>
      </c>
      <c r="K95" s="355">
        <f t="shared" si="6"/>
        <v>104</v>
      </c>
      <c r="L95" s="263">
        <v>104</v>
      </c>
      <c r="M95" s="263"/>
      <c r="N95" s="262" t="e">
        <f>IF(L95="nio",0,IF(L95&gt;0,L95*J95/P95,0))*VLOOKUP(B95,'2-Kosten per locatie'!$A$14:$C$23,3,FALSE)</f>
        <v>#DIV/0!</v>
      </c>
      <c r="O95" s="262">
        <f>IF(M95&gt;0,M95*J95/Q95,0)*VLOOKUP(B95,'2-Kosten per locatie'!$A$14:$C$23,3,FALSE)</f>
        <v>0</v>
      </c>
      <c r="P95" s="356">
        <f>IF(L95="nio",0,IF(L95&gt;0,VLOOKUP(G95,'3-Productie normen'!A:L,VLOOKUP(L95,'3-Productie normen'!$B$32:$C$39,2,FALSE),FALSE)))</f>
        <v>0</v>
      </c>
      <c r="Q95" s="356">
        <f t="shared" si="7"/>
        <v>0</v>
      </c>
      <c r="R95" s="357" t="str">
        <f>VLOOKUP(G95,'3-Productie normen'!A:N,14,FALSE)</f>
        <v>B</v>
      </c>
      <c r="S95" s="357"/>
      <c r="U95" s="358">
        <f t="shared" si="8"/>
        <v>1497.6000000000001</v>
      </c>
    </row>
    <row r="96" spans="1:21" ht="14.1" customHeight="1">
      <c r="A96" s="75">
        <v>96</v>
      </c>
      <c r="B96" s="497" t="s">
        <v>496</v>
      </c>
      <c r="C96" s="320" t="s">
        <v>466</v>
      </c>
      <c r="D96" s="505" t="s">
        <v>333</v>
      </c>
      <c r="E96" s="506" t="s">
        <v>385</v>
      </c>
      <c r="F96" s="505" t="s">
        <v>335</v>
      </c>
      <c r="G96" s="72" t="s">
        <v>62</v>
      </c>
      <c r="H96" s="505" t="s">
        <v>269</v>
      </c>
      <c r="I96" s="497" t="s">
        <v>99</v>
      </c>
      <c r="J96" s="507">
        <v>26.7</v>
      </c>
      <c r="K96" s="355">
        <f t="shared" si="6"/>
        <v>104</v>
      </c>
      <c r="L96" s="263">
        <v>104</v>
      </c>
      <c r="M96" s="263"/>
      <c r="N96" s="262" t="e">
        <f>IF(L96="nio",0,IF(L96&gt;0,L96*J96/P96,0))*VLOOKUP(B96,'2-Kosten per locatie'!$A$14:$C$23,3,FALSE)</f>
        <v>#DIV/0!</v>
      </c>
      <c r="O96" s="262">
        <f>IF(M96&gt;0,M96*J96/Q96,0)*VLOOKUP(B96,'2-Kosten per locatie'!$A$14:$C$23,3,FALSE)</f>
        <v>0</v>
      </c>
      <c r="P96" s="356">
        <f>IF(L96="nio",0,IF(L96&gt;0,VLOOKUP(G96,'3-Productie normen'!A:L,VLOOKUP(L96,'3-Productie normen'!$B$32:$C$39,2,FALSE),FALSE)))</f>
        <v>0</v>
      </c>
      <c r="Q96" s="356">
        <f t="shared" si="7"/>
        <v>0</v>
      </c>
      <c r="R96" s="357" t="str">
        <f>VLOOKUP(G96,'3-Productie normen'!A:N,14,FALSE)</f>
        <v>V</v>
      </c>
      <c r="S96" s="357"/>
      <c r="U96" s="358">
        <f t="shared" si="8"/>
        <v>2776.7999999999997</v>
      </c>
    </row>
    <row r="97" spans="1:22" ht="14.1" customHeight="1">
      <c r="A97" s="75">
        <v>97</v>
      </c>
      <c r="B97" s="497" t="s">
        <v>520</v>
      </c>
      <c r="C97" s="320" t="s">
        <v>467</v>
      </c>
      <c r="D97" s="505" t="s">
        <v>94</v>
      </c>
      <c r="E97" s="506" t="s">
        <v>483</v>
      </c>
      <c r="F97" s="505" t="s">
        <v>64</v>
      </c>
      <c r="G97" s="72" t="s">
        <v>64</v>
      </c>
      <c r="H97" s="505" t="s">
        <v>269</v>
      </c>
      <c r="I97" s="497" t="s">
        <v>99</v>
      </c>
      <c r="J97" s="507">
        <v>1.8</v>
      </c>
      <c r="K97" s="355">
        <f t="shared" si="6"/>
        <v>52</v>
      </c>
      <c r="L97" s="263">
        <v>52</v>
      </c>
      <c r="M97" s="263"/>
      <c r="N97" s="262" t="e">
        <f>IF(L97="nio",0,IF(L97&gt;0,L97*J97/P97,0))*VLOOKUP(B97,'2-Kosten per locatie'!$A$14:$C$23,3,FALSE)</f>
        <v>#DIV/0!</v>
      </c>
      <c r="O97" s="262">
        <f>IF(M97&gt;0,M97*J97/Q97,0)*VLOOKUP(B97,'2-Kosten per locatie'!$A$14:$C$23,3,FALSE)</f>
        <v>0</v>
      </c>
      <c r="P97" s="356">
        <f>IF(L97="nio",0,IF(L97&gt;0,VLOOKUP(G97,'3-Productie normen'!A:L,VLOOKUP(L97,'3-Productie normen'!$B$32:$C$39,2,FALSE),FALSE)))</f>
        <v>0</v>
      </c>
      <c r="Q97" s="356">
        <f t="shared" si="7"/>
        <v>0</v>
      </c>
      <c r="R97" s="357" t="str">
        <f>VLOOKUP(G97,'3-Productie normen'!A:N,14,FALSE)</f>
        <v>V</v>
      </c>
      <c r="S97" s="357"/>
      <c r="U97" s="358">
        <f t="shared" si="8"/>
        <v>93.600000000000009</v>
      </c>
    </row>
    <row r="98" spans="1:22" ht="14.1" customHeight="1">
      <c r="A98" s="75">
        <v>98</v>
      </c>
      <c r="B98" s="497" t="s">
        <v>520</v>
      </c>
      <c r="C98" s="320" t="s">
        <v>467</v>
      </c>
      <c r="D98" s="505" t="s">
        <v>94</v>
      </c>
      <c r="E98" s="506" t="s">
        <v>484</v>
      </c>
      <c r="F98" s="505" t="s">
        <v>566</v>
      </c>
      <c r="G98" s="72" t="s">
        <v>499</v>
      </c>
      <c r="H98" s="505" t="s">
        <v>269</v>
      </c>
      <c r="I98" s="497" t="s">
        <v>99</v>
      </c>
      <c r="J98" s="507">
        <v>18.829999999999998</v>
      </c>
      <c r="K98" s="355">
        <f t="shared" si="6"/>
        <v>52</v>
      </c>
      <c r="L98" s="263">
        <v>52</v>
      </c>
      <c r="M98" s="263"/>
      <c r="N98" s="262" t="e">
        <f>IF(L98="nio",0,IF(L98&gt;0,L98*J98/P98,0))*VLOOKUP(B98,'2-Kosten per locatie'!$A$14:$C$23,3,FALSE)</f>
        <v>#DIV/0!</v>
      </c>
      <c r="O98" s="262">
        <f>IF(M98&gt;0,M98*J98/Q98,0)*VLOOKUP(B98,'2-Kosten per locatie'!$A$14:$C$23,3,FALSE)</f>
        <v>0</v>
      </c>
      <c r="P98" s="356">
        <f>IF(L98="nio",0,IF(L98&gt;0,VLOOKUP(G98,'3-Productie normen'!A:L,VLOOKUP(L98,'3-Productie normen'!$B$32:$C$39,2,FALSE),FALSE)))</f>
        <v>0</v>
      </c>
      <c r="Q98" s="356">
        <f t="shared" si="7"/>
        <v>0</v>
      </c>
      <c r="R98" s="357" t="str">
        <f>VLOOKUP(G98,'3-Productie normen'!A:N,14,FALSE)</f>
        <v>B</v>
      </c>
      <c r="S98" s="357"/>
      <c r="U98" s="358">
        <f t="shared" si="8"/>
        <v>979.15999999999985</v>
      </c>
    </row>
    <row r="99" spans="1:22" ht="14.1" customHeight="1">
      <c r="A99" s="75">
        <v>99</v>
      </c>
      <c r="B99" s="497" t="s">
        <v>520</v>
      </c>
      <c r="C99" s="320" t="s">
        <v>467</v>
      </c>
      <c r="D99" s="505" t="s">
        <v>94</v>
      </c>
      <c r="E99" s="506" t="s">
        <v>486</v>
      </c>
      <c r="F99" s="505" t="s">
        <v>259</v>
      </c>
      <c r="G99" s="72" t="s">
        <v>58</v>
      </c>
      <c r="H99" s="505" t="s">
        <v>269</v>
      </c>
      <c r="I99" s="497" t="s">
        <v>96</v>
      </c>
      <c r="J99" s="507">
        <v>1.2</v>
      </c>
      <c r="K99" s="355">
        <f t="shared" si="6"/>
        <v>52</v>
      </c>
      <c r="L99" s="263">
        <v>52</v>
      </c>
      <c r="M99" s="263"/>
      <c r="N99" s="262" t="e">
        <f>IF(L99="nio",0,IF(L99&gt;0,L99*J99/P99,0))*VLOOKUP(B99,'2-Kosten per locatie'!$A$14:$C$23,3,FALSE)</f>
        <v>#DIV/0!</v>
      </c>
      <c r="O99" s="262">
        <f>IF(M99&gt;0,M99*J99/Q99,0)*VLOOKUP(B99,'2-Kosten per locatie'!$A$14:$C$23,3,FALSE)</f>
        <v>0</v>
      </c>
      <c r="P99" s="356">
        <f>IF(L99="nio",0,IF(L99&gt;0,VLOOKUP(G99,'3-Productie normen'!A:L,VLOOKUP(L99,'3-Productie normen'!$B$32:$C$39,2,FALSE),FALSE)))</f>
        <v>0</v>
      </c>
      <c r="Q99" s="356">
        <f t="shared" si="7"/>
        <v>0</v>
      </c>
      <c r="R99" s="357" t="str">
        <f>VLOOKUP(G99,'3-Productie normen'!A:N,14,FALSE)</f>
        <v>S</v>
      </c>
      <c r="S99" s="357"/>
      <c r="U99" s="358">
        <f t="shared" si="8"/>
        <v>62.4</v>
      </c>
    </row>
    <row r="100" spans="1:22" ht="14.1" customHeight="1">
      <c r="A100" s="75">
        <v>100</v>
      </c>
      <c r="B100" s="497" t="s">
        <v>520</v>
      </c>
      <c r="C100" s="320" t="s">
        <v>565</v>
      </c>
      <c r="D100" s="505" t="s">
        <v>94</v>
      </c>
      <c r="E100" s="506" t="s">
        <v>487</v>
      </c>
      <c r="F100" s="505" t="s">
        <v>259</v>
      </c>
      <c r="G100" s="72" t="s">
        <v>58</v>
      </c>
      <c r="H100" s="505" t="s">
        <v>269</v>
      </c>
      <c r="I100" s="497" t="s">
        <v>96</v>
      </c>
      <c r="J100" s="507">
        <v>1.2</v>
      </c>
      <c r="K100" s="355">
        <f t="shared" ref="K100" si="9">SUM(L100:M100)</f>
        <v>52</v>
      </c>
      <c r="L100" s="263">
        <v>52</v>
      </c>
      <c r="M100" s="263"/>
      <c r="N100" s="262" t="e">
        <f>IF(L100="nio",0,IF(L100&gt;0,L100*J100/P100,0))*VLOOKUP(B100,'2-Kosten per locatie'!$A$14:$C$23,3,FALSE)</f>
        <v>#DIV/0!</v>
      </c>
      <c r="O100" s="262">
        <f>IF(M100&gt;0,M100*J100/Q100,0)*VLOOKUP(B100,'2-Kosten per locatie'!$A$14:$C$23,3,FALSE)</f>
        <v>0</v>
      </c>
      <c r="P100" s="356">
        <f>IF(L100="nio",0,IF(L100&gt;0,VLOOKUP(G100,'3-Productie normen'!A:L,VLOOKUP(L100,'3-Productie normen'!$B$32:$C$39,2,FALSE),FALSE)))</f>
        <v>0</v>
      </c>
      <c r="Q100" s="356"/>
      <c r="R100" s="357" t="str">
        <f>VLOOKUP(G100,'3-Productie normen'!A:N,14,FALSE)</f>
        <v>S</v>
      </c>
      <c r="S100" s="357"/>
      <c r="U100" s="358">
        <f t="shared" si="8"/>
        <v>62.4</v>
      </c>
    </row>
    <row r="101" spans="1:22" ht="14.1" customHeight="1">
      <c r="A101" s="75">
        <v>101</v>
      </c>
      <c r="B101" s="497" t="s">
        <v>521</v>
      </c>
      <c r="C101" s="320" t="s">
        <v>468</v>
      </c>
      <c r="D101" s="505" t="s">
        <v>94</v>
      </c>
      <c r="E101" s="506" t="s">
        <v>483</v>
      </c>
      <c r="F101" s="505" t="s">
        <v>64</v>
      </c>
      <c r="G101" s="72" t="s">
        <v>64</v>
      </c>
      <c r="H101" s="505" t="s">
        <v>269</v>
      </c>
      <c r="I101" s="497" t="s">
        <v>99</v>
      </c>
      <c r="J101" s="507">
        <v>7.2</v>
      </c>
      <c r="K101" s="355">
        <f t="shared" si="6"/>
        <v>52</v>
      </c>
      <c r="L101" s="263">
        <v>52</v>
      </c>
      <c r="M101" s="263"/>
      <c r="N101" s="262" t="e">
        <f>IF(L101="nio",0,IF(L101&gt;0,L101*J101/P101,0))*VLOOKUP(B101,'2-Kosten per locatie'!$A$14:$C$23,3,FALSE)</f>
        <v>#DIV/0!</v>
      </c>
      <c r="O101" s="262">
        <f>IF(M101&gt;0,M101*J101/Q101,0)*VLOOKUP(B101,'2-Kosten per locatie'!$A$14:$C$23,3,FALSE)</f>
        <v>0</v>
      </c>
      <c r="P101" s="356">
        <f>IF(L101="nio",0,IF(L101&gt;0,VLOOKUP(G101,'3-Productie normen'!A:L,VLOOKUP(L101,'3-Productie normen'!$B$32:$C$39,2,FALSE),FALSE)))</f>
        <v>0</v>
      </c>
      <c r="Q101" s="356">
        <f t="shared" si="7"/>
        <v>0</v>
      </c>
      <c r="R101" s="357" t="str">
        <f>VLOOKUP(G101,'3-Productie normen'!A:N,14,FALSE)</f>
        <v>V</v>
      </c>
      <c r="S101" s="357"/>
      <c r="U101" s="358">
        <f t="shared" si="8"/>
        <v>374.40000000000003</v>
      </c>
    </row>
    <row r="102" spans="1:22" ht="14.1" customHeight="1">
      <c r="A102" s="75">
        <v>102</v>
      </c>
      <c r="B102" s="497" t="s">
        <v>521</v>
      </c>
      <c r="C102" s="320" t="s">
        <v>468</v>
      </c>
      <c r="D102" s="505" t="s">
        <v>94</v>
      </c>
      <c r="E102" s="506" t="s">
        <v>484</v>
      </c>
      <c r="F102" s="505" t="s">
        <v>259</v>
      </c>
      <c r="G102" s="72" t="s">
        <v>58</v>
      </c>
      <c r="H102" s="505" t="s">
        <v>269</v>
      </c>
      <c r="I102" s="497" t="s">
        <v>96</v>
      </c>
      <c r="J102" s="507">
        <v>1.7</v>
      </c>
      <c r="K102" s="355">
        <f t="shared" si="6"/>
        <v>52</v>
      </c>
      <c r="L102" s="263">
        <v>52</v>
      </c>
      <c r="M102" s="263"/>
      <c r="N102" s="262" t="e">
        <f>IF(L102="nio",0,IF(L102&gt;0,L102*J102/P102,0))*VLOOKUP(B102,'2-Kosten per locatie'!$A$14:$C$23,3,FALSE)</f>
        <v>#DIV/0!</v>
      </c>
      <c r="O102" s="262">
        <f>IF(M102&gt;0,M102*J102/Q102,0)*VLOOKUP(B102,'2-Kosten per locatie'!$A$14:$C$23,3,FALSE)</f>
        <v>0</v>
      </c>
      <c r="P102" s="356">
        <f>IF(L102="nio",0,IF(L102&gt;0,VLOOKUP(G102,'3-Productie normen'!A:L,VLOOKUP(L102,'3-Productie normen'!$B$32:$C$39,2,FALSE),FALSE)))</f>
        <v>0</v>
      </c>
      <c r="Q102" s="356">
        <f t="shared" si="7"/>
        <v>0</v>
      </c>
      <c r="R102" s="357" t="str">
        <f>VLOOKUP(G102,'3-Productie normen'!A:N,14,FALSE)</f>
        <v>S</v>
      </c>
      <c r="S102" s="357"/>
      <c r="U102" s="358">
        <f t="shared" si="8"/>
        <v>88.399999999999991</v>
      </c>
    </row>
    <row r="103" spans="1:22" ht="14.1" customHeight="1">
      <c r="A103" s="75">
        <v>103</v>
      </c>
      <c r="B103" s="497" t="s">
        <v>521</v>
      </c>
      <c r="C103" s="320" t="s">
        <v>468</v>
      </c>
      <c r="D103" s="505" t="s">
        <v>94</v>
      </c>
      <c r="E103" s="506" t="s">
        <v>489</v>
      </c>
      <c r="F103" s="505" t="s">
        <v>335</v>
      </c>
      <c r="G103" s="72" t="s">
        <v>62</v>
      </c>
      <c r="H103" s="505" t="s">
        <v>269</v>
      </c>
      <c r="I103" s="497" t="s">
        <v>99</v>
      </c>
      <c r="J103" s="507">
        <v>26.7</v>
      </c>
      <c r="K103" s="355">
        <f t="shared" si="6"/>
        <v>52</v>
      </c>
      <c r="L103" s="263">
        <v>52</v>
      </c>
      <c r="M103" s="263"/>
      <c r="N103" s="262" t="e">
        <f>IF(L103="nio",0,IF(L103&gt;0,L103*J103/P103,0))*VLOOKUP(B103,'2-Kosten per locatie'!$A$14:$C$23,3,FALSE)</f>
        <v>#DIV/0!</v>
      </c>
      <c r="O103" s="262">
        <f>IF(M103&gt;0,M103*J103/Q103,0)*VLOOKUP(B103,'2-Kosten per locatie'!$A$14:$C$23,3,FALSE)</f>
        <v>0</v>
      </c>
      <c r="P103" s="356">
        <f>IF(L103="nio",0,IF(L103&gt;0,VLOOKUP(G103,'3-Productie normen'!A:L,VLOOKUP(L103,'3-Productie normen'!$B$32:$C$39,2,FALSE),FALSE)))</f>
        <v>0</v>
      </c>
      <c r="Q103" s="356">
        <f t="shared" si="7"/>
        <v>0</v>
      </c>
      <c r="R103" s="357" t="str">
        <f>VLOOKUP(G103,'3-Productie normen'!A:N,14,FALSE)</f>
        <v>V</v>
      </c>
      <c r="S103" s="357"/>
      <c r="U103" s="358">
        <f t="shared" si="8"/>
        <v>1388.3999999999999</v>
      </c>
    </row>
    <row r="104" spans="1:22" ht="14.1" customHeight="1">
      <c r="A104" s="75">
        <v>104</v>
      </c>
      <c r="B104" s="497" t="s">
        <v>272</v>
      </c>
      <c r="C104" s="320" t="s">
        <v>273</v>
      </c>
      <c r="D104" s="505" t="s">
        <v>97</v>
      </c>
      <c r="E104" s="506" t="s">
        <v>274</v>
      </c>
      <c r="F104" s="505" t="s">
        <v>263</v>
      </c>
      <c r="G104" s="505" t="s">
        <v>502</v>
      </c>
      <c r="H104" s="505" t="s">
        <v>461</v>
      </c>
      <c r="I104" s="508" t="s">
        <v>95</v>
      </c>
      <c r="J104" s="506">
        <v>59.2</v>
      </c>
      <c r="K104" s="355">
        <f t="shared" si="6"/>
        <v>52</v>
      </c>
      <c r="L104" s="263">
        <v>52</v>
      </c>
      <c r="M104" s="263"/>
      <c r="N104" s="516" t="e">
        <f>IF(L104="nio",0,IF(L104&gt;0,L104*J104/P104,0))*VLOOKUP(B104,'2-Kosten per locatie'!$A$14:$C$23,3,FALSE)</f>
        <v>#DIV/0!</v>
      </c>
      <c r="O104" s="262">
        <f>IF(M104&gt;0,M104*J104/Q104,0)*VLOOKUP(B104,'2-Kosten per locatie'!$A$14:$C$23,3,FALSE)</f>
        <v>0</v>
      </c>
      <c r="P104" s="356">
        <f>IF(L104="nio",0,IF(L104&gt;0,VLOOKUP(G104,'3-Productie normen'!A:L,VLOOKUP(L104,'3-Productie normen'!$B$32:$C$39,2,FALSE),FALSE)))</f>
        <v>0</v>
      </c>
      <c r="Q104" s="356">
        <f t="shared" si="7"/>
        <v>0</v>
      </c>
      <c r="R104" s="357" t="str">
        <f>VLOOKUP(G104,'3-Productie normen'!A:N,14,FALSE)</f>
        <v>V</v>
      </c>
      <c r="S104" s="357"/>
      <c r="U104" s="358">
        <f t="shared" si="8"/>
        <v>3078.4</v>
      </c>
    </row>
    <row r="105" spans="1:22" ht="14.1" customHeight="1">
      <c r="A105" s="75">
        <v>105</v>
      </c>
      <c r="B105" s="498" t="s">
        <v>272</v>
      </c>
      <c r="C105" s="320" t="s">
        <v>273</v>
      </c>
      <c r="D105" s="505" t="s">
        <v>97</v>
      </c>
      <c r="E105" s="354" t="s">
        <v>275</v>
      </c>
      <c r="F105" s="517" t="s">
        <v>263</v>
      </c>
      <c r="G105" s="517" t="s">
        <v>502</v>
      </c>
      <c r="H105" s="72" t="s">
        <v>461</v>
      </c>
      <c r="I105" s="497" t="s">
        <v>95</v>
      </c>
      <c r="J105" s="518">
        <v>25.1</v>
      </c>
      <c r="K105" s="355">
        <f t="shared" si="6"/>
        <v>0</v>
      </c>
      <c r="L105" s="519" t="s">
        <v>463</v>
      </c>
      <c r="M105" s="519"/>
      <c r="N105" s="516">
        <f>IF(L105="nio",0,IF(L105&gt;0,L105*J105/P105,0))*VLOOKUP(B105,'2-Kosten per locatie'!$A$14:$C$23,3,FALSE)</f>
        <v>0</v>
      </c>
      <c r="O105" s="262">
        <f>IF(M105&gt;0,M105*J105/Q105,0)*VLOOKUP(B105,'2-Kosten per locatie'!$A$14:$C$23,3,FALSE)</f>
        <v>0</v>
      </c>
      <c r="P105" s="356">
        <f>IF(L105="nio",0,IF(L105&gt;0,VLOOKUP(G105,'3-Productie normen'!A:L,VLOOKUP(L105,'3-Productie normen'!$B$32:$C$39,2,FALSE),FALSE)))</f>
        <v>0</v>
      </c>
      <c r="Q105" s="356">
        <f t="shared" ref="Q105:Q165" si="10">IF(M105&gt;0,P105*$Q$8,0)</f>
        <v>0</v>
      </c>
      <c r="R105" s="357" t="str">
        <f>VLOOKUP(G105,'3-Productie normen'!A:N,14,FALSE)</f>
        <v>V</v>
      </c>
      <c r="S105" s="357"/>
      <c r="U105" s="358">
        <f t="shared" ref="U105:U165" si="11">K105*J105</f>
        <v>0</v>
      </c>
      <c r="V105" s="15"/>
    </row>
    <row r="106" spans="1:22" ht="14.1" customHeight="1">
      <c r="A106" s="75">
        <v>106</v>
      </c>
      <c r="B106" s="497" t="s">
        <v>272</v>
      </c>
      <c r="C106" s="320" t="s">
        <v>273</v>
      </c>
      <c r="D106" s="505" t="s">
        <v>97</v>
      </c>
      <c r="E106" s="354" t="s">
        <v>276</v>
      </c>
      <c r="F106" s="517" t="s">
        <v>513</v>
      </c>
      <c r="G106" s="517" t="s">
        <v>502</v>
      </c>
      <c r="H106" s="72" t="s">
        <v>269</v>
      </c>
      <c r="I106" s="497" t="s">
        <v>99</v>
      </c>
      <c r="J106" s="518">
        <v>15.5</v>
      </c>
      <c r="K106" s="355">
        <f t="shared" si="6"/>
        <v>52</v>
      </c>
      <c r="L106" s="519">
        <v>52</v>
      </c>
      <c r="M106" s="519"/>
      <c r="N106" s="516" t="e">
        <f>IF(L106="nio",0,IF(L106&gt;0,L106*J106/P106,0))*VLOOKUP(B106,'2-Kosten per locatie'!$A$14:$C$23,3,FALSE)</f>
        <v>#DIV/0!</v>
      </c>
      <c r="O106" s="262">
        <f>IF(M106&gt;0,M106*J106/Q106,0)*VLOOKUP(B106,'2-Kosten per locatie'!$A$14:$C$23,3,FALSE)</f>
        <v>0</v>
      </c>
      <c r="P106" s="356">
        <f>IF(L106="nio",0,IF(L106&gt;0,VLOOKUP(G106,'3-Productie normen'!A:L,VLOOKUP(L106,'3-Productie normen'!$B$32:$C$39,2,FALSE),FALSE)))</f>
        <v>0</v>
      </c>
      <c r="Q106" s="356">
        <f t="shared" si="10"/>
        <v>0</v>
      </c>
      <c r="R106" s="357" t="str">
        <f>VLOOKUP(G106,'3-Productie normen'!A:N,14,FALSE)</f>
        <v>V</v>
      </c>
      <c r="S106" s="357"/>
      <c r="U106" s="358">
        <f t="shared" si="11"/>
        <v>806</v>
      </c>
      <c r="V106" s="15"/>
    </row>
    <row r="107" spans="1:22" ht="14.1" customHeight="1">
      <c r="A107" s="75">
        <v>107</v>
      </c>
      <c r="B107" s="498" t="s">
        <v>272</v>
      </c>
      <c r="C107" s="320" t="s">
        <v>273</v>
      </c>
      <c r="D107" s="505" t="s">
        <v>97</v>
      </c>
      <c r="E107" s="354" t="s">
        <v>277</v>
      </c>
      <c r="F107" s="517" t="s">
        <v>510</v>
      </c>
      <c r="G107" s="517" t="s">
        <v>502</v>
      </c>
      <c r="H107" s="72" t="s">
        <v>461</v>
      </c>
      <c r="I107" s="497" t="s">
        <v>95</v>
      </c>
      <c r="J107" s="518">
        <v>34.4</v>
      </c>
      <c r="K107" s="355">
        <f t="shared" si="6"/>
        <v>0</v>
      </c>
      <c r="L107" s="519" t="s">
        <v>463</v>
      </c>
      <c r="M107" s="519"/>
      <c r="N107" s="516">
        <f>IF(L107="nio",0,IF(L107&gt;0,L107*J107/P107,0))*VLOOKUP(B107,'2-Kosten per locatie'!$A$14:$C$23,3,FALSE)</f>
        <v>0</v>
      </c>
      <c r="O107" s="262">
        <f>IF(M107&gt;0,M107*J107/Q107,0)*VLOOKUP(B107,'2-Kosten per locatie'!$A$14:$C$23,3,FALSE)</f>
        <v>0</v>
      </c>
      <c r="P107" s="356">
        <f>IF(L107="nio",0,IF(L107&gt;0,VLOOKUP(G107,'3-Productie normen'!A:L,VLOOKUP(L107,'3-Productie normen'!$B$32:$C$39,2,FALSE),FALSE)))</f>
        <v>0</v>
      </c>
      <c r="Q107" s="356">
        <f t="shared" si="10"/>
        <v>0</v>
      </c>
      <c r="R107" s="357" t="str">
        <f>VLOOKUP(G107,'3-Productie normen'!A:N,14,FALSE)</f>
        <v>V</v>
      </c>
      <c r="S107" s="357"/>
      <c r="U107" s="358">
        <f t="shared" si="11"/>
        <v>0</v>
      </c>
      <c r="V107" s="15"/>
    </row>
    <row r="108" spans="1:22" ht="14.1" customHeight="1">
      <c r="A108" s="75">
        <v>108</v>
      </c>
      <c r="B108" s="497" t="s">
        <v>272</v>
      </c>
      <c r="C108" s="320" t="s">
        <v>273</v>
      </c>
      <c r="D108" s="505" t="s">
        <v>97</v>
      </c>
      <c r="E108" s="354" t="s">
        <v>278</v>
      </c>
      <c r="F108" s="517" t="s">
        <v>512</v>
      </c>
      <c r="G108" s="517" t="s">
        <v>63</v>
      </c>
      <c r="H108" s="72" t="s">
        <v>461</v>
      </c>
      <c r="I108" s="497" t="s">
        <v>95</v>
      </c>
      <c r="J108" s="518">
        <v>13</v>
      </c>
      <c r="K108" s="355">
        <f t="shared" si="6"/>
        <v>104</v>
      </c>
      <c r="L108" s="519">
        <v>104</v>
      </c>
      <c r="M108" s="519"/>
      <c r="N108" s="516" t="e">
        <f>IF(L108="nio",0,IF(L108&gt;0,L108*J108/P108,0))*VLOOKUP(B108,'2-Kosten per locatie'!$A$14:$C$23,3,FALSE)</f>
        <v>#DIV/0!</v>
      </c>
      <c r="O108" s="262">
        <f>IF(M108&gt;0,M108*J108/Q108,0)*VLOOKUP(B108,'2-Kosten per locatie'!$A$14:$C$23,3,FALSE)</f>
        <v>0</v>
      </c>
      <c r="P108" s="356">
        <f>IF(L108="nio",0,IF(L108&gt;0,VLOOKUP(G108,'3-Productie normen'!A:L,VLOOKUP(L108,'3-Productie normen'!$B$32:$C$39,2,FALSE),FALSE)))</f>
        <v>0</v>
      </c>
      <c r="Q108" s="356">
        <f t="shared" si="10"/>
        <v>0</v>
      </c>
      <c r="R108" s="357" t="str">
        <f>VLOOKUP(G108,'3-Productie normen'!A:N,14,FALSE)</f>
        <v>B</v>
      </c>
      <c r="S108" s="357"/>
      <c r="U108" s="358">
        <f t="shared" si="11"/>
        <v>1352</v>
      </c>
      <c r="V108" s="15"/>
    </row>
    <row r="109" spans="1:22" ht="14.1" customHeight="1">
      <c r="A109" s="75">
        <v>109</v>
      </c>
      <c r="B109" s="498" t="s">
        <v>272</v>
      </c>
      <c r="C109" s="320" t="s">
        <v>273</v>
      </c>
      <c r="D109" s="505" t="s">
        <v>97</v>
      </c>
      <c r="E109" s="354" t="s">
        <v>279</v>
      </c>
      <c r="F109" s="517" t="s">
        <v>280</v>
      </c>
      <c r="G109" s="517" t="s">
        <v>499</v>
      </c>
      <c r="H109" s="72" t="s">
        <v>269</v>
      </c>
      <c r="I109" s="497" t="s">
        <v>99</v>
      </c>
      <c r="J109" s="518">
        <v>42.4</v>
      </c>
      <c r="K109" s="355">
        <f t="shared" si="6"/>
        <v>104</v>
      </c>
      <c r="L109" s="519">
        <v>104</v>
      </c>
      <c r="M109" s="519"/>
      <c r="N109" s="516" t="e">
        <f>IF(L109="nio",0,IF(L109&gt;0,L109*J109/P109,0))*VLOOKUP(B109,'2-Kosten per locatie'!$A$14:$C$23,3,FALSE)</f>
        <v>#DIV/0!</v>
      </c>
      <c r="O109" s="262">
        <f>IF(M109&gt;0,M109*J109/Q109,0)*VLOOKUP(B109,'2-Kosten per locatie'!$A$14:$C$23,3,FALSE)</f>
        <v>0</v>
      </c>
      <c r="P109" s="356">
        <f>IF(L109="nio",0,IF(L109&gt;0,VLOOKUP(G109,'3-Productie normen'!A:L,VLOOKUP(L109,'3-Productie normen'!$B$32:$C$39,2,FALSE),FALSE)))</f>
        <v>0</v>
      </c>
      <c r="Q109" s="356">
        <f t="shared" si="10"/>
        <v>0</v>
      </c>
      <c r="R109" s="357" t="str">
        <f>VLOOKUP(G109,'3-Productie normen'!A:N,14,FALSE)</f>
        <v>B</v>
      </c>
      <c r="S109" s="357"/>
      <c r="U109" s="358">
        <f t="shared" si="11"/>
        <v>4409.5999999999995</v>
      </c>
      <c r="V109" s="15"/>
    </row>
    <row r="110" spans="1:22" ht="14.1" customHeight="1">
      <c r="A110" s="75">
        <v>110</v>
      </c>
      <c r="B110" s="497" t="s">
        <v>272</v>
      </c>
      <c r="C110" s="320" t="s">
        <v>273</v>
      </c>
      <c r="D110" s="505" t="s">
        <v>97</v>
      </c>
      <c r="E110" s="354" t="s">
        <v>281</v>
      </c>
      <c r="F110" s="517" t="s">
        <v>280</v>
      </c>
      <c r="G110" s="517" t="s">
        <v>499</v>
      </c>
      <c r="H110" s="72" t="s">
        <v>269</v>
      </c>
      <c r="I110" s="497" t="s">
        <v>99</v>
      </c>
      <c r="J110" s="518">
        <v>57.4</v>
      </c>
      <c r="K110" s="355">
        <f t="shared" si="6"/>
        <v>104</v>
      </c>
      <c r="L110" s="519">
        <v>104</v>
      </c>
      <c r="M110" s="519"/>
      <c r="N110" s="516" t="e">
        <f>IF(L110="nio",0,IF(L110&gt;0,L110*J110/P110,0))*VLOOKUP(B110,'2-Kosten per locatie'!$A$14:$C$23,3,FALSE)</f>
        <v>#DIV/0!</v>
      </c>
      <c r="O110" s="262">
        <f>IF(M110&gt;0,M110*J110/Q110,0)*VLOOKUP(B110,'2-Kosten per locatie'!$A$14:$C$23,3,FALSE)</f>
        <v>0</v>
      </c>
      <c r="P110" s="356">
        <f>IF(L110="nio",0,IF(L110&gt;0,VLOOKUP(G110,'3-Productie normen'!A:L,VLOOKUP(L110,'3-Productie normen'!$B$32:$C$39,2,FALSE),FALSE)))</f>
        <v>0</v>
      </c>
      <c r="Q110" s="356">
        <f t="shared" si="10"/>
        <v>0</v>
      </c>
      <c r="R110" s="357" t="str">
        <f>VLOOKUP(G110,'3-Productie normen'!A:N,14,FALSE)</f>
        <v>B</v>
      </c>
      <c r="S110" s="357"/>
      <c r="U110" s="358">
        <f t="shared" si="11"/>
        <v>5969.5999999999995</v>
      </c>
    </row>
    <row r="111" spans="1:22" ht="14.1" customHeight="1">
      <c r="A111" s="75">
        <v>111</v>
      </c>
      <c r="B111" s="498" t="s">
        <v>272</v>
      </c>
      <c r="C111" s="320" t="s">
        <v>273</v>
      </c>
      <c r="D111" s="505" t="s">
        <v>97</v>
      </c>
      <c r="E111" s="354" t="s">
        <v>282</v>
      </c>
      <c r="F111" s="517" t="s">
        <v>280</v>
      </c>
      <c r="G111" s="517" t="s">
        <v>499</v>
      </c>
      <c r="H111" s="72" t="s">
        <v>269</v>
      </c>
      <c r="I111" s="497" t="s">
        <v>99</v>
      </c>
      <c r="J111" s="518">
        <v>11.7</v>
      </c>
      <c r="K111" s="355">
        <f t="shared" si="6"/>
        <v>104</v>
      </c>
      <c r="L111" s="519">
        <v>104</v>
      </c>
      <c r="M111" s="519"/>
      <c r="N111" s="516" t="e">
        <f>IF(L111="nio",0,IF(L111&gt;0,L111*J111/P111,0))*VLOOKUP(B111,'2-Kosten per locatie'!$A$14:$C$23,3,FALSE)</f>
        <v>#DIV/0!</v>
      </c>
      <c r="O111" s="262">
        <f>IF(M111&gt;0,M111*J111/Q111,0)*VLOOKUP(B111,'2-Kosten per locatie'!$A$14:$C$23,3,FALSE)</f>
        <v>0</v>
      </c>
      <c r="P111" s="356">
        <f>IF(L111="nio",0,IF(L111&gt;0,VLOOKUP(G111,'3-Productie normen'!A:L,VLOOKUP(L111,'3-Productie normen'!$B$32:$C$39,2,FALSE),FALSE)))</f>
        <v>0</v>
      </c>
      <c r="Q111" s="356">
        <f t="shared" si="10"/>
        <v>0</v>
      </c>
      <c r="R111" s="357" t="str">
        <f>VLOOKUP(G111,'3-Productie normen'!A:N,14,FALSE)</f>
        <v>B</v>
      </c>
      <c r="S111" s="357"/>
      <c r="U111" s="358">
        <f t="shared" si="11"/>
        <v>1216.8</v>
      </c>
    </row>
    <row r="112" spans="1:22" ht="14.1" customHeight="1">
      <c r="A112" s="75">
        <v>112</v>
      </c>
      <c r="B112" s="497" t="s">
        <v>272</v>
      </c>
      <c r="C112" s="320" t="s">
        <v>273</v>
      </c>
      <c r="D112" s="505" t="s">
        <v>97</v>
      </c>
      <c r="E112" s="354" t="s">
        <v>283</v>
      </c>
      <c r="F112" s="517" t="s">
        <v>260</v>
      </c>
      <c r="G112" s="517" t="s">
        <v>501</v>
      </c>
      <c r="H112" s="72" t="s">
        <v>269</v>
      </c>
      <c r="I112" s="497" t="s">
        <v>96</v>
      </c>
      <c r="J112" s="518">
        <v>3</v>
      </c>
      <c r="K112" s="355">
        <f t="shared" si="6"/>
        <v>255</v>
      </c>
      <c r="L112" s="519">
        <v>255</v>
      </c>
      <c r="M112" s="519"/>
      <c r="N112" s="516" t="e">
        <f>IF(L112="nio",0,IF(L112&gt;0,L112*J112/P112,0))*VLOOKUP(B112,'2-Kosten per locatie'!$A$14:$C$23,3,FALSE)</f>
        <v>#DIV/0!</v>
      </c>
      <c r="O112" s="262">
        <f>IF(M112&gt;0,M112*J112/Q112,0)*VLOOKUP(B112,'2-Kosten per locatie'!$A$14:$C$23,3,FALSE)</f>
        <v>0</v>
      </c>
      <c r="P112" s="356">
        <f>IF(L112="nio",0,IF(L112&gt;0,VLOOKUP(G112,'3-Productie normen'!A:L,VLOOKUP(L112,'3-Productie normen'!$B$32:$C$39,2,FALSE),FALSE)))</f>
        <v>0</v>
      </c>
      <c r="Q112" s="356">
        <f t="shared" si="10"/>
        <v>0</v>
      </c>
      <c r="R112" s="357" t="str">
        <f>VLOOKUP(G112,'3-Productie normen'!A:N,14,FALSE)</f>
        <v>S</v>
      </c>
      <c r="S112" s="357"/>
      <c r="U112" s="358">
        <f t="shared" si="11"/>
        <v>765</v>
      </c>
    </row>
    <row r="113" spans="1:21" ht="14.1" customHeight="1">
      <c r="A113" s="75">
        <v>113</v>
      </c>
      <c r="B113" s="498" t="s">
        <v>272</v>
      </c>
      <c r="C113" s="320" t="s">
        <v>273</v>
      </c>
      <c r="D113" s="505" t="s">
        <v>97</v>
      </c>
      <c r="E113" s="354" t="s">
        <v>284</v>
      </c>
      <c r="F113" s="517" t="s">
        <v>260</v>
      </c>
      <c r="G113" s="517" t="s">
        <v>501</v>
      </c>
      <c r="H113" s="72" t="s">
        <v>269</v>
      </c>
      <c r="I113" s="497" t="s">
        <v>96</v>
      </c>
      <c r="J113" s="518">
        <v>5</v>
      </c>
      <c r="K113" s="355">
        <f t="shared" si="6"/>
        <v>255</v>
      </c>
      <c r="L113" s="519">
        <v>255</v>
      </c>
      <c r="M113" s="519"/>
      <c r="N113" s="516" t="e">
        <f>IF(L113="nio",0,IF(L113&gt;0,L113*J113/P113,0))*VLOOKUP(B113,'2-Kosten per locatie'!$A$14:$C$23,3,FALSE)</f>
        <v>#DIV/0!</v>
      </c>
      <c r="O113" s="262">
        <f>IF(M113&gt;0,M113*J113/Q113,0)*VLOOKUP(B113,'2-Kosten per locatie'!$A$14:$C$23,3,FALSE)</f>
        <v>0</v>
      </c>
      <c r="P113" s="356">
        <f>IF(L113="nio",0,IF(L113&gt;0,VLOOKUP(G113,'3-Productie normen'!A:L,VLOOKUP(L113,'3-Productie normen'!$B$32:$C$39,2,FALSE),FALSE)))</f>
        <v>0</v>
      </c>
      <c r="Q113" s="356">
        <f t="shared" si="10"/>
        <v>0</v>
      </c>
      <c r="R113" s="357" t="str">
        <f>VLOOKUP(G113,'3-Productie normen'!A:N,14,FALSE)</f>
        <v>S</v>
      </c>
      <c r="S113" s="357"/>
      <c r="U113" s="358">
        <f t="shared" si="11"/>
        <v>1275</v>
      </c>
    </row>
    <row r="114" spans="1:21" ht="14.1" customHeight="1">
      <c r="A114" s="75">
        <v>114</v>
      </c>
      <c r="B114" s="497" t="s">
        <v>272</v>
      </c>
      <c r="C114" s="320" t="s">
        <v>273</v>
      </c>
      <c r="D114" s="505" t="s">
        <v>97</v>
      </c>
      <c r="E114" s="354" t="s">
        <v>285</v>
      </c>
      <c r="F114" s="517" t="s">
        <v>491</v>
      </c>
      <c r="G114" s="517" t="s">
        <v>501</v>
      </c>
      <c r="H114" s="72" t="s">
        <v>269</v>
      </c>
      <c r="I114" s="497" t="s">
        <v>96</v>
      </c>
      <c r="J114" s="518">
        <v>5</v>
      </c>
      <c r="K114" s="355">
        <f t="shared" si="6"/>
        <v>255</v>
      </c>
      <c r="L114" s="519">
        <v>255</v>
      </c>
      <c r="M114" s="519"/>
      <c r="N114" s="516" t="e">
        <f>IF(L114="nio",0,IF(L114&gt;0,L114*J114/P114,0))*VLOOKUP(B114,'2-Kosten per locatie'!$A$14:$C$23,3,FALSE)</f>
        <v>#DIV/0!</v>
      </c>
      <c r="O114" s="262">
        <f>IF(M114&gt;0,M114*J114/Q114,0)*VLOOKUP(B114,'2-Kosten per locatie'!$A$14:$C$23,3,FALSE)</f>
        <v>0</v>
      </c>
      <c r="P114" s="356">
        <f>IF(L114="nio",0,IF(L114&gt;0,VLOOKUP(G114,'3-Productie normen'!A:L,VLOOKUP(L114,'3-Productie normen'!$B$32:$C$39,2,FALSE),FALSE)))</f>
        <v>0</v>
      </c>
      <c r="Q114" s="356">
        <f t="shared" si="10"/>
        <v>0</v>
      </c>
      <c r="R114" s="357" t="str">
        <f>VLOOKUP(G114,'3-Productie normen'!A:N,14,FALSE)</f>
        <v>S</v>
      </c>
      <c r="S114" s="357"/>
      <c r="U114" s="358">
        <f t="shared" si="11"/>
        <v>1275</v>
      </c>
    </row>
    <row r="115" spans="1:21" ht="14.1" customHeight="1">
      <c r="A115" s="75">
        <v>115</v>
      </c>
      <c r="B115" s="498" t="s">
        <v>272</v>
      </c>
      <c r="C115" s="320" t="s">
        <v>273</v>
      </c>
      <c r="D115" s="505" t="s">
        <v>97</v>
      </c>
      <c r="E115" s="354" t="s">
        <v>286</v>
      </c>
      <c r="F115" s="517" t="s">
        <v>513</v>
      </c>
      <c r="G115" s="517" t="s">
        <v>502</v>
      </c>
      <c r="H115" s="72" t="s">
        <v>269</v>
      </c>
      <c r="I115" s="497" t="s">
        <v>99</v>
      </c>
      <c r="J115" s="518">
        <v>94.5</v>
      </c>
      <c r="K115" s="355">
        <f t="shared" si="6"/>
        <v>4</v>
      </c>
      <c r="L115" s="519">
        <v>4</v>
      </c>
      <c r="M115" s="519"/>
      <c r="N115" s="516" t="e">
        <f>IF(L115="nio",0,IF(L115&gt;0,L115*J115/P115,0))*VLOOKUP(B115,'2-Kosten per locatie'!$A$14:$C$23,3,FALSE)</f>
        <v>#DIV/0!</v>
      </c>
      <c r="O115" s="262">
        <f>IF(M115&gt;0,M115*J115/Q115,0)*VLOOKUP(B115,'2-Kosten per locatie'!$A$14:$C$23,3,FALSE)</f>
        <v>0</v>
      </c>
      <c r="P115" s="356">
        <f>IF(L115="nio",0,IF(L115&gt;0,VLOOKUP(G115,'3-Productie normen'!A:L,VLOOKUP(L115,'3-Productie normen'!$B$32:$C$39,2,FALSE),FALSE)))</f>
        <v>0</v>
      </c>
      <c r="Q115" s="356">
        <f t="shared" si="10"/>
        <v>0</v>
      </c>
      <c r="R115" s="357" t="str">
        <f>VLOOKUP(G115,'3-Productie normen'!A:N,14,FALSE)</f>
        <v>V</v>
      </c>
      <c r="S115" s="357"/>
      <c r="U115" s="358">
        <f t="shared" si="11"/>
        <v>378</v>
      </c>
    </row>
    <row r="116" spans="1:21" ht="14.1" customHeight="1">
      <c r="A116" s="75">
        <v>116</v>
      </c>
      <c r="B116" s="498" t="s">
        <v>272</v>
      </c>
      <c r="C116" s="320" t="s">
        <v>273</v>
      </c>
      <c r="D116" s="505" t="s">
        <v>97</v>
      </c>
      <c r="E116" s="354" t="s">
        <v>287</v>
      </c>
      <c r="F116" s="517" t="s">
        <v>513</v>
      </c>
      <c r="G116" s="517" t="s">
        <v>502</v>
      </c>
      <c r="H116" s="72" t="s">
        <v>269</v>
      </c>
      <c r="I116" s="497" t="s">
        <v>99</v>
      </c>
      <c r="J116" s="518">
        <v>152.5</v>
      </c>
      <c r="K116" s="355">
        <f t="shared" si="6"/>
        <v>4</v>
      </c>
      <c r="L116" s="519">
        <v>4</v>
      </c>
      <c r="M116" s="519"/>
      <c r="N116" s="516" t="e">
        <f>IF(L116="nio",0,IF(L116&gt;0,L116*J116/P116,0))*VLOOKUP(B116,'2-Kosten per locatie'!$A$14:$C$23,3,FALSE)</f>
        <v>#DIV/0!</v>
      </c>
      <c r="O116" s="262">
        <f>IF(M116&gt;0,M116*J116/Q116,0)*VLOOKUP(B116,'2-Kosten per locatie'!$A$14:$C$23,3,FALSE)</f>
        <v>0</v>
      </c>
      <c r="P116" s="356">
        <f>IF(L116="nio",0,IF(L116&gt;0,VLOOKUP(G116,'3-Productie normen'!A:L,VLOOKUP(L116,'3-Productie normen'!$B$32:$C$39,2,FALSE),FALSE)))</f>
        <v>0</v>
      </c>
      <c r="Q116" s="356">
        <f t="shared" si="10"/>
        <v>0</v>
      </c>
      <c r="R116" s="357" t="str">
        <f>VLOOKUP(G116,'3-Productie normen'!A:N,14,FALSE)</f>
        <v>V</v>
      </c>
      <c r="S116" s="357"/>
      <c r="U116" s="358">
        <f t="shared" si="11"/>
        <v>610</v>
      </c>
    </row>
    <row r="117" spans="1:21" ht="14.1" customHeight="1">
      <c r="A117" s="75">
        <v>117</v>
      </c>
      <c r="B117" s="497" t="s">
        <v>272</v>
      </c>
      <c r="C117" s="320" t="s">
        <v>273</v>
      </c>
      <c r="D117" s="505" t="s">
        <v>97</v>
      </c>
      <c r="E117" s="354" t="s">
        <v>288</v>
      </c>
      <c r="F117" s="517" t="s">
        <v>513</v>
      </c>
      <c r="G117" s="517" t="s">
        <v>502</v>
      </c>
      <c r="H117" s="72" t="s">
        <v>269</v>
      </c>
      <c r="I117" s="497" t="s">
        <v>99</v>
      </c>
      <c r="J117" s="518">
        <v>17.2</v>
      </c>
      <c r="K117" s="355">
        <f t="shared" si="6"/>
        <v>4</v>
      </c>
      <c r="L117" s="519">
        <v>4</v>
      </c>
      <c r="M117" s="519"/>
      <c r="N117" s="516" t="e">
        <f>IF(L117="nio",0,IF(L117&gt;0,L117*J117/P117,0))*VLOOKUP(B117,'2-Kosten per locatie'!$A$14:$C$23,3,FALSE)</f>
        <v>#DIV/0!</v>
      </c>
      <c r="O117" s="262">
        <f>IF(M117&gt;0,M117*J117/Q117,0)*VLOOKUP(B117,'2-Kosten per locatie'!$A$14:$C$23,3,FALSE)</f>
        <v>0</v>
      </c>
      <c r="P117" s="356">
        <f>IF(L117="nio",0,IF(L117&gt;0,VLOOKUP(G117,'3-Productie normen'!A:L,VLOOKUP(L117,'3-Productie normen'!$B$32:$C$39,2,FALSE),FALSE)))</f>
        <v>0</v>
      </c>
      <c r="Q117" s="356">
        <f t="shared" si="10"/>
        <v>0</v>
      </c>
      <c r="R117" s="357" t="str">
        <f>VLOOKUP(G117,'3-Productie normen'!A:N,14,FALSE)</f>
        <v>V</v>
      </c>
      <c r="S117" s="357"/>
      <c r="U117" s="358">
        <f t="shared" si="11"/>
        <v>68.8</v>
      </c>
    </row>
    <row r="118" spans="1:21" ht="14.1" customHeight="1">
      <c r="A118" s="75">
        <v>118</v>
      </c>
      <c r="B118" s="498" t="s">
        <v>272</v>
      </c>
      <c r="C118" s="320" t="s">
        <v>273</v>
      </c>
      <c r="D118" s="505" t="s">
        <v>97</v>
      </c>
      <c r="E118" s="354" t="s">
        <v>289</v>
      </c>
      <c r="F118" s="517" t="s">
        <v>513</v>
      </c>
      <c r="G118" s="517" t="s">
        <v>502</v>
      </c>
      <c r="H118" s="72" t="s">
        <v>269</v>
      </c>
      <c r="I118" s="497" t="s">
        <v>99</v>
      </c>
      <c r="J118" s="518">
        <v>142</v>
      </c>
      <c r="K118" s="355">
        <f t="shared" si="6"/>
        <v>4</v>
      </c>
      <c r="L118" s="519">
        <v>4</v>
      </c>
      <c r="M118" s="519"/>
      <c r="N118" s="516" t="e">
        <f>IF(L118="nio",0,IF(L118&gt;0,L118*J118/P118,0))*VLOOKUP(B118,'2-Kosten per locatie'!$A$14:$C$23,3,FALSE)</f>
        <v>#DIV/0!</v>
      </c>
      <c r="O118" s="262">
        <f>IF(M118&gt;0,M118*J118/Q118,0)*VLOOKUP(B118,'2-Kosten per locatie'!$A$14:$C$23,3,FALSE)</f>
        <v>0</v>
      </c>
      <c r="P118" s="356">
        <f>IF(L118="nio",0,IF(L118&gt;0,VLOOKUP(G118,'3-Productie normen'!A:L,VLOOKUP(L118,'3-Productie normen'!$B$32:$C$39,2,FALSE),FALSE)))</f>
        <v>0</v>
      </c>
      <c r="Q118" s="356">
        <f t="shared" si="10"/>
        <v>0</v>
      </c>
      <c r="R118" s="357" t="str">
        <f>VLOOKUP(G118,'3-Productie normen'!A:N,14,FALSE)</f>
        <v>V</v>
      </c>
      <c r="S118" s="357"/>
      <c r="U118" s="358">
        <f t="shared" si="11"/>
        <v>568</v>
      </c>
    </row>
    <row r="119" spans="1:21" ht="14.1" customHeight="1">
      <c r="A119" s="75">
        <v>119</v>
      </c>
      <c r="B119" s="497" t="s">
        <v>272</v>
      </c>
      <c r="C119" s="320" t="s">
        <v>273</v>
      </c>
      <c r="D119" s="505" t="s">
        <v>97</v>
      </c>
      <c r="E119" s="354" t="s">
        <v>290</v>
      </c>
      <c r="F119" s="517" t="s">
        <v>263</v>
      </c>
      <c r="G119" s="517" t="s">
        <v>502</v>
      </c>
      <c r="H119" s="72" t="s">
        <v>269</v>
      </c>
      <c r="I119" s="497" t="s">
        <v>99</v>
      </c>
      <c r="J119" s="518">
        <v>10.9</v>
      </c>
      <c r="K119" s="355">
        <f t="shared" si="6"/>
        <v>52</v>
      </c>
      <c r="L119" s="519">
        <v>52</v>
      </c>
      <c r="M119" s="519"/>
      <c r="N119" s="516" t="e">
        <f>IF(L119="nio",0,IF(L119&gt;0,L119*J119/P119,0))*VLOOKUP(B119,'2-Kosten per locatie'!$A$14:$C$23,3,FALSE)</f>
        <v>#DIV/0!</v>
      </c>
      <c r="O119" s="262">
        <f>IF(M119&gt;0,M119*J119/Q119,0)*VLOOKUP(B119,'2-Kosten per locatie'!$A$14:$C$23,3,FALSE)</f>
        <v>0</v>
      </c>
      <c r="P119" s="356">
        <f>IF(L119="nio",0,IF(L119&gt;0,VLOOKUP(G119,'3-Productie normen'!A:L,VLOOKUP(L119,'3-Productie normen'!$B$32:$C$39,2,FALSE),FALSE)))</f>
        <v>0</v>
      </c>
      <c r="Q119" s="356">
        <f t="shared" si="10"/>
        <v>0</v>
      </c>
      <c r="R119" s="357" t="str">
        <f>VLOOKUP(G119,'3-Productie normen'!A:N,14,FALSE)</f>
        <v>V</v>
      </c>
      <c r="S119" s="357"/>
      <c r="U119" s="358">
        <f t="shared" si="11"/>
        <v>566.80000000000007</v>
      </c>
    </row>
    <row r="120" spans="1:21" ht="14.1" customHeight="1">
      <c r="A120" s="75">
        <v>120</v>
      </c>
      <c r="B120" s="498" t="s">
        <v>272</v>
      </c>
      <c r="C120" s="320" t="s">
        <v>273</v>
      </c>
      <c r="D120" s="505" t="s">
        <v>97</v>
      </c>
      <c r="E120" s="354" t="s">
        <v>291</v>
      </c>
      <c r="F120" s="517" t="s">
        <v>257</v>
      </c>
      <c r="G120" s="517" t="s">
        <v>60</v>
      </c>
      <c r="H120" s="72" t="s">
        <v>269</v>
      </c>
      <c r="I120" s="497" t="s">
        <v>99</v>
      </c>
      <c r="J120" s="518">
        <v>38.6</v>
      </c>
      <c r="K120" s="355">
        <f t="shared" si="6"/>
        <v>255</v>
      </c>
      <c r="L120" s="519">
        <v>255</v>
      </c>
      <c r="M120" s="519"/>
      <c r="N120" s="516" t="e">
        <f>IF(L120="nio",0,IF(L120&gt;0,L120*J120/P120,0))*VLOOKUP(B120,'2-Kosten per locatie'!$A$14:$C$23,3,FALSE)</f>
        <v>#DIV/0!</v>
      </c>
      <c r="O120" s="262">
        <f>IF(M120&gt;0,M120*J120/Q120,0)*VLOOKUP(B120,'2-Kosten per locatie'!$A$14:$C$23,3,FALSE)</f>
        <v>0</v>
      </c>
      <c r="P120" s="356">
        <f>IF(L120="nio",0,IF(L120&gt;0,VLOOKUP(G120,'3-Productie normen'!A:L,VLOOKUP(L120,'3-Productie normen'!$B$32:$C$39,2,FALSE),FALSE)))</f>
        <v>0</v>
      </c>
      <c r="Q120" s="356">
        <f t="shared" si="10"/>
        <v>0</v>
      </c>
      <c r="R120" s="357" t="str">
        <f>VLOOKUP(G120,'3-Productie normen'!A:N,14,FALSE)</f>
        <v>V</v>
      </c>
      <c r="S120" s="357"/>
      <c r="U120" s="358">
        <f t="shared" si="11"/>
        <v>9843</v>
      </c>
    </row>
    <row r="121" spans="1:21" ht="14.1" customHeight="1">
      <c r="A121" s="75">
        <v>121</v>
      </c>
      <c r="B121" s="497" t="s">
        <v>272</v>
      </c>
      <c r="C121" s="320" t="s">
        <v>273</v>
      </c>
      <c r="D121" s="505" t="s">
        <v>97</v>
      </c>
      <c r="E121" s="354" t="s">
        <v>292</v>
      </c>
      <c r="F121" s="517" t="s">
        <v>65</v>
      </c>
      <c r="G121" s="517" t="s">
        <v>65</v>
      </c>
      <c r="H121" s="72" t="s">
        <v>268</v>
      </c>
      <c r="I121" s="497" t="s">
        <v>98</v>
      </c>
      <c r="J121" s="518">
        <v>22.5</v>
      </c>
      <c r="K121" s="355">
        <f t="shared" si="6"/>
        <v>255</v>
      </c>
      <c r="L121" s="519">
        <v>255</v>
      </c>
      <c r="M121" s="519"/>
      <c r="N121" s="516" t="e">
        <f>IF(L121="nio",0,IF(L121&gt;0,L121*J121/P121,0))*VLOOKUP(B121,'2-Kosten per locatie'!$A$14:$C$23,3,FALSE)</f>
        <v>#DIV/0!</v>
      </c>
      <c r="O121" s="262">
        <f>IF(M121&gt;0,M121*J121/Q121,0)*VLOOKUP(B121,'2-Kosten per locatie'!$A$14:$C$23,3,FALSE)</f>
        <v>0</v>
      </c>
      <c r="P121" s="356">
        <f>IF(L121="nio",0,IF(L121&gt;0,VLOOKUP(G121,'3-Productie normen'!A:L,VLOOKUP(L121,'3-Productie normen'!$B$32:$C$39,2,FALSE),FALSE)))</f>
        <v>0</v>
      </c>
      <c r="Q121" s="356">
        <f t="shared" si="10"/>
        <v>0</v>
      </c>
      <c r="R121" s="357" t="str">
        <f>VLOOKUP(G121,'3-Productie normen'!A:N,14,FALSE)</f>
        <v>V</v>
      </c>
      <c r="S121" s="357"/>
      <c r="U121" s="358">
        <f t="shared" si="11"/>
        <v>5737.5</v>
      </c>
    </row>
    <row r="122" spans="1:21" ht="14.1" customHeight="1">
      <c r="A122" s="75">
        <v>122</v>
      </c>
      <c r="B122" s="498" t="s">
        <v>272</v>
      </c>
      <c r="C122" s="320" t="s">
        <v>273</v>
      </c>
      <c r="D122" s="505" t="s">
        <v>97</v>
      </c>
      <c r="E122" s="354" t="s">
        <v>293</v>
      </c>
      <c r="F122" s="517" t="s">
        <v>65</v>
      </c>
      <c r="G122" s="517" t="s">
        <v>65</v>
      </c>
      <c r="H122" s="72" t="s">
        <v>268</v>
      </c>
      <c r="I122" s="497" t="s">
        <v>98</v>
      </c>
      <c r="J122" s="518">
        <v>20.6</v>
      </c>
      <c r="K122" s="355">
        <f t="shared" si="6"/>
        <v>255</v>
      </c>
      <c r="L122" s="519">
        <v>255</v>
      </c>
      <c r="M122" s="519"/>
      <c r="N122" s="516" t="e">
        <f>IF(L122="nio",0,IF(L122&gt;0,L122*J122/P122,0))*VLOOKUP(B122,'2-Kosten per locatie'!$A$14:$C$23,3,FALSE)</f>
        <v>#DIV/0!</v>
      </c>
      <c r="O122" s="262">
        <f>IF(M122&gt;0,M122*J122/Q122,0)*VLOOKUP(B122,'2-Kosten per locatie'!$A$14:$C$23,3,FALSE)</f>
        <v>0</v>
      </c>
      <c r="P122" s="356">
        <f>IF(L122="nio",0,IF(L122&gt;0,VLOOKUP(G122,'3-Productie normen'!A:L,VLOOKUP(L122,'3-Productie normen'!$B$32:$C$39,2,FALSE),FALSE)))</f>
        <v>0</v>
      </c>
      <c r="Q122" s="356">
        <f t="shared" si="10"/>
        <v>0</v>
      </c>
      <c r="R122" s="357" t="str">
        <f>VLOOKUP(G122,'3-Productie normen'!A:N,14,FALSE)</f>
        <v>V</v>
      </c>
      <c r="S122" s="357"/>
      <c r="U122" s="358">
        <f t="shared" si="11"/>
        <v>5253</v>
      </c>
    </row>
    <row r="123" spans="1:21" ht="14.1" customHeight="1">
      <c r="A123" s="75">
        <v>123</v>
      </c>
      <c r="B123" s="497" t="s">
        <v>272</v>
      </c>
      <c r="C123" s="320" t="s">
        <v>273</v>
      </c>
      <c r="D123" s="505" t="s">
        <v>97</v>
      </c>
      <c r="E123" s="354" t="s">
        <v>294</v>
      </c>
      <c r="F123" s="517" t="s">
        <v>257</v>
      </c>
      <c r="G123" s="517" t="s">
        <v>60</v>
      </c>
      <c r="H123" s="72" t="s">
        <v>268</v>
      </c>
      <c r="I123" s="497" t="s">
        <v>98</v>
      </c>
      <c r="J123" s="518">
        <v>54.9</v>
      </c>
      <c r="K123" s="355">
        <f t="shared" ref="K123:K184" si="12">SUM(L123:M123)</f>
        <v>255</v>
      </c>
      <c r="L123" s="519">
        <v>255</v>
      </c>
      <c r="M123" s="519"/>
      <c r="N123" s="516" t="e">
        <f>IF(L123="nio",0,IF(L123&gt;0,L123*J123/P123,0))*VLOOKUP(B123,'2-Kosten per locatie'!$A$14:$C$23,3,FALSE)</f>
        <v>#DIV/0!</v>
      </c>
      <c r="O123" s="262">
        <f>IF(M123&gt;0,M123*J123/Q123,0)*VLOOKUP(B123,'2-Kosten per locatie'!$A$14:$C$23,3,FALSE)</f>
        <v>0</v>
      </c>
      <c r="P123" s="356">
        <f>IF(L123="nio",0,IF(L123&gt;0,VLOOKUP(G123,'3-Productie normen'!A:L,VLOOKUP(L123,'3-Productie normen'!$B$32:$C$39,2,FALSE),FALSE)))</f>
        <v>0</v>
      </c>
      <c r="Q123" s="356">
        <f t="shared" si="10"/>
        <v>0</v>
      </c>
      <c r="R123" s="357" t="str">
        <f>VLOOKUP(G123,'3-Productie normen'!A:N,14,FALSE)</f>
        <v>V</v>
      </c>
      <c r="S123" s="357"/>
      <c r="U123" s="358">
        <f t="shared" si="11"/>
        <v>13999.5</v>
      </c>
    </row>
    <row r="124" spans="1:21" ht="14.1" customHeight="1">
      <c r="A124" s="75">
        <v>124</v>
      </c>
      <c r="B124" s="498" t="s">
        <v>272</v>
      </c>
      <c r="C124" s="320" t="s">
        <v>273</v>
      </c>
      <c r="D124" s="505" t="s">
        <v>97</v>
      </c>
      <c r="E124" s="354" t="s">
        <v>295</v>
      </c>
      <c r="F124" s="517" t="s">
        <v>257</v>
      </c>
      <c r="G124" s="517" t="s">
        <v>60</v>
      </c>
      <c r="H124" s="72" t="s">
        <v>268</v>
      </c>
      <c r="I124" s="497" t="s">
        <v>98</v>
      </c>
      <c r="J124" s="518">
        <v>39.200000000000003</v>
      </c>
      <c r="K124" s="355">
        <f t="shared" si="12"/>
        <v>255</v>
      </c>
      <c r="L124" s="519">
        <v>255</v>
      </c>
      <c r="M124" s="519"/>
      <c r="N124" s="516" t="e">
        <f>IF(L124="nio",0,IF(L124&gt;0,L124*J124/P124,0))*VLOOKUP(B124,'2-Kosten per locatie'!$A$14:$C$23,3,FALSE)</f>
        <v>#DIV/0!</v>
      </c>
      <c r="O124" s="262">
        <f>IF(M124&gt;0,M124*J124/Q124,0)*VLOOKUP(B124,'2-Kosten per locatie'!$A$14:$C$23,3,FALSE)</f>
        <v>0</v>
      </c>
      <c r="P124" s="356">
        <f>IF(L124="nio",0,IF(L124&gt;0,VLOOKUP(G124,'3-Productie normen'!A:L,VLOOKUP(L124,'3-Productie normen'!$B$32:$C$39,2,FALSE),FALSE)))</f>
        <v>0</v>
      </c>
      <c r="Q124" s="356">
        <f t="shared" si="10"/>
        <v>0</v>
      </c>
      <c r="R124" s="357" t="str">
        <f>VLOOKUP(G124,'3-Productie normen'!A:N,14,FALSE)</f>
        <v>V</v>
      </c>
      <c r="S124" s="357"/>
      <c r="U124" s="358">
        <f t="shared" si="11"/>
        <v>9996</v>
      </c>
    </row>
    <row r="125" spans="1:21" ht="14.1" customHeight="1">
      <c r="A125" s="75">
        <v>125</v>
      </c>
      <c r="B125" s="497" t="s">
        <v>272</v>
      </c>
      <c r="C125" s="320" t="s">
        <v>273</v>
      </c>
      <c r="D125" s="505" t="s">
        <v>97</v>
      </c>
      <c r="E125" s="354" t="s">
        <v>296</v>
      </c>
      <c r="F125" s="517" t="s">
        <v>259</v>
      </c>
      <c r="G125" s="517" t="s">
        <v>58</v>
      </c>
      <c r="H125" s="72" t="s">
        <v>269</v>
      </c>
      <c r="I125" s="497" t="s">
        <v>96</v>
      </c>
      <c r="J125" s="518">
        <v>1.2</v>
      </c>
      <c r="K125" s="355">
        <f t="shared" si="12"/>
        <v>510</v>
      </c>
      <c r="L125" s="519">
        <v>255</v>
      </c>
      <c r="M125" s="519">
        <v>255</v>
      </c>
      <c r="N125" s="516" t="e">
        <f>IF(L125="nio",0,IF(L125&gt;0,L125*J125/P125,0))*VLOOKUP(B125,'2-Kosten per locatie'!$A$14:$C$23,3,FALSE)</f>
        <v>#DIV/0!</v>
      </c>
      <c r="O125" s="262" t="e">
        <f>IF(M125&gt;0,M125*J125/Q125,0)*VLOOKUP(B125,'2-Kosten per locatie'!$A$14:$C$23,3,FALSE)</f>
        <v>#DIV/0!</v>
      </c>
      <c r="P125" s="356">
        <f>IF(L125="nio",0,IF(L125&gt;0,VLOOKUP(G125,'3-Productie normen'!A:L,VLOOKUP(L125,'3-Productie normen'!$B$32:$C$39,2,FALSE),FALSE)))</f>
        <v>0</v>
      </c>
      <c r="Q125" s="356">
        <f t="shared" si="10"/>
        <v>0</v>
      </c>
      <c r="R125" s="357" t="str">
        <f>VLOOKUP(G125,'3-Productie normen'!A:N,14,FALSE)</f>
        <v>S</v>
      </c>
      <c r="S125" s="357"/>
      <c r="U125" s="358">
        <f t="shared" si="11"/>
        <v>612</v>
      </c>
    </row>
    <row r="126" spans="1:21" ht="14.1" customHeight="1">
      <c r="A126" s="75">
        <v>126</v>
      </c>
      <c r="B126" s="498" t="s">
        <v>272</v>
      </c>
      <c r="C126" s="320" t="s">
        <v>273</v>
      </c>
      <c r="D126" s="505" t="s">
        <v>97</v>
      </c>
      <c r="E126" s="354" t="s">
        <v>297</v>
      </c>
      <c r="F126" s="517" t="s">
        <v>259</v>
      </c>
      <c r="G126" s="517" t="s">
        <v>58</v>
      </c>
      <c r="H126" s="72" t="s">
        <v>269</v>
      </c>
      <c r="I126" s="497" t="s">
        <v>96</v>
      </c>
      <c r="J126" s="518">
        <v>1.1000000000000001</v>
      </c>
      <c r="K126" s="355">
        <f t="shared" si="12"/>
        <v>510</v>
      </c>
      <c r="L126" s="519">
        <v>255</v>
      </c>
      <c r="M126" s="519">
        <v>255</v>
      </c>
      <c r="N126" s="516" t="e">
        <f>IF(L126="nio",0,IF(L126&gt;0,L126*J126/P126,0))*VLOOKUP(B126,'2-Kosten per locatie'!$A$14:$C$23,3,FALSE)</f>
        <v>#DIV/0!</v>
      </c>
      <c r="O126" s="262" t="e">
        <f>IF(M126&gt;0,M126*J126/Q126,0)*VLOOKUP(B126,'2-Kosten per locatie'!$A$14:$C$23,3,FALSE)</f>
        <v>#DIV/0!</v>
      </c>
      <c r="P126" s="356">
        <f>IF(L126="nio",0,IF(L126&gt;0,VLOOKUP(G126,'3-Productie normen'!A:L,VLOOKUP(L126,'3-Productie normen'!$B$32:$C$39,2,FALSE),FALSE)))</f>
        <v>0</v>
      </c>
      <c r="Q126" s="356">
        <f t="shared" si="10"/>
        <v>0</v>
      </c>
      <c r="R126" s="357" t="str">
        <f>VLOOKUP(G126,'3-Productie normen'!A:N,14,FALSE)</f>
        <v>S</v>
      </c>
      <c r="S126" s="357"/>
      <c r="U126" s="358">
        <f t="shared" si="11"/>
        <v>561</v>
      </c>
    </row>
    <row r="127" spans="1:21" ht="14.1" customHeight="1">
      <c r="A127" s="75">
        <v>127</v>
      </c>
      <c r="B127" s="497" t="s">
        <v>272</v>
      </c>
      <c r="C127" s="320" t="s">
        <v>273</v>
      </c>
      <c r="D127" s="505" t="s">
        <v>97</v>
      </c>
      <c r="E127" s="354" t="s">
        <v>298</v>
      </c>
      <c r="F127" s="517" t="s">
        <v>64</v>
      </c>
      <c r="G127" s="517" t="s">
        <v>64</v>
      </c>
      <c r="H127" s="72" t="s">
        <v>269</v>
      </c>
      <c r="I127" s="497" t="s">
        <v>99</v>
      </c>
      <c r="J127" s="518">
        <v>5.9</v>
      </c>
      <c r="K127" s="355">
        <f t="shared" si="12"/>
        <v>255</v>
      </c>
      <c r="L127" s="519">
        <v>255</v>
      </c>
      <c r="M127" s="519"/>
      <c r="N127" s="516" t="e">
        <f>IF(L127="nio",0,IF(L127&gt;0,L127*J127/P127,0))*VLOOKUP(B127,'2-Kosten per locatie'!$A$14:$C$23,3,FALSE)</f>
        <v>#DIV/0!</v>
      </c>
      <c r="O127" s="262">
        <f>IF(M127&gt;0,M127*J127/Q127,0)*VLOOKUP(B127,'2-Kosten per locatie'!$A$14:$C$23,3,FALSE)</f>
        <v>0</v>
      </c>
      <c r="P127" s="356">
        <f>IF(L127="nio",0,IF(L127&gt;0,VLOOKUP(G127,'3-Productie normen'!A:L,VLOOKUP(L127,'3-Productie normen'!$B$32:$C$39,2,FALSE),FALSE)))</f>
        <v>0</v>
      </c>
      <c r="Q127" s="356">
        <f t="shared" si="10"/>
        <v>0</v>
      </c>
      <c r="R127" s="357" t="str">
        <f>VLOOKUP(G127,'3-Productie normen'!A:N,14,FALSE)</f>
        <v>V</v>
      </c>
      <c r="S127" s="357"/>
      <c r="U127" s="358">
        <f t="shared" si="11"/>
        <v>1504.5</v>
      </c>
    </row>
    <row r="128" spans="1:21" ht="14.1" customHeight="1">
      <c r="A128" s="75">
        <v>128</v>
      </c>
      <c r="B128" s="498" t="s">
        <v>272</v>
      </c>
      <c r="C128" s="320" t="s">
        <v>273</v>
      </c>
      <c r="D128" s="505" t="s">
        <v>97</v>
      </c>
      <c r="E128" s="354"/>
      <c r="F128" s="517" t="s">
        <v>66</v>
      </c>
      <c r="G128" s="517" t="s">
        <v>66</v>
      </c>
      <c r="H128" s="72" t="s">
        <v>269</v>
      </c>
      <c r="I128" s="497" t="s">
        <v>99</v>
      </c>
      <c r="J128" s="518">
        <v>4.5999999999999996</v>
      </c>
      <c r="K128" s="355">
        <f t="shared" si="12"/>
        <v>255</v>
      </c>
      <c r="L128" s="519">
        <v>255</v>
      </c>
      <c r="M128" s="519"/>
      <c r="N128" s="516" t="e">
        <f>IF(L128="nio",0,IF(L128&gt;0,L128*J128/P128,0))*VLOOKUP(B128,'2-Kosten per locatie'!$A$14:$C$23,3,FALSE)</f>
        <v>#DIV/0!</v>
      </c>
      <c r="O128" s="262">
        <f>IF(M128&gt;0,M128*J128/Q128,0)*VLOOKUP(B128,'2-Kosten per locatie'!$A$14:$C$23,3,FALSE)</f>
        <v>0</v>
      </c>
      <c r="P128" s="356">
        <f>IF(L128="nio",0,IF(L128&gt;0,VLOOKUP(G128,'3-Productie normen'!A:L,VLOOKUP(L128,'3-Productie normen'!$B$32:$C$39,2,FALSE),FALSE)))</f>
        <v>0</v>
      </c>
      <c r="Q128" s="356">
        <f t="shared" si="10"/>
        <v>0</v>
      </c>
      <c r="R128" s="357" t="str">
        <f>VLOOKUP(G128,'3-Productie normen'!A:N,14,FALSE)</f>
        <v>V</v>
      </c>
      <c r="S128" s="357"/>
      <c r="U128" s="358">
        <f t="shared" si="11"/>
        <v>1173</v>
      </c>
    </row>
    <row r="129" spans="1:21" ht="14.1" customHeight="1">
      <c r="A129" s="75">
        <v>129</v>
      </c>
      <c r="B129" s="498" t="s">
        <v>272</v>
      </c>
      <c r="C129" s="320" t="s">
        <v>273</v>
      </c>
      <c r="D129" s="353" t="s">
        <v>94</v>
      </c>
      <c r="E129" s="354" t="s">
        <v>299</v>
      </c>
      <c r="F129" s="517" t="s">
        <v>300</v>
      </c>
      <c r="G129" s="517" t="s">
        <v>499</v>
      </c>
      <c r="H129" s="72" t="s">
        <v>268</v>
      </c>
      <c r="I129" s="497" t="s">
        <v>98</v>
      </c>
      <c r="J129" s="518">
        <v>56.4</v>
      </c>
      <c r="K129" s="355">
        <f t="shared" si="12"/>
        <v>255</v>
      </c>
      <c r="L129" s="519">
        <v>255</v>
      </c>
      <c r="M129" s="519"/>
      <c r="N129" s="516" t="e">
        <f>IF(L129="nio",0,IF(L129&gt;0,L129*J129/P129,0))*VLOOKUP(B129,'2-Kosten per locatie'!$A$14:$C$23,3,FALSE)</f>
        <v>#DIV/0!</v>
      </c>
      <c r="O129" s="262">
        <f>IF(M129&gt;0,M129*J129/Q129,0)*VLOOKUP(B129,'2-Kosten per locatie'!$A$14:$C$23,3,FALSE)</f>
        <v>0</v>
      </c>
      <c r="P129" s="356">
        <f>IF(L129="nio",0,IF(L129&gt;0,VLOOKUP(G129,'3-Productie normen'!A:L,VLOOKUP(L129,'3-Productie normen'!$B$32:$C$39,2,FALSE),FALSE)))</f>
        <v>0</v>
      </c>
      <c r="Q129" s="356">
        <f t="shared" si="10"/>
        <v>0</v>
      </c>
      <c r="R129" s="357" t="str">
        <f>VLOOKUP(G129,'3-Productie normen'!A:N,14,FALSE)</f>
        <v>B</v>
      </c>
      <c r="S129" s="357"/>
      <c r="U129" s="358">
        <f t="shared" si="11"/>
        <v>14382</v>
      </c>
    </row>
    <row r="130" spans="1:21" ht="14.1" customHeight="1">
      <c r="A130" s="75">
        <v>130</v>
      </c>
      <c r="B130" s="497" t="s">
        <v>272</v>
      </c>
      <c r="C130" s="320" t="s">
        <v>273</v>
      </c>
      <c r="D130" s="353" t="s">
        <v>94</v>
      </c>
      <c r="E130" s="354" t="s">
        <v>301</v>
      </c>
      <c r="F130" s="517" t="s">
        <v>300</v>
      </c>
      <c r="G130" s="517" t="s">
        <v>499</v>
      </c>
      <c r="H130" s="72" t="s">
        <v>268</v>
      </c>
      <c r="I130" s="497" t="s">
        <v>98</v>
      </c>
      <c r="J130" s="518">
        <v>21.5</v>
      </c>
      <c r="K130" s="355">
        <f t="shared" si="12"/>
        <v>255</v>
      </c>
      <c r="L130" s="519">
        <v>255</v>
      </c>
      <c r="M130" s="519"/>
      <c r="N130" s="516" t="e">
        <f>IF(L130="nio",0,IF(L130&gt;0,L130*J130/P130,0))*VLOOKUP(B130,'2-Kosten per locatie'!$A$14:$C$23,3,FALSE)</f>
        <v>#DIV/0!</v>
      </c>
      <c r="O130" s="262">
        <f>IF(M130&gt;0,M130*J130/Q130,0)*VLOOKUP(B130,'2-Kosten per locatie'!$A$14:$C$23,3,FALSE)</f>
        <v>0</v>
      </c>
      <c r="P130" s="356">
        <f>IF(L130="nio",0,IF(L130&gt;0,VLOOKUP(G130,'3-Productie normen'!A:L,VLOOKUP(L130,'3-Productie normen'!$B$32:$C$39,2,FALSE),FALSE)))</f>
        <v>0</v>
      </c>
      <c r="Q130" s="356">
        <f t="shared" si="10"/>
        <v>0</v>
      </c>
      <c r="R130" s="357" t="str">
        <f>VLOOKUP(G130,'3-Productie normen'!A:N,14,FALSE)</f>
        <v>B</v>
      </c>
      <c r="S130" s="357"/>
      <c r="U130" s="358">
        <f t="shared" si="11"/>
        <v>5482.5</v>
      </c>
    </row>
    <row r="131" spans="1:21" ht="14.1" customHeight="1">
      <c r="A131" s="75">
        <v>131</v>
      </c>
      <c r="B131" s="498" t="s">
        <v>272</v>
      </c>
      <c r="C131" s="320" t="s">
        <v>273</v>
      </c>
      <c r="D131" s="353" t="s">
        <v>94</v>
      </c>
      <c r="E131" s="354" t="s">
        <v>302</v>
      </c>
      <c r="F131" s="517" t="s">
        <v>300</v>
      </c>
      <c r="G131" s="517" t="s">
        <v>499</v>
      </c>
      <c r="H131" s="72" t="s">
        <v>268</v>
      </c>
      <c r="I131" s="497" t="s">
        <v>98</v>
      </c>
      <c r="J131" s="518">
        <v>177</v>
      </c>
      <c r="K131" s="355">
        <f t="shared" si="12"/>
        <v>255</v>
      </c>
      <c r="L131" s="519">
        <v>255</v>
      </c>
      <c r="M131" s="519"/>
      <c r="N131" s="516" t="e">
        <f>IF(L131="nio",0,IF(L131&gt;0,L131*J131/P131,0))*VLOOKUP(B131,'2-Kosten per locatie'!$A$14:$C$23,3,FALSE)</f>
        <v>#DIV/0!</v>
      </c>
      <c r="O131" s="262">
        <f>IF(M131&gt;0,M131*J131/Q131,0)*VLOOKUP(B131,'2-Kosten per locatie'!$A$14:$C$23,3,FALSE)</f>
        <v>0</v>
      </c>
      <c r="P131" s="356">
        <f>IF(L131="nio",0,IF(L131&gt;0,VLOOKUP(G131,'3-Productie normen'!A:L,VLOOKUP(L131,'3-Productie normen'!$B$32:$C$39,2,FALSE),FALSE)))</f>
        <v>0</v>
      </c>
      <c r="Q131" s="356">
        <f t="shared" si="10"/>
        <v>0</v>
      </c>
      <c r="R131" s="357" t="str">
        <f>VLOOKUP(G131,'3-Productie normen'!A:N,14,FALSE)</f>
        <v>B</v>
      </c>
      <c r="S131" s="357"/>
      <c r="U131" s="358">
        <f t="shared" si="11"/>
        <v>45135</v>
      </c>
    </row>
    <row r="132" spans="1:21" ht="14.1" customHeight="1">
      <c r="A132" s="75">
        <v>132</v>
      </c>
      <c r="B132" s="497" t="s">
        <v>272</v>
      </c>
      <c r="C132" s="320" t="s">
        <v>273</v>
      </c>
      <c r="D132" s="353" t="s">
        <v>94</v>
      </c>
      <c r="E132" s="354" t="s">
        <v>303</v>
      </c>
      <c r="F132" s="517" t="s">
        <v>300</v>
      </c>
      <c r="G132" s="517" t="s">
        <v>499</v>
      </c>
      <c r="H132" s="72" t="s">
        <v>268</v>
      </c>
      <c r="I132" s="497" t="s">
        <v>98</v>
      </c>
      <c r="J132" s="518">
        <v>29.3</v>
      </c>
      <c r="K132" s="355">
        <f t="shared" si="12"/>
        <v>255</v>
      </c>
      <c r="L132" s="519">
        <v>255</v>
      </c>
      <c r="M132" s="519"/>
      <c r="N132" s="516" t="e">
        <f>IF(L132="nio",0,IF(L132&gt;0,L132*J132/P132,0))*VLOOKUP(B132,'2-Kosten per locatie'!$A$14:$C$23,3,FALSE)</f>
        <v>#DIV/0!</v>
      </c>
      <c r="O132" s="262">
        <f>IF(M132&gt;0,M132*J132/Q132,0)*VLOOKUP(B132,'2-Kosten per locatie'!$A$14:$C$23,3,FALSE)</f>
        <v>0</v>
      </c>
      <c r="P132" s="356">
        <f>IF(L132="nio",0,IF(L132&gt;0,VLOOKUP(G132,'3-Productie normen'!A:L,VLOOKUP(L132,'3-Productie normen'!$B$32:$C$39,2,FALSE),FALSE)))</f>
        <v>0</v>
      </c>
      <c r="Q132" s="356">
        <f t="shared" si="10"/>
        <v>0</v>
      </c>
      <c r="R132" s="357" t="str">
        <f>VLOOKUP(G132,'3-Productie normen'!A:N,14,FALSE)</f>
        <v>B</v>
      </c>
      <c r="S132" s="357"/>
      <c r="U132" s="358">
        <f t="shared" si="11"/>
        <v>7471.5</v>
      </c>
    </row>
    <row r="133" spans="1:21" ht="14.1" customHeight="1">
      <c r="A133" s="75">
        <v>133</v>
      </c>
      <c r="B133" s="498" t="s">
        <v>272</v>
      </c>
      <c r="C133" s="320" t="s">
        <v>273</v>
      </c>
      <c r="D133" s="353" t="s">
        <v>94</v>
      </c>
      <c r="E133" s="354" t="s">
        <v>304</v>
      </c>
      <c r="F133" s="517" t="s">
        <v>300</v>
      </c>
      <c r="G133" s="517" t="s">
        <v>499</v>
      </c>
      <c r="H133" s="72" t="s">
        <v>268</v>
      </c>
      <c r="I133" s="497" t="s">
        <v>98</v>
      </c>
      <c r="J133" s="518">
        <v>26.6</v>
      </c>
      <c r="K133" s="355">
        <f t="shared" si="12"/>
        <v>255</v>
      </c>
      <c r="L133" s="519">
        <v>255</v>
      </c>
      <c r="M133" s="519"/>
      <c r="N133" s="516" t="e">
        <f>IF(L133="nio",0,IF(L133&gt;0,L133*J133/P133,0))*VLOOKUP(B133,'2-Kosten per locatie'!$A$14:$C$23,3,FALSE)</f>
        <v>#DIV/0!</v>
      </c>
      <c r="O133" s="262">
        <f>IF(M133&gt;0,M133*J133/Q133,0)*VLOOKUP(B133,'2-Kosten per locatie'!$A$14:$C$23,3,FALSE)</f>
        <v>0</v>
      </c>
      <c r="P133" s="356">
        <f>IF(L133="nio",0,IF(L133&gt;0,VLOOKUP(G133,'3-Productie normen'!A:L,VLOOKUP(L133,'3-Productie normen'!$B$32:$C$39,2,FALSE),FALSE)))</f>
        <v>0</v>
      </c>
      <c r="Q133" s="356">
        <f t="shared" si="10"/>
        <v>0</v>
      </c>
      <c r="R133" s="357" t="str">
        <f>VLOOKUP(G133,'3-Productie normen'!A:N,14,FALSE)</f>
        <v>B</v>
      </c>
      <c r="S133" s="357"/>
      <c r="U133" s="358">
        <f t="shared" si="11"/>
        <v>6783</v>
      </c>
    </row>
    <row r="134" spans="1:21" ht="14.1" customHeight="1">
      <c r="A134" s="75">
        <v>134</v>
      </c>
      <c r="B134" s="497" t="s">
        <v>272</v>
      </c>
      <c r="C134" s="320" t="s">
        <v>273</v>
      </c>
      <c r="D134" s="353" t="s">
        <v>94</v>
      </c>
      <c r="E134" s="354" t="s">
        <v>305</v>
      </c>
      <c r="F134" s="517" t="s">
        <v>300</v>
      </c>
      <c r="G134" s="517" t="s">
        <v>499</v>
      </c>
      <c r="H134" s="72" t="s">
        <v>268</v>
      </c>
      <c r="I134" s="497" t="s">
        <v>98</v>
      </c>
      <c r="J134" s="518">
        <v>23.7</v>
      </c>
      <c r="K134" s="355">
        <f t="shared" si="12"/>
        <v>255</v>
      </c>
      <c r="L134" s="519">
        <v>255</v>
      </c>
      <c r="M134" s="519"/>
      <c r="N134" s="516" t="e">
        <f>IF(L134="nio",0,IF(L134&gt;0,L134*J134/P134,0))*VLOOKUP(B134,'2-Kosten per locatie'!$A$14:$C$23,3,FALSE)</f>
        <v>#DIV/0!</v>
      </c>
      <c r="O134" s="262">
        <f>IF(M134&gt;0,M134*J134/Q134,0)*VLOOKUP(B134,'2-Kosten per locatie'!$A$14:$C$23,3,FALSE)</f>
        <v>0</v>
      </c>
      <c r="P134" s="356">
        <f>IF(L134="nio",0,IF(L134&gt;0,VLOOKUP(G134,'3-Productie normen'!A:L,VLOOKUP(L134,'3-Productie normen'!$B$32:$C$39,2,FALSE),FALSE)))</f>
        <v>0</v>
      </c>
      <c r="Q134" s="356">
        <f t="shared" si="10"/>
        <v>0</v>
      </c>
      <c r="R134" s="357" t="str">
        <f>VLOOKUP(G134,'3-Productie normen'!A:N,14,FALSE)</f>
        <v>B</v>
      </c>
      <c r="S134" s="357"/>
      <c r="U134" s="358">
        <f t="shared" si="11"/>
        <v>6043.5</v>
      </c>
    </row>
    <row r="135" spans="1:21" ht="14.1" customHeight="1">
      <c r="A135" s="75">
        <v>135</v>
      </c>
      <c r="B135" s="498" t="s">
        <v>272</v>
      </c>
      <c r="C135" s="320" t="s">
        <v>273</v>
      </c>
      <c r="D135" s="353" t="s">
        <v>94</v>
      </c>
      <c r="E135" s="354" t="s">
        <v>306</v>
      </c>
      <c r="F135" s="517" t="s">
        <v>300</v>
      </c>
      <c r="G135" s="517" t="s">
        <v>499</v>
      </c>
      <c r="H135" s="72" t="s">
        <v>268</v>
      </c>
      <c r="I135" s="497" t="s">
        <v>98</v>
      </c>
      <c r="J135" s="518">
        <v>16.2</v>
      </c>
      <c r="K135" s="355">
        <f t="shared" si="12"/>
        <v>255</v>
      </c>
      <c r="L135" s="519">
        <v>255</v>
      </c>
      <c r="M135" s="519"/>
      <c r="N135" s="516" t="e">
        <f>IF(L135="nio",0,IF(L135&gt;0,L135*J135/P135,0))*VLOOKUP(B135,'2-Kosten per locatie'!$A$14:$C$23,3,FALSE)</f>
        <v>#DIV/0!</v>
      </c>
      <c r="O135" s="262">
        <f>IF(M135&gt;0,M135*J135/Q135,0)*VLOOKUP(B135,'2-Kosten per locatie'!$A$14:$C$23,3,FALSE)</f>
        <v>0</v>
      </c>
      <c r="P135" s="356">
        <f>IF(L135="nio",0,IF(L135&gt;0,VLOOKUP(G135,'3-Productie normen'!A:L,VLOOKUP(L135,'3-Productie normen'!$B$32:$C$39,2,FALSE),FALSE)))</f>
        <v>0</v>
      </c>
      <c r="Q135" s="356">
        <f t="shared" si="10"/>
        <v>0</v>
      </c>
      <c r="R135" s="357" t="str">
        <f>VLOOKUP(G135,'3-Productie normen'!A:N,14,FALSE)</f>
        <v>B</v>
      </c>
      <c r="S135" s="357"/>
      <c r="U135" s="358">
        <f t="shared" si="11"/>
        <v>4131</v>
      </c>
    </row>
    <row r="136" spans="1:21" ht="14.1" customHeight="1">
      <c r="A136" s="75">
        <v>136</v>
      </c>
      <c r="B136" s="497" t="s">
        <v>272</v>
      </c>
      <c r="C136" s="320" t="s">
        <v>273</v>
      </c>
      <c r="D136" s="353" t="s">
        <v>94</v>
      </c>
      <c r="E136" s="354" t="s">
        <v>307</v>
      </c>
      <c r="F136" s="517" t="s">
        <v>300</v>
      </c>
      <c r="G136" s="517" t="s">
        <v>499</v>
      </c>
      <c r="H136" s="72" t="s">
        <v>268</v>
      </c>
      <c r="I136" s="497" t="s">
        <v>98</v>
      </c>
      <c r="J136" s="518">
        <v>22.9</v>
      </c>
      <c r="K136" s="355">
        <f t="shared" si="12"/>
        <v>255</v>
      </c>
      <c r="L136" s="519">
        <v>255</v>
      </c>
      <c r="M136" s="519"/>
      <c r="N136" s="516" t="e">
        <f>IF(L136="nio",0,IF(L136&gt;0,L136*J136/P136,0))*VLOOKUP(B136,'2-Kosten per locatie'!$A$14:$C$23,3,FALSE)</f>
        <v>#DIV/0!</v>
      </c>
      <c r="O136" s="262">
        <f>IF(M136&gt;0,M136*J136/Q136,0)*VLOOKUP(B136,'2-Kosten per locatie'!$A$14:$C$23,3,FALSE)</f>
        <v>0</v>
      </c>
      <c r="P136" s="356">
        <f>IF(L136="nio",0,IF(L136&gt;0,VLOOKUP(G136,'3-Productie normen'!A:L,VLOOKUP(L136,'3-Productie normen'!$B$32:$C$39,2,FALSE),FALSE)))</f>
        <v>0</v>
      </c>
      <c r="Q136" s="356">
        <f t="shared" si="10"/>
        <v>0</v>
      </c>
      <c r="R136" s="357" t="str">
        <f>VLOOKUP(G136,'3-Productie normen'!A:N,14,FALSE)</f>
        <v>B</v>
      </c>
      <c r="S136" s="357"/>
      <c r="U136" s="358">
        <f t="shared" si="11"/>
        <v>5839.5</v>
      </c>
    </row>
    <row r="137" spans="1:21" ht="14.1" customHeight="1">
      <c r="A137" s="75">
        <v>137</v>
      </c>
      <c r="B137" s="498" t="s">
        <v>272</v>
      </c>
      <c r="C137" s="320" t="s">
        <v>273</v>
      </c>
      <c r="D137" s="353" t="s">
        <v>94</v>
      </c>
      <c r="E137" s="354" t="s">
        <v>308</v>
      </c>
      <c r="F137" s="517" t="s">
        <v>300</v>
      </c>
      <c r="G137" s="517" t="s">
        <v>499</v>
      </c>
      <c r="H137" s="72" t="s">
        <v>268</v>
      </c>
      <c r="I137" s="497" t="s">
        <v>98</v>
      </c>
      <c r="J137" s="518">
        <v>365</v>
      </c>
      <c r="K137" s="355">
        <f t="shared" si="12"/>
        <v>255</v>
      </c>
      <c r="L137" s="519">
        <v>255</v>
      </c>
      <c r="M137" s="519"/>
      <c r="N137" s="516" t="e">
        <f>IF(L137="nio",0,IF(L137&gt;0,L137*J137/P137,0))*VLOOKUP(B137,'2-Kosten per locatie'!$A$14:$C$23,3,FALSE)</f>
        <v>#DIV/0!</v>
      </c>
      <c r="O137" s="262">
        <f>IF(M137&gt;0,M137*J137/Q137,0)*VLOOKUP(B137,'2-Kosten per locatie'!$A$14:$C$23,3,FALSE)</f>
        <v>0</v>
      </c>
      <c r="P137" s="356">
        <f>IF(L137="nio",0,IF(L137&gt;0,VLOOKUP(G137,'3-Productie normen'!A:L,VLOOKUP(L137,'3-Productie normen'!$B$32:$C$39,2,FALSE),FALSE)))</f>
        <v>0</v>
      </c>
      <c r="Q137" s="356">
        <f t="shared" si="10"/>
        <v>0</v>
      </c>
      <c r="R137" s="357" t="str">
        <f>VLOOKUP(G137,'3-Productie normen'!A:N,14,FALSE)</f>
        <v>B</v>
      </c>
      <c r="S137" s="357"/>
      <c r="U137" s="358">
        <f t="shared" si="11"/>
        <v>93075</v>
      </c>
    </row>
    <row r="138" spans="1:21" ht="14.1" customHeight="1">
      <c r="A138" s="75">
        <v>138</v>
      </c>
      <c r="B138" s="497" t="s">
        <v>272</v>
      </c>
      <c r="C138" s="320" t="s">
        <v>273</v>
      </c>
      <c r="D138" s="353" t="s">
        <v>94</v>
      </c>
      <c r="E138" s="354" t="s">
        <v>309</v>
      </c>
      <c r="F138" s="517" t="s">
        <v>300</v>
      </c>
      <c r="G138" s="517" t="s">
        <v>499</v>
      </c>
      <c r="H138" s="72" t="s">
        <v>268</v>
      </c>
      <c r="I138" s="497" t="s">
        <v>98</v>
      </c>
      <c r="J138" s="518">
        <v>18.100000000000001</v>
      </c>
      <c r="K138" s="355">
        <f t="shared" si="12"/>
        <v>255</v>
      </c>
      <c r="L138" s="519">
        <v>255</v>
      </c>
      <c r="M138" s="519"/>
      <c r="N138" s="516" t="e">
        <f>IF(L138="nio",0,IF(L138&gt;0,L138*J138/P138,0))*VLOOKUP(B138,'2-Kosten per locatie'!$A$14:$C$23,3,FALSE)</f>
        <v>#DIV/0!</v>
      </c>
      <c r="O138" s="262">
        <f>IF(M138&gt;0,M138*J138/Q138,0)*VLOOKUP(B138,'2-Kosten per locatie'!$A$14:$C$23,3,FALSE)</f>
        <v>0</v>
      </c>
      <c r="P138" s="356">
        <f>IF(L138="nio",0,IF(L138&gt;0,VLOOKUP(G138,'3-Productie normen'!A:L,VLOOKUP(L138,'3-Productie normen'!$B$32:$C$39,2,FALSE),FALSE)))</f>
        <v>0</v>
      </c>
      <c r="Q138" s="356">
        <f t="shared" si="10"/>
        <v>0</v>
      </c>
      <c r="R138" s="357" t="str">
        <f>VLOOKUP(G138,'3-Productie normen'!A:N,14,FALSE)</f>
        <v>B</v>
      </c>
      <c r="S138" s="357"/>
      <c r="U138" s="358">
        <f t="shared" si="11"/>
        <v>4615.5</v>
      </c>
    </row>
    <row r="139" spans="1:21" ht="14.1" customHeight="1">
      <c r="A139" s="75">
        <v>139</v>
      </c>
      <c r="B139" s="498" t="s">
        <v>272</v>
      </c>
      <c r="C139" s="320" t="s">
        <v>273</v>
      </c>
      <c r="D139" s="353" t="s">
        <v>94</v>
      </c>
      <c r="E139" s="354" t="s">
        <v>310</v>
      </c>
      <c r="F139" s="517" t="s">
        <v>262</v>
      </c>
      <c r="G139" s="517" t="s">
        <v>63</v>
      </c>
      <c r="H139" s="72" t="s">
        <v>268</v>
      </c>
      <c r="I139" s="497" t="s">
        <v>98</v>
      </c>
      <c r="J139" s="518">
        <v>9.6999999999999993</v>
      </c>
      <c r="K139" s="355">
        <f t="shared" si="12"/>
        <v>255</v>
      </c>
      <c r="L139" s="519">
        <v>255</v>
      </c>
      <c r="M139" s="519"/>
      <c r="N139" s="516" t="e">
        <f>IF(L139="nio",0,IF(L139&gt;0,L139*J139/P139,0))*VLOOKUP(B139,'2-Kosten per locatie'!$A$14:$C$23,3,FALSE)</f>
        <v>#DIV/0!</v>
      </c>
      <c r="O139" s="262">
        <f>IF(M139&gt;0,M139*J139/Q139,0)*VLOOKUP(B139,'2-Kosten per locatie'!$A$14:$C$23,3,FALSE)</f>
        <v>0</v>
      </c>
      <c r="P139" s="356">
        <f>IF(L139="nio",0,IF(L139&gt;0,VLOOKUP(G139,'3-Productie normen'!A:L,VLOOKUP(L139,'3-Productie normen'!$B$32:$C$39,2,FALSE),FALSE)))</f>
        <v>0</v>
      </c>
      <c r="Q139" s="356">
        <f t="shared" si="10"/>
        <v>0</v>
      </c>
      <c r="R139" s="357" t="str">
        <f>VLOOKUP(G139,'3-Productie normen'!A:N,14,FALSE)</f>
        <v>B</v>
      </c>
      <c r="S139" s="357"/>
      <c r="U139" s="358">
        <f t="shared" si="11"/>
        <v>2473.5</v>
      </c>
    </row>
    <row r="140" spans="1:21" ht="14.1" customHeight="1">
      <c r="A140" s="75">
        <v>140</v>
      </c>
      <c r="B140" s="497" t="s">
        <v>272</v>
      </c>
      <c r="C140" s="320" t="s">
        <v>273</v>
      </c>
      <c r="D140" s="353" t="s">
        <v>94</v>
      </c>
      <c r="E140" s="354" t="s">
        <v>311</v>
      </c>
      <c r="F140" s="517" t="s">
        <v>262</v>
      </c>
      <c r="G140" s="517" t="s">
        <v>63</v>
      </c>
      <c r="H140" s="72" t="s">
        <v>268</v>
      </c>
      <c r="I140" s="497" t="s">
        <v>98</v>
      </c>
      <c r="J140" s="518">
        <v>9.8000000000000007</v>
      </c>
      <c r="K140" s="355">
        <f t="shared" si="12"/>
        <v>255</v>
      </c>
      <c r="L140" s="519">
        <v>255</v>
      </c>
      <c r="M140" s="519"/>
      <c r="N140" s="516" t="e">
        <f>IF(L140="nio",0,IF(L140&gt;0,L140*J140/P140,0))*VLOOKUP(B140,'2-Kosten per locatie'!$A$14:$C$23,3,FALSE)</f>
        <v>#DIV/0!</v>
      </c>
      <c r="O140" s="262">
        <f>IF(M140&gt;0,M140*J140/Q140,0)*VLOOKUP(B140,'2-Kosten per locatie'!$A$14:$C$23,3,FALSE)</f>
        <v>0</v>
      </c>
      <c r="P140" s="356">
        <f>IF(L140="nio",0,IF(L140&gt;0,VLOOKUP(G140,'3-Productie normen'!A:L,VLOOKUP(L140,'3-Productie normen'!$B$32:$C$39,2,FALSE),FALSE)))</f>
        <v>0</v>
      </c>
      <c r="Q140" s="356">
        <f t="shared" si="10"/>
        <v>0</v>
      </c>
      <c r="R140" s="357" t="str">
        <f>VLOOKUP(G140,'3-Productie normen'!A:N,14,FALSE)</f>
        <v>B</v>
      </c>
      <c r="S140" s="357"/>
      <c r="U140" s="358">
        <f t="shared" si="11"/>
        <v>2499</v>
      </c>
    </row>
    <row r="141" spans="1:21" ht="14.1" customHeight="1">
      <c r="A141" s="75">
        <v>141</v>
      </c>
      <c r="B141" s="498" t="s">
        <v>272</v>
      </c>
      <c r="C141" s="320" t="s">
        <v>273</v>
      </c>
      <c r="D141" s="353" t="s">
        <v>94</v>
      </c>
      <c r="E141" s="354" t="s">
        <v>472</v>
      </c>
      <c r="F141" s="517" t="s">
        <v>262</v>
      </c>
      <c r="G141" s="517" t="s">
        <v>63</v>
      </c>
      <c r="H141" s="72" t="s">
        <v>268</v>
      </c>
      <c r="I141" s="497" t="s">
        <v>98</v>
      </c>
      <c r="J141" s="518">
        <v>9.1999999999999993</v>
      </c>
      <c r="K141" s="355">
        <f t="shared" si="12"/>
        <v>255</v>
      </c>
      <c r="L141" s="519">
        <v>255</v>
      </c>
      <c r="M141" s="519"/>
      <c r="N141" s="516" t="e">
        <f>IF(L141="nio",0,IF(L141&gt;0,L141*J141/P141,0))*VLOOKUP(B141,'2-Kosten per locatie'!$A$14:$C$23,3,FALSE)</f>
        <v>#DIV/0!</v>
      </c>
      <c r="O141" s="262">
        <f>IF(M141&gt;0,M141*J141/Q141,0)*VLOOKUP(B141,'2-Kosten per locatie'!$A$14:$C$23,3,FALSE)</f>
        <v>0</v>
      </c>
      <c r="P141" s="356">
        <f>IF(L141="nio",0,IF(L141&gt;0,VLOOKUP(G141,'3-Productie normen'!A:L,VLOOKUP(L141,'3-Productie normen'!$B$32:$C$39,2,FALSE),FALSE)))</f>
        <v>0</v>
      </c>
      <c r="Q141" s="356">
        <f t="shared" si="10"/>
        <v>0</v>
      </c>
      <c r="R141" s="357" t="str">
        <f>VLOOKUP(G141,'3-Productie normen'!A:N,14,FALSE)</f>
        <v>B</v>
      </c>
      <c r="S141" s="357"/>
      <c r="U141" s="358">
        <f t="shared" si="11"/>
        <v>2346</v>
      </c>
    </row>
    <row r="142" spans="1:21" ht="14.1" customHeight="1">
      <c r="A142" s="75">
        <v>142</v>
      </c>
      <c r="B142" s="497" t="s">
        <v>272</v>
      </c>
      <c r="C142" s="320" t="s">
        <v>273</v>
      </c>
      <c r="D142" s="353" t="s">
        <v>94</v>
      </c>
      <c r="E142" s="354" t="s">
        <v>312</v>
      </c>
      <c r="F142" s="517" t="s">
        <v>257</v>
      </c>
      <c r="G142" s="517" t="s">
        <v>60</v>
      </c>
      <c r="H142" s="72" t="s">
        <v>268</v>
      </c>
      <c r="I142" s="497" t="s">
        <v>98</v>
      </c>
      <c r="J142" s="518">
        <v>92.3</v>
      </c>
      <c r="K142" s="355">
        <f t="shared" si="12"/>
        <v>255</v>
      </c>
      <c r="L142" s="519">
        <v>255</v>
      </c>
      <c r="M142" s="519"/>
      <c r="N142" s="516" t="e">
        <f>IF(L142="nio",0,IF(L142&gt;0,L142*J142/P142,0))*VLOOKUP(B142,'2-Kosten per locatie'!$A$14:$C$23,3,FALSE)</f>
        <v>#DIV/0!</v>
      </c>
      <c r="O142" s="262">
        <f>IF(M142&gt;0,M142*J142/Q142,0)*VLOOKUP(B142,'2-Kosten per locatie'!$A$14:$C$23,3,FALSE)</f>
        <v>0</v>
      </c>
      <c r="P142" s="356">
        <f>IF(L142="nio",0,IF(L142&gt;0,VLOOKUP(G142,'3-Productie normen'!A:L,VLOOKUP(L142,'3-Productie normen'!$B$32:$C$39,2,FALSE),FALSE)))</f>
        <v>0</v>
      </c>
      <c r="Q142" s="356">
        <f t="shared" si="10"/>
        <v>0</v>
      </c>
      <c r="R142" s="357" t="str">
        <f>VLOOKUP(G142,'3-Productie normen'!A:N,14,FALSE)</f>
        <v>V</v>
      </c>
      <c r="S142" s="357"/>
      <c r="U142" s="358">
        <f t="shared" si="11"/>
        <v>23536.5</v>
      </c>
    </row>
    <row r="143" spans="1:21" ht="14.1" customHeight="1">
      <c r="A143" s="75">
        <v>143</v>
      </c>
      <c r="B143" s="498" t="s">
        <v>272</v>
      </c>
      <c r="C143" s="320" t="s">
        <v>273</v>
      </c>
      <c r="D143" s="353" t="s">
        <v>94</v>
      </c>
      <c r="E143" s="354" t="s">
        <v>313</v>
      </c>
      <c r="F143" s="517" t="s">
        <v>300</v>
      </c>
      <c r="G143" s="517" t="s">
        <v>499</v>
      </c>
      <c r="H143" s="72" t="s">
        <v>268</v>
      </c>
      <c r="I143" s="497" t="s">
        <v>98</v>
      </c>
      <c r="J143" s="518">
        <v>21</v>
      </c>
      <c r="K143" s="355">
        <f t="shared" si="12"/>
        <v>255</v>
      </c>
      <c r="L143" s="519">
        <v>255</v>
      </c>
      <c r="M143" s="519"/>
      <c r="N143" s="516" t="e">
        <f>IF(L143="nio",0,IF(L143&gt;0,L143*J143/P143,0))*VLOOKUP(B143,'2-Kosten per locatie'!$A$14:$C$23,3,FALSE)</f>
        <v>#DIV/0!</v>
      </c>
      <c r="O143" s="262">
        <f>IF(M143&gt;0,M143*J143/Q143,0)*VLOOKUP(B143,'2-Kosten per locatie'!$A$14:$C$23,3,FALSE)</f>
        <v>0</v>
      </c>
      <c r="P143" s="356">
        <f>IF(L143="nio",0,IF(L143&gt;0,VLOOKUP(G143,'3-Productie normen'!A:L,VLOOKUP(L143,'3-Productie normen'!$B$32:$C$39,2,FALSE),FALSE)))</f>
        <v>0</v>
      </c>
      <c r="Q143" s="356">
        <f t="shared" si="10"/>
        <v>0</v>
      </c>
      <c r="R143" s="357" t="str">
        <f>VLOOKUP(G143,'3-Productie normen'!A:N,14,FALSE)</f>
        <v>B</v>
      </c>
      <c r="S143" s="357"/>
      <c r="U143" s="358">
        <f t="shared" si="11"/>
        <v>5355</v>
      </c>
    </row>
    <row r="144" spans="1:21" ht="14.1" customHeight="1">
      <c r="A144" s="75">
        <v>144</v>
      </c>
      <c r="B144" s="497" t="s">
        <v>272</v>
      </c>
      <c r="C144" s="320" t="s">
        <v>273</v>
      </c>
      <c r="D144" s="353" t="s">
        <v>94</v>
      </c>
      <c r="E144" s="354" t="s">
        <v>314</v>
      </c>
      <c r="F144" s="517" t="s">
        <v>300</v>
      </c>
      <c r="G144" s="517" t="s">
        <v>499</v>
      </c>
      <c r="H144" s="72" t="s">
        <v>268</v>
      </c>
      <c r="I144" s="497" t="s">
        <v>98</v>
      </c>
      <c r="J144" s="518">
        <v>18.5</v>
      </c>
      <c r="K144" s="355">
        <f t="shared" si="12"/>
        <v>255</v>
      </c>
      <c r="L144" s="519">
        <v>255</v>
      </c>
      <c r="M144" s="519"/>
      <c r="N144" s="516" t="e">
        <f>IF(L144="nio",0,IF(L144&gt;0,L144*J144/P144,0))*VLOOKUP(B144,'2-Kosten per locatie'!$A$14:$C$23,3,FALSE)</f>
        <v>#DIV/0!</v>
      </c>
      <c r="O144" s="262">
        <f>IF(M144&gt;0,M144*J144/Q144,0)*VLOOKUP(B144,'2-Kosten per locatie'!$A$14:$C$23,3,FALSE)</f>
        <v>0</v>
      </c>
      <c r="P144" s="356">
        <f>IF(L144="nio",0,IF(L144&gt;0,VLOOKUP(G144,'3-Productie normen'!A:L,VLOOKUP(L144,'3-Productie normen'!$B$32:$C$39,2,FALSE),FALSE)))</f>
        <v>0</v>
      </c>
      <c r="Q144" s="356">
        <f t="shared" si="10"/>
        <v>0</v>
      </c>
      <c r="R144" s="357" t="str">
        <f>VLOOKUP(G144,'3-Productie normen'!A:N,14,FALSE)</f>
        <v>B</v>
      </c>
      <c r="S144" s="357"/>
      <c r="U144" s="358">
        <f t="shared" si="11"/>
        <v>4717.5</v>
      </c>
    </row>
    <row r="145" spans="1:21" ht="14.1" customHeight="1">
      <c r="A145" s="75">
        <v>145</v>
      </c>
      <c r="B145" s="498" t="s">
        <v>272</v>
      </c>
      <c r="C145" s="320" t="s">
        <v>273</v>
      </c>
      <c r="D145" s="353" t="s">
        <v>94</v>
      </c>
      <c r="E145" s="354" t="s">
        <v>315</v>
      </c>
      <c r="F145" s="517" t="s">
        <v>300</v>
      </c>
      <c r="G145" s="517" t="s">
        <v>499</v>
      </c>
      <c r="H145" s="72" t="s">
        <v>268</v>
      </c>
      <c r="I145" s="497" t="s">
        <v>98</v>
      </c>
      <c r="J145" s="518">
        <v>62.8</v>
      </c>
      <c r="K145" s="355">
        <f t="shared" si="12"/>
        <v>255</v>
      </c>
      <c r="L145" s="519">
        <v>255</v>
      </c>
      <c r="M145" s="519"/>
      <c r="N145" s="516" t="e">
        <f>IF(L145="nio",0,IF(L145&gt;0,L145*J145/P145,0))*VLOOKUP(B145,'2-Kosten per locatie'!$A$14:$C$23,3,FALSE)</f>
        <v>#DIV/0!</v>
      </c>
      <c r="O145" s="262">
        <f>IF(M145&gt;0,M145*J145/Q145,0)*VLOOKUP(B145,'2-Kosten per locatie'!$A$14:$C$23,3,FALSE)</f>
        <v>0</v>
      </c>
      <c r="P145" s="356">
        <f>IF(L145="nio",0,IF(L145&gt;0,VLOOKUP(G145,'3-Productie normen'!A:L,VLOOKUP(L145,'3-Productie normen'!$B$32:$C$39,2,FALSE),FALSE)))</f>
        <v>0</v>
      </c>
      <c r="Q145" s="356">
        <f t="shared" si="10"/>
        <v>0</v>
      </c>
      <c r="R145" s="357" t="str">
        <f>VLOOKUP(G145,'3-Productie normen'!A:N,14,FALSE)</f>
        <v>B</v>
      </c>
      <c r="S145" s="357"/>
      <c r="U145" s="358">
        <f t="shared" si="11"/>
        <v>16014</v>
      </c>
    </row>
    <row r="146" spans="1:21" ht="14.1" customHeight="1">
      <c r="A146" s="75">
        <v>146</v>
      </c>
      <c r="B146" s="497" t="s">
        <v>272</v>
      </c>
      <c r="C146" s="320" t="s">
        <v>273</v>
      </c>
      <c r="D146" s="353" t="s">
        <v>94</v>
      </c>
      <c r="E146" s="354" t="s">
        <v>316</v>
      </c>
      <c r="F146" s="517" t="s">
        <v>262</v>
      </c>
      <c r="G146" s="517" t="s">
        <v>63</v>
      </c>
      <c r="H146" s="72" t="s">
        <v>268</v>
      </c>
      <c r="I146" s="497" t="s">
        <v>98</v>
      </c>
      <c r="J146" s="518">
        <v>40</v>
      </c>
      <c r="K146" s="355">
        <f t="shared" si="12"/>
        <v>255</v>
      </c>
      <c r="L146" s="519">
        <v>255</v>
      </c>
      <c r="M146" s="519"/>
      <c r="N146" s="516" t="e">
        <f>IF(L146="nio",0,IF(L146&gt;0,L146*J146/P146,0))*VLOOKUP(B146,'2-Kosten per locatie'!$A$14:$C$23,3,FALSE)</f>
        <v>#DIV/0!</v>
      </c>
      <c r="O146" s="262">
        <f>IF(M146&gt;0,M146*J146/Q146,0)*VLOOKUP(B146,'2-Kosten per locatie'!$A$14:$C$23,3,FALSE)</f>
        <v>0</v>
      </c>
      <c r="P146" s="356">
        <f>IF(L146="nio",0,IF(L146&gt;0,VLOOKUP(G146,'3-Productie normen'!A:L,VLOOKUP(L146,'3-Productie normen'!$B$32:$C$39,2,FALSE),FALSE)))</f>
        <v>0</v>
      </c>
      <c r="Q146" s="356">
        <f t="shared" si="10"/>
        <v>0</v>
      </c>
      <c r="R146" s="357" t="str">
        <f>VLOOKUP(G146,'3-Productie normen'!A:N,14,FALSE)</f>
        <v>B</v>
      </c>
      <c r="S146" s="357"/>
      <c r="U146" s="358">
        <f t="shared" si="11"/>
        <v>10200</v>
      </c>
    </row>
    <row r="147" spans="1:21" ht="14.1" customHeight="1">
      <c r="A147" s="75">
        <v>147</v>
      </c>
      <c r="B147" s="498" t="s">
        <v>272</v>
      </c>
      <c r="C147" s="320" t="s">
        <v>273</v>
      </c>
      <c r="D147" s="353" t="s">
        <v>94</v>
      </c>
      <c r="E147" s="354" t="s">
        <v>317</v>
      </c>
      <c r="F147" s="517" t="s">
        <v>262</v>
      </c>
      <c r="G147" s="517" t="s">
        <v>63</v>
      </c>
      <c r="H147" s="72" t="s">
        <v>268</v>
      </c>
      <c r="I147" s="497" t="s">
        <v>98</v>
      </c>
      <c r="J147" s="518">
        <v>10.8</v>
      </c>
      <c r="K147" s="355">
        <f t="shared" si="12"/>
        <v>255</v>
      </c>
      <c r="L147" s="519">
        <v>255</v>
      </c>
      <c r="M147" s="519"/>
      <c r="N147" s="516" t="e">
        <f>IF(L147="nio",0,IF(L147&gt;0,L147*J147/P147,0))*VLOOKUP(B147,'2-Kosten per locatie'!$A$14:$C$23,3,FALSE)</f>
        <v>#DIV/0!</v>
      </c>
      <c r="O147" s="262">
        <f>IF(M147&gt;0,M147*J147/Q147,0)*VLOOKUP(B147,'2-Kosten per locatie'!$A$14:$C$23,3,FALSE)</f>
        <v>0</v>
      </c>
      <c r="P147" s="356">
        <f>IF(L147="nio",0,IF(L147&gt;0,VLOOKUP(G147,'3-Productie normen'!A:L,VLOOKUP(L147,'3-Productie normen'!$B$32:$C$39,2,FALSE),FALSE)))</f>
        <v>0</v>
      </c>
      <c r="Q147" s="356">
        <f t="shared" si="10"/>
        <v>0</v>
      </c>
      <c r="R147" s="357" t="str">
        <f>VLOOKUP(G147,'3-Productie normen'!A:N,14,FALSE)</f>
        <v>B</v>
      </c>
      <c r="S147" s="357"/>
      <c r="U147" s="358">
        <f t="shared" si="11"/>
        <v>2754</v>
      </c>
    </row>
    <row r="148" spans="1:21" ht="14.1" customHeight="1">
      <c r="A148" s="75">
        <v>148</v>
      </c>
      <c r="B148" s="497" t="s">
        <v>272</v>
      </c>
      <c r="C148" s="320" t="s">
        <v>273</v>
      </c>
      <c r="D148" s="353" t="s">
        <v>94</v>
      </c>
      <c r="E148" s="354" t="s">
        <v>318</v>
      </c>
      <c r="F148" s="517" t="s">
        <v>262</v>
      </c>
      <c r="G148" s="517" t="s">
        <v>63</v>
      </c>
      <c r="H148" s="72" t="s">
        <v>268</v>
      </c>
      <c r="I148" s="497" t="s">
        <v>98</v>
      </c>
      <c r="J148" s="518">
        <v>9.9</v>
      </c>
      <c r="K148" s="355">
        <f t="shared" si="12"/>
        <v>255</v>
      </c>
      <c r="L148" s="519">
        <v>255</v>
      </c>
      <c r="M148" s="519"/>
      <c r="N148" s="516" t="e">
        <f>IF(L148="nio",0,IF(L148&gt;0,L148*J148/P148,0))*VLOOKUP(B148,'2-Kosten per locatie'!$A$14:$C$23,3,FALSE)</f>
        <v>#DIV/0!</v>
      </c>
      <c r="O148" s="262">
        <f>IF(M148&gt;0,M148*J148/Q148,0)*VLOOKUP(B148,'2-Kosten per locatie'!$A$14:$C$23,3,FALSE)</f>
        <v>0</v>
      </c>
      <c r="P148" s="356">
        <f>IF(L148="nio",0,IF(L148&gt;0,VLOOKUP(G148,'3-Productie normen'!A:L,VLOOKUP(L148,'3-Productie normen'!$B$32:$C$39,2,FALSE),FALSE)))</f>
        <v>0</v>
      </c>
      <c r="Q148" s="356">
        <f t="shared" si="10"/>
        <v>0</v>
      </c>
      <c r="R148" s="357" t="str">
        <f>VLOOKUP(G148,'3-Productie normen'!A:N,14,FALSE)</f>
        <v>B</v>
      </c>
      <c r="S148" s="357"/>
      <c r="U148" s="358">
        <f t="shared" si="11"/>
        <v>2524.5</v>
      </c>
    </row>
    <row r="149" spans="1:21" ht="14.1" customHeight="1">
      <c r="A149" s="75">
        <v>149</v>
      </c>
      <c r="B149" s="498" t="s">
        <v>272</v>
      </c>
      <c r="C149" s="320" t="s">
        <v>273</v>
      </c>
      <c r="D149" s="353" t="s">
        <v>94</v>
      </c>
      <c r="E149" s="354" t="s">
        <v>319</v>
      </c>
      <c r="F149" s="517" t="s">
        <v>262</v>
      </c>
      <c r="G149" s="517" t="s">
        <v>63</v>
      </c>
      <c r="H149" s="72" t="s">
        <v>268</v>
      </c>
      <c r="I149" s="497" t="s">
        <v>98</v>
      </c>
      <c r="J149" s="518">
        <v>9.9</v>
      </c>
      <c r="K149" s="355">
        <f t="shared" si="12"/>
        <v>255</v>
      </c>
      <c r="L149" s="519">
        <v>255</v>
      </c>
      <c r="M149" s="519"/>
      <c r="N149" s="516" t="e">
        <f>IF(L149="nio",0,IF(L149&gt;0,L149*J149/P149,0))*VLOOKUP(B149,'2-Kosten per locatie'!$A$14:$C$23,3,FALSE)</f>
        <v>#DIV/0!</v>
      </c>
      <c r="O149" s="262">
        <f>IF(M149&gt;0,M149*J149/Q149,0)*VLOOKUP(B149,'2-Kosten per locatie'!$A$14:$C$23,3,FALSE)</f>
        <v>0</v>
      </c>
      <c r="P149" s="356">
        <f>IF(L149="nio",0,IF(L149&gt;0,VLOOKUP(G149,'3-Productie normen'!A:L,VLOOKUP(L149,'3-Productie normen'!$B$32:$C$39,2,FALSE),FALSE)))</f>
        <v>0</v>
      </c>
      <c r="Q149" s="356">
        <f t="shared" si="10"/>
        <v>0</v>
      </c>
      <c r="R149" s="357" t="str">
        <f>VLOOKUP(G149,'3-Productie normen'!A:N,14,FALSE)</f>
        <v>B</v>
      </c>
      <c r="S149" s="357"/>
      <c r="U149" s="358">
        <f t="shared" si="11"/>
        <v>2524.5</v>
      </c>
    </row>
    <row r="150" spans="1:21" ht="14.1" customHeight="1">
      <c r="A150" s="75">
        <v>150</v>
      </c>
      <c r="B150" s="497" t="s">
        <v>272</v>
      </c>
      <c r="C150" s="320" t="s">
        <v>273</v>
      </c>
      <c r="D150" s="353" t="s">
        <v>94</v>
      </c>
      <c r="E150" s="354" t="s">
        <v>320</v>
      </c>
      <c r="F150" s="517" t="s">
        <v>262</v>
      </c>
      <c r="G150" s="517" t="s">
        <v>63</v>
      </c>
      <c r="H150" s="72" t="s">
        <v>268</v>
      </c>
      <c r="I150" s="497" t="s">
        <v>98</v>
      </c>
      <c r="J150" s="518">
        <v>9.9</v>
      </c>
      <c r="K150" s="355">
        <f t="shared" si="12"/>
        <v>255</v>
      </c>
      <c r="L150" s="519">
        <v>255</v>
      </c>
      <c r="M150" s="519"/>
      <c r="N150" s="516" t="e">
        <f>IF(L150="nio",0,IF(L150&gt;0,L150*J150/P150,0))*VLOOKUP(B150,'2-Kosten per locatie'!$A$14:$C$23,3,FALSE)</f>
        <v>#DIV/0!</v>
      </c>
      <c r="O150" s="262">
        <f>IF(M150&gt;0,M150*J150/Q150,0)*VLOOKUP(B150,'2-Kosten per locatie'!$A$14:$C$23,3,FALSE)</f>
        <v>0</v>
      </c>
      <c r="P150" s="356">
        <f>IF(L150="nio",0,IF(L150&gt;0,VLOOKUP(G150,'3-Productie normen'!A:L,VLOOKUP(L150,'3-Productie normen'!$B$32:$C$39,2,FALSE),FALSE)))</f>
        <v>0</v>
      </c>
      <c r="Q150" s="356">
        <f t="shared" si="10"/>
        <v>0</v>
      </c>
      <c r="R150" s="357" t="str">
        <f>VLOOKUP(G150,'3-Productie normen'!A:N,14,FALSE)</f>
        <v>B</v>
      </c>
      <c r="S150" s="357"/>
      <c r="U150" s="358">
        <f t="shared" si="11"/>
        <v>2524.5</v>
      </c>
    </row>
    <row r="151" spans="1:21" ht="14.1" customHeight="1">
      <c r="A151" s="75">
        <v>151</v>
      </c>
      <c r="B151" s="498" t="s">
        <v>272</v>
      </c>
      <c r="C151" s="320" t="s">
        <v>273</v>
      </c>
      <c r="D151" s="353" t="s">
        <v>94</v>
      </c>
      <c r="E151" s="354" t="s">
        <v>321</v>
      </c>
      <c r="F151" s="517" t="s">
        <v>262</v>
      </c>
      <c r="G151" s="517" t="s">
        <v>63</v>
      </c>
      <c r="H151" s="72" t="s">
        <v>268</v>
      </c>
      <c r="I151" s="497" t="s">
        <v>98</v>
      </c>
      <c r="J151" s="518">
        <v>15.9</v>
      </c>
      <c r="K151" s="355">
        <f t="shared" si="12"/>
        <v>255</v>
      </c>
      <c r="L151" s="519">
        <v>255</v>
      </c>
      <c r="M151" s="519"/>
      <c r="N151" s="516" t="e">
        <f>IF(L151="nio",0,IF(L151&gt;0,L151*J151/P151,0))*VLOOKUP(B151,'2-Kosten per locatie'!$A$14:$C$23,3,FALSE)</f>
        <v>#DIV/0!</v>
      </c>
      <c r="O151" s="262">
        <f>IF(M151&gt;0,M151*J151/Q151,0)*VLOOKUP(B151,'2-Kosten per locatie'!$A$14:$C$23,3,FALSE)</f>
        <v>0</v>
      </c>
      <c r="P151" s="356">
        <f>IF(L151="nio",0,IF(L151&gt;0,VLOOKUP(G151,'3-Productie normen'!A:L,VLOOKUP(L151,'3-Productie normen'!$B$32:$C$39,2,FALSE),FALSE)))</f>
        <v>0</v>
      </c>
      <c r="Q151" s="356">
        <f t="shared" si="10"/>
        <v>0</v>
      </c>
      <c r="R151" s="357" t="str">
        <f>VLOOKUP(G151,'3-Productie normen'!A:N,14,FALSE)</f>
        <v>B</v>
      </c>
      <c r="S151" s="357"/>
      <c r="U151" s="358">
        <f t="shared" si="11"/>
        <v>4054.5</v>
      </c>
    </row>
    <row r="152" spans="1:21" ht="14.1" customHeight="1">
      <c r="A152" s="75">
        <v>152</v>
      </c>
      <c r="B152" s="497" t="s">
        <v>272</v>
      </c>
      <c r="C152" s="320" t="s">
        <v>273</v>
      </c>
      <c r="D152" s="353" t="s">
        <v>94</v>
      </c>
      <c r="E152" s="354"/>
      <c r="F152" s="517" t="s">
        <v>257</v>
      </c>
      <c r="G152" s="517" t="s">
        <v>60</v>
      </c>
      <c r="H152" s="72" t="s">
        <v>268</v>
      </c>
      <c r="I152" s="497" t="s">
        <v>98</v>
      </c>
      <c r="J152" s="518">
        <v>127</v>
      </c>
      <c r="K152" s="355">
        <f t="shared" si="12"/>
        <v>255</v>
      </c>
      <c r="L152" s="519">
        <v>255</v>
      </c>
      <c r="M152" s="519"/>
      <c r="N152" s="516" t="e">
        <f>IF(L152="nio",0,IF(L152&gt;0,L152*J152/P152,0))*VLOOKUP(B152,'2-Kosten per locatie'!$A$14:$C$23,3,FALSE)</f>
        <v>#DIV/0!</v>
      </c>
      <c r="O152" s="262">
        <f>IF(M152&gt;0,M152*J152/Q152,0)*VLOOKUP(B152,'2-Kosten per locatie'!$A$14:$C$23,3,FALSE)</f>
        <v>0</v>
      </c>
      <c r="P152" s="356">
        <f>IF(L152="nio",0,IF(L152&gt;0,VLOOKUP(G152,'3-Productie normen'!A:L,VLOOKUP(L152,'3-Productie normen'!$B$32:$C$39,2,FALSE),FALSE)))</f>
        <v>0</v>
      </c>
      <c r="Q152" s="356">
        <f t="shared" si="10"/>
        <v>0</v>
      </c>
      <c r="R152" s="357" t="str">
        <f>VLOOKUP(G152,'3-Productie normen'!A:N,14,FALSE)</f>
        <v>V</v>
      </c>
      <c r="S152" s="357"/>
      <c r="U152" s="358">
        <f t="shared" si="11"/>
        <v>32385</v>
      </c>
    </row>
    <row r="153" spans="1:21" ht="14.1" customHeight="1">
      <c r="A153" s="75">
        <v>153</v>
      </c>
      <c r="B153" s="498" t="s">
        <v>272</v>
      </c>
      <c r="C153" s="320" t="s">
        <v>273</v>
      </c>
      <c r="D153" s="353" t="s">
        <v>94</v>
      </c>
      <c r="E153" s="354" t="s">
        <v>322</v>
      </c>
      <c r="F153" s="517" t="s">
        <v>259</v>
      </c>
      <c r="G153" s="517" t="s">
        <v>58</v>
      </c>
      <c r="H153" s="72" t="s">
        <v>269</v>
      </c>
      <c r="I153" s="497" t="s">
        <v>96</v>
      </c>
      <c r="J153" s="518">
        <v>6.6</v>
      </c>
      <c r="K153" s="355">
        <f t="shared" si="12"/>
        <v>510</v>
      </c>
      <c r="L153" s="519">
        <v>255</v>
      </c>
      <c r="M153" s="519">
        <v>255</v>
      </c>
      <c r="N153" s="516" t="e">
        <f>IF(L153="nio",0,IF(L153&gt;0,L153*J153/P153,0))*VLOOKUP(B153,'2-Kosten per locatie'!$A$14:$C$23,3,FALSE)</f>
        <v>#DIV/0!</v>
      </c>
      <c r="O153" s="262" t="e">
        <f>IF(M153&gt;0,M153*J153/Q153,0)*VLOOKUP(B153,'2-Kosten per locatie'!$A$14:$C$23,3,FALSE)</f>
        <v>#DIV/0!</v>
      </c>
      <c r="P153" s="356">
        <f>IF(L153="nio",0,IF(L153&gt;0,VLOOKUP(G153,'3-Productie normen'!A:L,VLOOKUP(L153,'3-Productie normen'!$B$32:$C$39,2,FALSE),FALSE)))</f>
        <v>0</v>
      </c>
      <c r="Q153" s="356">
        <f t="shared" si="10"/>
        <v>0</v>
      </c>
      <c r="R153" s="357" t="str">
        <f>VLOOKUP(G153,'3-Productie normen'!A:N,14,FALSE)</f>
        <v>S</v>
      </c>
      <c r="S153" s="357"/>
      <c r="U153" s="358">
        <f t="shared" si="11"/>
        <v>3366</v>
      </c>
    </row>
    <row r="154" spans="1:21" ht="14.1" customHeight="1">
      <c r="A154" s="75">
        <v>154</v>
      </c>
      <c r="B154" s="497" t="s">
        <v>272</v>
      </c>
      <c r="C154" s="320" t="s">
        <v>273</v>
      </c>
      <c r="D154" s="353" t="s">
        <v>94</v>
      </c>
      <c r="E154" s="354" t="s">
        <v>323</v>
      </c>
      <c r="F154" s="517" t="s">
        <v>259</v>
      </c>
      <c r="G154" s="517" t="s">
        <v>58</v>
      </c>
      <c r="H154" s="72" t="s">
        <v>269</v>
      </c>
      <c r="I154" s="497" t="s">
        <v>96</v>
      </c>
      <c r="J154" s="518">
        <v>9.4</v>
      </c>
      <c r="K154" s="355">
        <f t="shared" si="12"/>
        <v>510</v>
      </c>
      <c r="L154" s="519">
        <v>255</v>
      </c>
      <c r="M154" s="519">
        <v>255</v>
      </c>
      <c r="N154" s="516" t="e">
        <f>IF(L154="nio",0,IF(L154&gt;0,L154*J154/P154,0))*VLOOKUP(B154,'2-Kosten per locatie'!$A$14:$C$23,3,FALSE)</f>
        <v>#DIV/0!</v>
      </c>
      <c r="O154" s="262" t="e">
        <f>IF(M154&gt;0,M154*J154/Q154,0)*VLOOKUP(B154,'2-Kosten per locatie'!$A$14:$C$23,3,FALSE)</f>
        <v>#DIV/0!</v>
      </c>
      <c r="P154" s="356">
        <f>IF(L154="nio",0,IF(L154&gt;0,VLOOKUP(G154,'3-Productie normen'!A:L,VLOOKUP(L154,'3-Productie normen'!$B$32:$C$39,2,FALSE),FALSE)))</f>
        <v>0</v>
      </c>
      <c r="Q154" s="356">
        <f t="shared" si="10"/>
        <v>0</v>
      </c>
      <c r="R154" s="357" t="str">
        <f>VLOOKUP(G154,'3-Productie normen'!A:N,14,FALSE)</f>
        <v>S</v>
      </c>
      <c r="S154" s="357"/>
      <c r="U154" s="358">
        <f t="shared" si="11"/>
        <v>4794</v>
      </c>
    </row>
    <row r="155" spans="1:21" ht="14.1" customHeight="1">
      <c r="A155" s="75">
        <v>155</v>
      </c>
      <c r="B155" s="498" t="s">
        <v>272</v>
      </c>
      <c r="C155" s="320" t="s">
        <v>273</v>
      </c>
      <c r="D155" s="353" t="s">
        <v>94</v>
      </c>
      <c r="E155" s="354" t="s">
        <v>324</v>
      </c>
      <c r="F155" s="517" t="s">
        <v>259</v>
      </c>
      <c r="G155" s="517" t="s">
        <v>58</v>
      </c>
      <c r="H155" s="72" t="s">
        <v>269</v>
      </c>
      <c r="I155" s="497" t="s">
        <v>96</v>
      </c>
      <c r="J155" s="518">
        <v>7.7</v>
      </c>
      <c r="K155" s="355">
        <f t="shared" si="12"/>
        <v>510</v>
      </c>
      <c r="L155" s="519">
        <v>255</v>
      </c>
      <c r="M155" s="519">
        <v>255</v>
      </c>
      <c r="N155" s="516" t="e">
        <f>IF(L155="nio",0,IF(L155&gt;0,L155*J155/P155,0))*VLOOKUP(B155,'2-Kosten per locatie'!$A$14:$C$23,3,FALSE)</f>
        <v>#DIV/0!</v>
      </c>
      <c r="O155" s="262" t="e">
        <f>IF(M155&gt;0,M155*J155/Q155,0)*VLOOKUP(B155,'2-Kosten per locatie'!$A$14:$C$23,3,FALSE)</f>
        <v>#DIV/0!</v>
      </c>
      <c r="P155" s="356">
        <f>IF(L155="nio",0,IF(L155&gt;0,VLOOKUP(G155,'3-Productie normen'!A:L,VLOOKUP(L155,'3-Productie normen'!$B$32:$C$39,2,FALSE),FALSE)))</f>
        <v>0</v>
      </c>
      <c r="Q155" s="356">
        <f t="shared" si="10"/>
        <v>0</v>
      </c>
      <c r="R155" s="357" t="str">
        <f>VLOOKUP(G155,'3-Productie normen'!A:N,14,FALSE)</f>
        <v>S</v>
      </c>
      <c r="S155" s="357"/>
      <c r="U155" s="358">
        <f t="shared" si="11"/>
        <v>3927</v>
      </c>
    </row>
    <row r="156" spans="1:21" ht="14.1" customHeight="1">
      <c r="A156" s="75">
        <v>156</v>
      </c>
      <c r="B156" s="497" t="s">
        <v>272</v>
      </c>
      <c r="C156" s="320" t="s">
        <v>273</v>
      </c>
      <c r="D156" s="353" t="s">
        <v>94</v>
      </c>
      <c r="E156" s="354" t="s">
        <v>325</v>
      </c>
      <c r="F156" s="517" t="s">
        <v>264</v>
      </c>
      <c r="G156" s="517" t="s">
        <v>500</v>
      </c>
      <c r="H156" s="72" t="s">
        <v>268</v>
      </c>
      <c r="I156" s="497" t="s">
        <v>98</v>
      </c>
      <c r="J156" s="518">
        <v>5.8</v>
      </c>
      <c r="K156" s="355">
        <f t="shared" si="12"/>
        <v>255</v>
      </c>
      <c r="L156" s="519">
        <v>255</v>
      </c>
      <c r="M156" s="519"/>
      <c r="N156" s="516" t="e">
        <f>IF(L156="nio",0,IF(L156&gt;0,L156*J156/P156,0))*VLOOKUP(B156,'2-Kosten per locatie'!$A$14:$C$23,3,FALSE)</f>
        <v>#DIV/0!</v>
      </c>
      <c r="O156" s="262">
        <f>IF(M156&gt;0,M156*J156/Q156,0)*VLOOKUP(B156,'2-Kosten per locatie'!$A$14:$C$23,3,FALSE)</f>
        <v>0</v>
      </c>
      <c r="P156" s="356">
        <f>IF(L156="nio",0,IF(L156&gt;0,VLOOKUP(G156,'3-Productie normen'!A:L,VLOOKUP(L156,'3-Productie normen'!$B$32:$C$39,2,FALSE),FALSE)))</f>
        <v>0</v>
      </c>
      <c r="Q156" s="356">
        <f t="shared" si="10"/>
        <v>0</v>
      </c>
      <c r="R156" s="357" t="str">
        <f>VLOOKUP(G156,'3-Productie normen'!A:N,14,FALSE)</f>
        <v>V</v>
      </c>
      <c r="S156" s="357"/>
      <c r="U156" s="358">
        <f t="shared" si="11"/>
        <v>1479</v>
      </c>
    </row>
    <row r="157" spans="1:21" ht="14.1" customHeight="1">
      <c r="A157" s="75">
        <v>157</v>
      </c>
      <c r="B157" s="498" t="s">
        <v>272</v>
      </c>
      <c r="C157" s="320" t="s">
        <v>273</v>
      </c>
      <c r="D157" s="353" t="s">
        <v>94</v>
      </c>
      <c r="E157" s="354" t="s">
        <v>326</v>
      </c>
      <c r="F157" s="517" t="s">
        <v>264</v>
      </c>
      <c r="G157" s="517" t="s">
        <v>500</v>
      </c>
      <c r="H157" s="72" t="s">
        <v>268</v>
      </c>
      <c r="I157" s="497" t="s">
        <v>98</v>
      </c>
      <c r="J157" s="518">
        <v>5.8</v>
      </c>
      <c r="K157" s="355">
        <f t="shared" si="12"/>
        <v>255</v>
      </c>
      <c r="L157" s="519">
        <v>255</v>
      </c>
      <c r="M157" s="519"/>
      <c r="N157" s="516" t="e">
        <f>IF(L157="nio",0,IF(L157&gt;0,L157*J157/P157,0))*VLOOKUP(B157,'2-Kosten per locatie'!$A$14:$C$23,3,FALSE)</f>
        <v>#DIV/0!</v>
      </c>
      <c r="O157" s="262">
        <f>IF(M157&gt;0,M157*J157/Q157,0)*VLOOKUP(B157,'2-Kosten per locatie'!$A$14:$C$23,3,FALSE)</f>
        <v>0</v>
      </c>
      <c r="P157" s="356">
        <f>IF(L157="nio",0,IF(L157&gt;0,VLOOKUP(G157,'3-Productie normen'!A:L,VLOOKUP(L157,'3-Productie normen'!$B$32:$C$39,2,FALSE),FALSE)))</f>
        <v>0</v>
      </c>
      <c r="Q157" s="356">
        <f t="shared" si="10"/>
        <v>0</v>
      </c>
      <c r="R157" s="357" t="str">
        <f>VLOOKUP(G157,'3-Productie normen'!A:N,14,FALSE)</f>
        <v>V</v>
      </c>
      <c r="S157" s="357"/>
      <c r="U157" s="358">
        <f t="shared" si="11"/>
        <v>1479</v>
      </c>
    </row>
    <row r="158" spans="1:21" ht="14.1" customHeight="1">
      <c r="A158" s="75">
        <v>158</v>
      </c>
      <c r="B158" s="497" t="s">
        <v>272</v>
      </c>
      <c r="C158" s="320" t="s">
        <v>273</v>
      </c>
      <c r="D158" s="353" t="s">
        <v>94</v>
      </c>
      <c r="E158" s="354"/>
      <c r="F158" s="517" t="s">
        <v>65</v>
      </c>
      <c r="G158" s="517" t="s">
        <v>65</v>
      </c>
      <c r="H158" s="72" t="s">
        <v>268</v>
      </c>
      <c r="I158" s="497" t="s">
        <v>98</v>
      </c>
      <c r="J158" s="518">
        <v>14.9</v>
      </c>
      <c r="K158" s="355">
        <f t="shared" si="12"/>
        <v>255</v>
      </c>
      <c r="L158" s="519">
        <v>255</v>
      </c>
      <c r="M158" s="519"/>
      <c r="N158" s="516" t="e">
        <f>IF(L158="nio",0,IF(L158&gt;0,L158*J158/P158,0))*VLOOKUP(B158,'2-Kosten per locatie'!$A$14:$C$23,3,FALSE)</f>
        <v>#DIV/0!</v>
      </c>
      <c r="O158" s="262">
        <f>IF(M158&gt;0,M158*J158/Q158,0)*VLOOKUP(B158,'2-Kosten per locatie'!$A$14:$C$23,3,FALSE)</f>
        <v>0</v>
      </c>
      <c r="P158" s="356">
        <f>IF(L158="nio",0,IF(L158&gt;0,VLOOKUP(G158,'3-Productie normen'!A:L,VLOOKUP(L158,'3-Productie normen'!$B$32:$C$39,2,FALSE),FALSE)))</f>
        <v>0</v>
      </c>
      <c r="Q158" s="356">
        <f t="shared" si="10"/>
        <v>0</v>
      </c>
      <c r="R158" s="357" t="str">
        <f>VLOOKUP(G158,'3-Productie normen'!A:N,14,FALSE)</f>
        <v>V</v>
      </c>
      <c r="S158" s="357"/>
      <c r="U158" s="358">
        <f t="shared" si="11"/>
        <v>3799.5</v>
      </c>
    </row>
    <row r="159" spans="1:21" ht="14.1" customHeight="1">
      <c r="A159" s="75">
        <v>159</v>
      </c>
      <c r="B159" s="498" t="s">
        <v>272</v>
      </c>
      <c r="C159" s="320" t="s">
        <v>273</v>
      </c>
      <c r="D159" s="353" t="s">
        <v>94</v>
      </c>
      <c r="E159" s="354"/>
      <c r="F159" s="517" t="s">
        <v>65</v>
      </c>
      <c r="G159" s="517" t="s">
        <v>65</v>
      </c>
      <c r="H159" s="72" t="s">
        <v>268</v>
      </c>
      <c r="I159" s="497" t="s">
        <v>98</v>
      </c>
      <c r="J159" s="518">
        <v>28.5</v>
      </c>
      <c r="K159" s="355">
        <f t="shared" si="12"/>
        <v>255</v>
      </c>
      <c r="L159" s="519">
        <v>255</v>
      </c>
      <c r="M159" s="519"/>
      <c r="N159" s="516" t="e">
        <f>IF(L159="nio",0,IF(L159&gt;0,L159*J159/P159,0))*VLOOKUP(B159,'2-Kosten per locatie'!$A$14:$C$23,3,FALSE)</f>
        <v>#DIV/0!</v>
      </c>
      <c r="O159" s="262">
        <f>IF(M159&gt;0,M159*J159/Q159,0)*VLOOKUP(B159,'2-Kosten per locatie'!$A$14:$C$23,3,FALSE)</f>
        <v>0</v>
      </c>
      <c r="P159" s="356">
        <f>IF(L159="nio",0,IF(L159&gt;0,VLOOKUP(G159,'3-Productie normen'!A:L,VLOOKUP(L159,'3-Productie normen'!$B$32:$C$39,2,FALSE),FALSE)))</f>
        <v>0</v>
      </c>
      <c r="Q159" s="356">
        <f t="shared" si="10"/>
        <v>0</v>
      </c>
      <c r="R159" s="357" t="str">
        <f>VLOOKUP(G159,'3-Productie normen'!A:N,14,FALSE)</f>
        <v>V</v>
      </c>
      <c r="S159" s="357"/>
      <c r="U159" s="358">
        <f t="shared" si="11"/>
        <v>7267.5</v>
      </c>
    </row>
    <row r="160" spans="1:21" ht="14.1" customHeight="1">
      <c r="A160" s="75">
        <v>160</v>
      </c>
      <c r="B160" s="497" t="s">
        <v>272</v>
      </c>
      <c r="C160" s="320" t="s">
        <v>273</v>
      </c>
      <c r="D160" s="353" t="s">
        <v>94</v>
      </c>
      <c r="E160" s="354" t="s">
        <v>327</v>
      </c>
      <c r="F160" s="517" t="s">
        <v>259</v>
      </c>
      <c r="G160" s="517" t="s">
        <v>58</v>
      </c>
      <c r="H160" s="72" t="s">
        <v>269</v>
      </c>
      <c r="I160" s="497" t="s">
        <v>96</v>
      </c>
      <c r="J160" s="518">
        <v>6</v>
      </c>
      <c r="K160" s="355">
        <f t="shared" si="12"/>
        <v>510</v>
      </c>
      <c r="L160" s="519">
        <v>255</v>
      </c>
      <c r="M160" s="519">
        <v>255</v>
      </c>
      <c r="N160" s="516" t="e">
        <f>IF(L160="nio",0,IF(L160&gt;0,L160*J160/P160,0))*VLOOKUP(B160,'2-Kosten per locatie'!$A$14:$C$23,3,FALSE)</f>
        <v>#DIV/0!</v>
      </c>
      <c r="O160" s="262" t="e">
        <f>IF(M160&gt;0,M160*J160/Q160,0)*VLOOKUP(B160,'2-Kosten per locatie'!$A$14:$C$23,3,FALSE)</f>
        <v>#DIV/0!</v>
      </c>
      <c r="P160" s="356">
        <f>IF(L160="nio",0,IF(L160&gt;0,VLOOKUP(G160,'3-Productie normen'!A:L,VLOOKUP(L160,'3-Productie normen'!$B$32:$C$39,2,FALSE),FALSE)))</f>
        <v>0</v>
      </c>
      <c r="Q160" s="356">
        <f t="shared" si="10"/>
        <v>0</v>
      </c>
      <c r="R160" s="357" t="str">
        <f>VLOOKUP(G160,'3-Productie normen'!A:N,14,FALSE)</f>
        <v>S</v>
      </c>
      <c r="S160" s="357"/>
      <c r="U160" s="358">
        <f t="shared" si="11"/>
        <v>3060</v>
      </c>
    </row>
    <row r="161" spans="1:21" ht="14.1" customHeight="1">
      <c r="A161" s="75">
        <v>161</v>
      </c>
      <c r="B161" s="498" t="s">
        <v>272</v>
      </c>
      <c r="C161" s="320" t="s">
        <v>273</v>
      </c>
      <c r="D161" s="353" t="s">
        <v>94</v>
      </c>
      <c r="E161" s="354" t="s">
        <v>328</v>
      </c>
      <c r="F161" s="517" t="s">
        <v>259</v>
      </c>
      <c r="G161" s="517" t="s">
        <v>58</v>
      </c>
      <c r="H161" s="72" t="s">
        <v>269</v>
      </c>
      <c r="I161" s="497" t="s">
        <v>96</v>
      </c>
      <c r="J161" s="518">
        <v>6</v>
      </c>
      <c r="K161" s="355">
        <f t="shared" si="12"/>
        <v>510</v>
      </c>
      <c r="L161" s="519">
        <v>255</v>
      </c>
      <c r="M161" s="519">
        <v>255</v>
      </c>
      <c r="N161" s="516" t="e">
        <f>IF(L161="nio",0,IF(L161&gt;0,L161*J161/P161,0))*VLOOKUP(B161,'2-Kosten per locatie'!$A$14:$C$23,3,FALSE)</f>
        <v>#DIV/0!</v>
      </c>
      <c r="O161" s="262" t="e">
        <f>IF(M161&gt;0,M161*J161/Q161,0)*VLOOKUP(B161,'2-Kosten per locatie'!$A$14:$C$23,3,FALSE)</f>
        <v>#DIV/0!</v>
      </c>
      <c r="P161" s="356">
        <f>IF(L161="nio",0,IF(L161&gt;0,VLOOKUP(G161,'3-Productie normen'!A:L,VLOOKUP(L161,'3-Productie normen'!$B$32:$C$39,2,FALSE),FALSE)))</f>
        <v>0</v>
      </c>
      <c r="Q161" s="356">
        <f t="shared" si="10"/>
        <v>0</v>
      </c>
      <c r="R161" s="357" t="str">
        <f>VLOOKUP(G161,'3-Productie normen'!A:N,14,FALSE)</f>
        <v>S</v>
      </c>
      <c r="S161" s="357"/>
      <c r="U161" s="358">
        <f t="shared" si="11"/>
        <v>3060</v>
      </c>
    </row>
    <row r="162" spans="1:21" ht="14.1" customHeight="1">
      <c r="A162" s="75">
        <v>162</v>
      </c>
      <c r="B162" s="497" t="s">
        <v>272</v>
      </c>
      <c r="C162" s="320" t="s">
        <v>273</v>
      </c>
      <c r="D162" s="353" t="s">
        <v>94</v>
      </c>
      <c r="E162" s="354"/>
      <c r="F162" s="517" t="s">
        <v>66</v>
      </c>
      <c r="G162" s="517" t="s">
        <v>66</v>
      </c>
      <c r="H162" s="72" t="s">
        <v>269</v>
      </c>
      <c r="I162" s="497" t="s">
        <v>99</v>
      </c>
      <c r="J162" s="518">
        <v>9.5</v>
      </c>
      <c r="K162" s="355">
        <f t="shared" si="12"/>
        <v>255</v>
      </c>
      <c r="L162" s="519">
        <v>255</v>
      </c>
      <c r="M162" s="519"/>
      <c r="N162" s="516" t="e">
        <f>IF(L162="nio",0,IF(L162&gt;0,L162*J162/P162,0))*VLOOKUP(B162,'2-Kosten per locatie'!$A$14:$C$23,3,FALSE)</f>
        <v>#DIV/0!</v>
      </c>
      <c r="O162" s="262">
        <f>IF(M162&gt;0,M162*J162/Q162,0)*VLOOKUP(B162,'2-Kosten per locatie'!$A$14:$C$23,3,FALSE)</f>
        <v>0</v>
      </c>
      <c r="P162" s="356">
        <f>IF(L162="nio",0,IF(L162&gt;0,VLOOKUP(G162,'3-Productie normen'!A:L,VLOOKUP(L162,'3-Productie normen'!$B$32:$C$39,2,FALSE),FALSE)))</f>
        <v>0</v>
      </c>
      <c r="Q162" s="356">
        <f t="shared" si="10"/>
        <v>0</v>
      </c>
      <c r="R162" s="357" t="str">
        <f>VLOOKUP(G162,'3-Productie normen'!A:N,14,FALSE)</f>
        <v>V</v>
      </c>
      <c r="S162" s="357"/>
      <c r="U162" s="358">
        <f t="shared" si="11"/>
        <v>2422.5</v>
      </c>
    </row>
    <row r="163" spans="1:21" ht="14.1" customHeight="1">
      <c r="A163" s="75">
        <v>163</v>
      </c>
      <c r="B163" s="498" t="s">
        <v>272</v>
      </c>
      <c r="C163" s="320" t="s">
        <v>273</v>
      </c>
      <c r="D163" s="353" t="s">
        <v>94</v>
      </c>
      <c r="E163" s="354" t="s">
        <v>329</v>
      </c>
      <c r="F163" s="517" t="s">
        <v>64</v>
      </c>
      <c r="G163" s="517" t="s">
        <v>64</v>
      </c>
      <c r="H163" s="72" t="s">
        <v>268</v>
      </c>
      <c r="I163" s="497" t="s">
        <v>98</v>
      </c>
      <c r="J163" s="518">
        <v>9.6</v>
      </c>
      <c r="K163" s="355">
        <f t="shared" si="12"/>
        <v>255</v>
      </c>
      <c r="L163" s="519">
        <v>255</v>
      </c>
      <c r="M163" s="519"/>
      <c r="N163" s="516" t="e">
        <f>IF(L163="nio",0,IF(L163&gt;0,L163*J163/P163,0))*VLOOKUP(B163,'2-Kosten per locatie'!$A$14:$C$23,3,FALSE)</f>
        <v>#DIV/0!</v>
      </c>
      <c r="O163" s="262">
        <f>IF(M163&gt;0,M163*J163/Q163,0)*VLOOKUP(B163,'2-Kosten per locatie'!$A$14:$C$23,3,FALSE)</f>
        <v>0</v>
      </c>
      <c r="P163" s="356">
        <f>IF(L163="nio",0,IF(L163&gt;0,VLOOKUP(G163,'3-Productie normen'!A:L,VLOOKUP(L163,'3-Productie normen'!$B$32:$C$39,2,FALSE),FALSE)))</f>
        <v>0</v>
      </c>
      <c r="Q163" s="356">
        <f t="shared" si="10"/>
        <v>0</v>
      </c>
      <c r="R163" s="357" t="str">
        <f>VLOOKUP(G163,'3-Productie normen'!A:N,14,FALSE)</f>
        <v>V</v>
      </c>
      <c r="S163" s="357"/>
      <c r="U163" s="358">
        <f t="shared" si="11"/>
        <v>2448</v>
      </c>
    </row>
    <row r="164" spans="1:21" ht="14.1" customHeight="1">
      <c r="A164" s="75">
        <v>164</v>
      </c>
      <c r="B164" s="497" t="s">
        <v>272</v>
      </c>
      <c r="C164" s="320" t="s">
        <v>273</v>
      </c>
      <c r="D164" s="353" t="s">
        <v>94</v>
      </c>
      <c r="E164" s="354" t="s">
        <v>330</v>
      </c>
      <c r="F164" s="517" t="s">
        <v>331</v>
      </c>
      <c r="G164" s="517" t="s">
        <v>499</v>
      </c>
      <c r="H164" s="72" t="s">
        <v>268</v>
      </c>
      <c r="I164" s="497" t="s">
        <v>98</v>
      </c>
      <c r="J164" s="518">
        <v>24</v>
      </c>
      <c r="K164" s="355">
        <f t="shared" si="12"/>
        <v>255</v>
      </c>
      <c r="L164" s="519">
        <v>255</v>
      </c>
      <c r="M164" s="519"/>
      <c r="N164" s="516" t="e">
        <f>IF(L164="nio",0,IF(L164&gt;0,L164*J164/P164,0))*VLOOKUP(B164,'2-Kosten per locatie'!$A$14:$C$23,3,FALSE)</f>
        <v>#DIV/0!</v>
      </c>
      <c r="O164" s="262">
        <f>IF(M164&gt;0,M164*J164/Q164,0)*VLOOKUP(B164,'2-Kosten per locatie'!$A$14:$C$23,3,FALSE)</f>
        <v>0</v>
      </c>
      <c r="P164" s="356">
        <f>IF(L164="nio",0,IF(L164&gt;0,VLOOKUP(G164,'3-Productie normen'!A:L,VLOOKUP(L164,'3-Productie normen'!$B$32:$C$39,2,FALSE),FALSE)))</f>
        <v>0</v>
      </c>
      <c r="Q164" s="356">
        <f t="shared" si="10"/>
        <v>0</v>
      </c>
      <c r="R164" s="357" t="str">
        <f>VLOOKUP(G164,'3-Productie normen'!A:N,14,FALSE)</f>
        <v>B</v>
      </c>
      <c r="S164" s="357"/>
      <c r="U164" s="358">
        <f t="shared" si="11"/>
        <v>6120</v>
      </c>
    </row>
    <row r="165" spans="1:21" ht="14.1" customHeight="1">
      <c r="A165" s="75">
        <v>165</v>
      </c>
      <c r="B165" s="498" t="s">
        <v>272</v>
      </c>
      <c r="C165" s="320" t="s">
        <v>273</v>
      </c>
      <c r="D165" s="353" t="s">
        <v>94</v>
      </c>
      <c r="E165" s="354" t="s">
        <v>332</v>
      </c>
      <c r="F165" s="517" t="s">
        <v>522</v>
      </c>
      <c r="G165" s="517" t="s">
        <v>60</v>
      </c>
      <c r="H165" s="72" t="s">
        <v>269</v>
      </c>
      <c r="I165" s="497" t="s">
        <v>99</v>
      </c>
      <c r="J165" s="518">
        <v>314</v>
      </c>
      <c r="K165" s="355">
        <f t="shared" si="12"/>
        <v>255</v>
      </c>
      <c r="L165" s="519">
        <v>255</v>
      </c>
      <c r="M165" s="519"/>
      <c r="N165" s="516" t="e">
        <f>IF(L165="nio",0,IF(L165&gt;0,L165*J165/P165,0))*VLOOKUP(B165,'2-Kosten per locatie'!$A$14:$C$23,3,FALSE)</f>
        <v>#DIV/0!</v>
      </c>
      <c r="O165" s="262">
        <f>IF(M165&gt;0,M165*J165/Q165,0)*VLOOKUP(B165,'2-Kosten per locatie'!$A$14:$C$23,3,FALSE)</f>
        <v>0</v>
      </c>
      <c r="P165" s="356">
        <f>IF(L165="nio",0,IF(L165&gt;0,VLOOKUP(G165,'3-Productie normen'!A:L,VLOOKUP(L165,'3-Productie normen'!$B$32:$C$39,2,FALSE),FALSE)))</f>
        <v>0</v>
      </c>
      <c r="Q165" s="356">
        <f t="shared" si="10"/>
        <v>0</v>
      </c>
      <c r="R165" s="357" t="str">
        <f>VLOOKUP(G165,'3-Productie normen'!A:N,14,FALSE)</f>
        <v>V</v>
      </c>
      <c r="S165" s="357"/>
      <c r="U165" s="358">
        <f t="shared" si="11"/>
        <v>80070</v>
      </c>
    </row>
    <row r="166" spans="1:21" ht="14.1" customHeight="1">
      <c r="A166" s="75">
        <v>166</v>
      </c>
      <c r="B166" s="498" t="s">
        <v>272</v>
      </c>
      <c r="C166" s="320" t="s">
        <v>273</v>
      </c>
      <c r="D166" s="353" t="s">
        <v>267</v>
      </c>
      <c r="E166" s="354" t="s">
        <v>334</v>
      </c>
      <c r="F166" s="517" t="s">
        <v>335</v>
      </c>
      <c r="G166" s="517" t="s">
        <v>62</v>
      </c>
      <c r="H166" s="72" t="s">
        <v>268</v>
      </c>
      <c r="I166" s="497" t="s">
        <v>98</v>
      </c>
      <c r="J166" s="518">
        <v>201.3</v>
      </c>
      <c r="K166" s="355">
        <f t="shared" si="12"/>
        <v>255</v>
      </c>
      <c r="L166" s="519">
        <v>255</v>
      </c>
      <c r="M166" s="519"/>
      <c r="N166" s="516" t="e">
        <f>IF(L166="nio",0,IF(L166&gt;0,L166*J166/P166,0))*VLOOKUP(B166,'2-Kosten per locatie'!$A$14:$C$23,3,FALSE)</f>
        <v>#DIV/0!</v>
      </c>
      <c r="O166" s="262">
        <f>IF(M166&gt;0,M166*J166/Q166,0)*VLOOKUP(B166,'2-Kosten per locatie'!$A$14:$C$23,3,FALSE)</f>
        <v>0</v>
      </c>
      <c r="P166" s="356">
        <f>IF(L166="nio",0,IF(L166&gt;0,VLOOKUP(G166,'3-Productie normen'!A:L,VLOOKUP(L166,'3-Productie normen'!$B$32:$C$39,2,FALSE),FALSE)))</f>
        <v>0</v>
      </c>
      <c r="Q166" s="356">
        <f t="shared" ref="Q166:Q228" si="13">IF(M166&gt;0,P166*$Q$8,0)</f>
        <v>0</v>
      </c>
      <c r="R166" s="357" t="str">
        <f>VLOOKUP(G166,'3-Productie normen'!A:N,14,FALSE)</f>
        <v>V</v>
      </c>
      <c r="S166" s="357"/>
      <c r="U166" s="358">
        <f t="shared" ref="U166:U228" si="14">K166*J166</f>
        <v>51331.5</v>
      </c>
    </row>
    <row r="167" spans="1:21" ht="14.1" customHeight="1">
      <c r="A167" s="75">
        <v>167</v>
      </c>
      <c r="B167" s="497" t="s">
        <v>272</v>
      </c>
      <c r="C167" s="320" t="s">
        <v>273</v>
      </c>
      <c r="D167" s="353" t="s">
        <v>267</v>
      </c>
      <c r="E167" s="354" t="s">
        <v>336</v>
      </c>
      <c r="F167" s="517" t="s">
        <v>264</v>
      </c>
      <c r="G167" s="517" t="s">
        <v>500</v>
      </c>
      <c r="H167" s="72" t="s">
        <v>269</v>
      </c>
      <c r="I167" s="497" t="s">
        <v>99</v>
      </c>
      <c r="J167" s="518">
        <v>20.6</v>
      </c>
      <c r="K167" s="355">
        <f t="shared" si="12"/>
        <v>255</v>
      </c>
      <c r="L167" s="519">
        <v>255</v>
      </c>
      <c r="M167" s="519"/>
      <c r="N167" s="516" t="e">
        <f>IF(L167="nio",0,IF(L167&gt;0,L167*J167/P167,0))*VLOOKUP(B167,'2-Kosten per locatie'!$A$14:$C$23,3,FALSE)</f>
        <v>#DIV/0!</v>
      </c>
      <c r="O167" s="262">
        <f>IF(M167&gt;0,M167*J167/Q167,0)*VLOOKUP(B167,'2-Kosten per locatie'!$A$14:$C$23,3,FALSE)</f>
        <v>0</v>
      </c>
      <c r="P167" s="356">
        <f>IF(L167="nio",0,IF(L167&gt;0,VLOOKUP(G167,'3-Productie normen'!A:L,VLOOKUP(L167,'3-Productie normen'!$B$32:$C$39,2,FALSE),FALSE)))</f>
        <v>0</v>
      </c>
      <c r="Q167" s="356">
        <f t="shared" si="13"/>
        <v>0</v>
      </c>
      <c r="R167" s="357" t="str">
        <f>VLOOKUP(G167,'3-Productie normen'!A:N,14,FALSE)</f>
        <v>V</v>
      </c>
      <c r="S167" s="357"/>
      <c r="U167" s="358">
        <f t="shared" si="14"/>
        <v>5253</v>
      </c>
    </row>
    <row r="168" spans="1:21" ht="14.1" customHeight="1">
      <c r="A168" s="75">
        <v>168</v>
      </c>
      <c r="B168" s="498" t="s">
        <v>272</v>
      </c>
      <c r="C168" s="320" t="s">
        <v>273</v>
      </c>
      <c r="D168" s="353" t="s">
        <v>267</v>
      </c>
      <c r="E168" s="354" t="s">
        <v>336</v>
      </c>
      <c r="F168" s="517" t="s">
        <v>264</v>
      </c>
      <c r="G168" s="517" t="s">
        <v>500</v>
      </c>
      <c r="H168" s="72" t="s">
        <v>269</v>
      </c>
      <c r="I168" s="497" t="s">
        <v>99</v>
      </c>
      <c r="J168" s="518">
        <v>56.1</v>
      </c>
      <c r="K168" s="355">
        <f t="shared" si="12"/>
        <v>255</v>
      </c>
      <c r="L168" s="519">
        <v>255</v>
      </c>
      <c r="M168" s="519"/>
      <c r="N168" s="516" t="e">
        <f>IF(L168="nio",0,IF(L168&gt;0,L168*J168/P168,0))*VLOOKUP(B168,'2-Kosten per locatie'!$A$14:$C$23,3,FALSE)</f>
        <v>#DIV/0!</v>
      </c>
      <c r="O168" s="262">
        <f>IF(M168&gt;0,M168*J168/Q168,0)*VLOOKUP(B168,'2-Kosten per locatie'!$A$14:$C$23,3,FALSE)</f>
        <v>0</v>
      </c>
      <c r="P168" s="356">
        <f>IF(L168="nio",0,IF(L168&gt;0,VLOOKUP(G168,'3-Productie normen'!A:L,VLOOKUP(L168,'3-Productie normen'!$B$32:$C$39,2,FALSE),FALSE)))</f>
        <v>0</v>
      </c>
      <c r="Q168" s="356">
        <f t="shared" si="13"/>
        <v>0</v>
      </c>
      <c r="R168" s="357" t="str">
        <f>VLOOKUP(G168,'3-Productie normen'!A:N,14,FALSE)</f>
        <v>V</v>
      </c>
      <c r="S168" s="357"/>
      <c r="U168" s="358">
        <f t="shared" si="14"/>
        <v>14305.5</v>
      </c>
    </row>
    <row r="169" spans="1:21" ht="14.1" customHeight="1">
      <c r="A169" s="75">
        <v>169</v>
      </c>
      <c r="B169" s="497" t="s">
        <v>272</v>
      </c>
      <c r="C169" s="320" t="s">
        <v>273</v>
      </c>
      <c r="D169" s="353" t="s">
        <v>267</v>
      </c>
      <c r="E169" s="354" t="s">
        <v>337</v>
      </c>
      <c r="F169" s="517" t="s">
        <v>300</v>
      </c>
      <c r="G169" s="517" t="s">
        <v>499</v>
      </c>
      <c r="H169" s="72" t="s">
        <v>268</v>
      </c>
      <c r="I169" s="497" t="s">
        <v>98</v>
      </c>
      <c r="J169" s="518">
        <v>24.3</v>
      </c>
      <c r="K169" s="355">
        <f t="shared" si="12"/>
        <v>255</v>
      </c>
      <c r="L169" s="519">
        <v>255</v>
      </c>
      <c r="M169" s="519"/>
      <c r="N169" s="516" t="e">
        <f>IF(L169="nio",0,IF(L169&gt;0,L169*J169/P169,0))*VLOOKUP(B169,'2-Kosten per locatie'!$A$14:$C$23,3,FALSE)</f>
        <v>#DIV/0!</v>
      </c>
      <c r="O169" s="262">
        <f>IF(M169&gt;0,M169*J169/Q169,0)*VLOOKUP(B169,'2-Kosten per locatie'!$A$14:$C$23,3,FALSE)</f>
        <v>0</v>
      </c>
      <c r="P169" s="356">
        <f>IF(L169="nio",0,IF(L169&gt;0,VLOOKUP(G169,'3-Productie normen'!A:L,VLOOKUP(L169,'3-Productie normen'!$B$32:$C$39,2,FALSE),FALSE)))</f>
        <v>0</v>
      </c>
      <c r="Q169" s="356">
        <f t="shared" si="13"/>
        <v>0</v>
      </c>
      <c r="R169" s="357" t="str">
        <f>VLOOKUP(G169,'3-Productie normen'!A:N,14,FALSE)</f>
        <v>B</v>
      </c>
      <c r="S169" s="357"/>
      <c r="U169" s="358">
        <f t="shared" si="14"/>
        <v>6196.5</v>
      </c>
    </row>
    <row r="170" spans="1:21" ht="14.1" customHeight="1">
      <c r="A170" s="75">
        <v>170</v>
      </c>
      <c r="B170" s="498" t="s">
        <v>272</v>
      </c>
      <c r="C170" s="320" t="s">
        <v>273</v>
      </c>
      <c r="D170" s="353" t="s">
        <v>267</v>
      </c>
      <c r="E170" s="354" t="s">
        <v>338</v>
      </c>
      <c r="F170" s="517" t="s">
        <v>300</v>
      </c>
      <c r="G170" s="517" t="s">
        <v>499</v>
      </c>
      <c r="H170" s="72" t="s">
        <v>268</v>
      </c>
      <c r="I170" s="497" t="s">
        <v>98</v>
      </c>
      <c r="J170" s="518">
        <v>56</v>
      </c>
      <c r="K170" s="355">
        <f t="shared" si="12"/>
        <v>255</v>
      </c>
      <c r="L170" s="519">
        <v>255</v>
      </c>
      <c r="M170" s="519"/>
      <c r="N170" s="516" t="e">
        <f>IF(L170="nio",0,IF(L170&gt;0,L170*J170/P170,0))*VLOOKUP(B170,'2-Kosten per locatie'!$A$14:$C$23,3,FALSE)</f>
        <v>#DIV/0!</v>
      </c>
      <c r="O170" s="262">
        <f>IF(M170&gt;0,M170*J170/Q170,0)*VLOOKUP(B170,'2-Kosten per locatie'!$A$14:$C$23,3,FALSE)</f>
        <v>0</v>
      </c>
      <c r="P170" s="356">
        <f>IF(L170="nio",0,IF(L170&gt;0,VLOOKUP(G170,'3-Productie normen'!A:L,VLOOKUP(L170,'3-Productie normen'!$B$32:$C$39,2,FALSE),FALSE)))</f>
        <v>0</v>
      </c>
      <c r="Q170" s="356">
        <f t="shared" si="13"/>
        <v>0</v>
      </c>
      <c r="R170" s="357" t="str">
        <f>VLOOKUP(G170,'3-Productie normen'!A:N,14,FALSE)</f>
        <v>B</v>
      </c>
      <c r="S170" s="357"/>
      <c r="U170" s="358">
        <f t="shared" si="14"/>
        <v>14280</v>
      </c>
    </row>
    <row r="171" spans="1:21" ht="14.1" customHeight="1">
      <c r="A171" s="75">
        <v>171</v>
      </c>
      <c r="B171" s="497" t="s">
        <v>272</v>
      </c>
      <c r="C171" s="320" t="s">
        <v>273</v>
      </c>
      <c r="D171" s="353" t="s">
        <v>267</v>
      </c>
      <c r="E171" s="354" t="s">
        <v>339</v>
      </c>
      <c r="F171" s="517" t="s">
        <v>300</v>
      </c>
      <c r="G171" s="517" t="s">
        <v>499</v>
      </c>
      <c r="H171" s="72" t="s">
        <v>268</v>
      </c>
      <c r="I171" s="497" t="s">
        <v>98</v>
      </c>
      <c r="J171" s="518">
        <v>44.5</v>
      </c>
      <c r="K171" s="355">
        <f t="shared" si="12"/>
        <v>255</v>
      </c>
      <c r="L171" s="519">
        <v>255</v>
      </c>
      <c r="M171" s="519"/>
      <c r="N171" s="516" t="e">
        <f>IF(L171="nio",0,IF(L171&gt;0,L171*J171/P171,0))*VLOOKUP(B171,'2-Kosten per locatie'!$A$14:$C$23,3,FALSE)</f>
        <v>#DIV/0!</v>
      </c>
      <c r="O171" s="262">
        <f>IF(M171&gt;0,M171*J171/Q171,0)*VLOOKUP(B171,'2-Kosten per locatie'!$A$14:$C$23,3,FALSE)</f>
        <v>0</v>
      </c>
      <c r="P171" s="356">
        <f>IF(L171="nio",0,IF(L171&gt;0,VLOOKUP(G171,'3-Productie normen'!A:L,VLOOKUP(L171,'3-Productie normen'!$B$32:$C$39,2,FALSE),FALSE)))</f>
        <v>0</v>
      </c>
      <c r="Q171" s="356">
        <f t="shared" si="13"/>
        <v>0</v>
      </c>
      <c r="R171" s="357" t="str">
        <f>VLOOKUP(G171,'3-Productie normen'!A:N,14,FALSE)</f>
        <v>B</v>
      </c>
      <c r="S171" s="357"/>
      <c r="U171" s="358">
        <f t="shared" si="14"/>
        <v>11347.5</v>
      </c>
    </row>
    <row r="172" spans="1:21" ht="14.1" customHeight="1">
      <c r="A172" s="75">
        <v>172</v>
      </c>
      <c r="B172" s="498" t="s">
        <v>272</v>
      </c>
      <c r="C172" s="320" t="s">
        <v>273</v>
      </c>
      <c r="D172" s="353" t="s">
        <v>267</v>
      </c>
      <c r="E172" s="354" t="s">
        <v>340</v>
      </c>
      <c r="F172" s="517" t="s">
        <v>300</v>
      </c>
      <c r="G172" s="517" t="s">
        <v>499</v>
      </c>
      <c r="H172" s="72" t="s">
        <v>268</v>
      </c>
      <c r="I172" s="497" t="s">
        <v>98</v>
      </c>
      <c r="J172" s="518">
        <v>68.900000000000006</v>
      </c>
      <c r="K172" s="355">
        <f t="shared" si="12"/>
        <v>255</v>
      </c>
      <c r="L172" s="519">
        <v>255</v>
      </c>
      <c r="M172" s="519"/>
      <c r="N172" s="516" t="e">
        <f>IF(L172="nio",0,IF(L172&gt;0,L172*J172/P172,0))*VLOOKUP(B172,'2-Kosten per locatie'!$A$14:$C$23,3,FALSE)</f>
        <v>#DIV/0!</v>
      </c>
      <c r="O172" s="262">
        <f>IF(M172&gt;0,M172*J172/Q172,0)*VLOOKUP(B172,'2-Kosten per locatie'!$A$14:$C$23,3,FALSE)</f>
        <v>0</v>
      </c>
      <c r="P172" s="356">
        <f>IF(L172="nio",0,IF(L172&gt;0,VLOOKUP(G172,'3-Productie normen'!A:L,VLOOKUP(L172,'3-Productie normen'!$B$32:$C$39,2,FALSE),FALSE)))</f>
        <v>0</v>
      </c>
      <c r="Q172" s="356">
        <f t="shared" si="13"/>
        <v>0</v>
      </c>
      <c r="R172" s="357" t="str">
        <f>VLOOKUP(G172,'3-Productie normen'!A:N,14,FALSE)</f>
        <v>B</v>
      </c>
      <c r="S172" s="357"/>
      <c r="U172" s="358">
        <f t="shared" si="14"/>
        <v>17569.5</v>
      </c>
    </row>
    <row r="173" spans="1:21" ht="14.1" customHeight="1">
      <c r="A173" s="75">
        <v>173</v>
      </c>
      <c r="B173" s="497" t="s">
        <v>272</v>
      </c>
      <c r="C173" s="320" t="s">
        <v>273</v>
      </c>
      <c r="D173" s="353" t="s">
        <v>267</v>
      </c>
      <c r="E173" s="354" t="s">
        <v>341</v>
      </c>
      <c r="F173" s="517" t="s">
        <v>300</v>
      </c>
      <c r="G173" s="517" t="s">
        <v>499</v>
      </c>
      <c r="H173" s="72" t="s">
        <v>268</v>
      </c>
      <c r="I173" s="497" t="s">
        <v>98</v>
      </c>
      <c r="J173" s="518">
        <v>23.9</v>
      </c>
      <c r="K173" s="355">
        <f t="shared" si="12"/>
        <v>255</v>
      </c>
      <c r="L173" s="519">
        <v>255</v>
      </c>
      <c r="M173" s="519"/>
      <c r="N173" s="516" t="e">
        <f>IF(L173="nio",0,IF(L173&gt;0,L173*J173/P173,0))*VLOOKUP(B173,'2-Kosten per locatie'!$A$14:$C$23,3,FALSE)</f>
        <v>#DIV/0!</v>
      </c>
      <c r="O173" s="262">
        <f>IF(M173&gt;0,M173*J173/Q173,0)*VLOOKUP(B173,'2-Kosten per locatie'!$A$14:$C$23,3,FALSE)</f>
        <v>0</v>
      </c>
      <c r="P173" s="356">
        <f>IF(L173="nio",0,IF(L173&gt;0,VLOOKUP(G173,'3-Productie normen'!A:L,VLOOKUP(L173,'3-Productie normen'!$B$32:$C$39,2,FALSE),FALSE)))</f>
        <v>0</v>
      </c>
      <c r="Q173" s="356">
        <f t="shared" si="13"/>
        <v>0</v>
      </c>
      <c r="R173" s="357" t="str">
        <f>VLOOKUP(G173,'3-Productie normen'!A:N,14,FALSE)</f>
        <v>B</v>
      </c>
      <c r="S173" s="357"/>
      <c r="U173" s="358">
        <f t="shared" si="14"/>
        <v>6094.5</v>
      </c>
    </row>
    <row r="174" spans="1:21" ht="14.1" customHeight="1">
      <c r="A174" s="75">
        <v>174</v>
      </c>
      <c r="B174" s="498" t="s">
        <v>272</v>
      </c>
      <c r="C174" s="320" t="s">
        <v>273</v>
      </c>
      <c r="D174" s="353" t="s">
        <v>267</v>
      </c>
      <c r="E174" s="354" t="s">
        <v>342</v>
      </c>
      <c r="F174" s="517" t="s">
        <v>300</v>
      </c>
      <c r="G174" s="517" t="s">
        <v>499</v>
      </c>
      <c r="H174" s="72" t="s">
        <v>268</v>
      </c>
      <c r="I174" s="497" t="s">
        <v>98</v>
      </c>
      <c r="J174" s="518">
        <v>33.700000000000003</v>
      </c>
      <c r="K174" s="355">
        <f t="shared" si="12"/>
        <v>255</v>
      </c>
      <c r="L174" s="519">
        <v>255</v>
      </c>
      <c r="M174" s="519"/>
      <c r="N174" s="516" t="e">
        <f>IF(L174="nio",0,IF(L174&gt;0,L174*J174/P174,0))*VLOOKUP(B174,'2-Kosten per locatie'!$A$14:$C$23,3,FALSE)</f>
        <v>#DIV/0!</v>
      </c>
      <c r="O174" s="262">
        <f>IF(M174&gt;0,M174*J174/Q174,0)*VLOOKUP(B174,'2-Kosten per locatie'!$A$14:$C$23,3,FALSE)</f>
        <v>0</v>
      </c>
      <c r="P174" s="356">
        <f>IF(L174="nio",0,IF(L174&gt;0,VLOOKUP(G174,'3-Productie normen'!A:L,VLOOKUP(L174,'3-Productie normen'!$B$32:$C$39,2,FALSE),FALSE)))</f>
        <v>0</v>
      </c>
      <c r="Q174" s="356">
        <f t="shared" si="13"/>
        <v>0</v>
      </c>
      <c r="R174" s="357" t="str">
        <f>VLOOKUP(G174,'3-Productie normen'!A:N,14,FALSE)</f>
        <v>B</v>
      </c>
      <c r="S174" s="357"/>
      <c r="U174" s="358">
        <f t="shared" si="14"/>
        <v>8593.5</v>
      </c>
    </row>
    <row r="175" spans="1:21" ht="14.1" customHeight="1">
      <c r="A175" s="75">
        <v>175</v>
      </c>
      <c r="B175" s="497" t="s">
        <v>272</v>
      </c>
      <c r="C175" s="320" t="s">
        <v>273</v>
      </c>
      <c r="D175" s="353" t="s">
        <v>267</v>
      </c>
      <c r="E175" s="354" t="s">
        <v>343</v>
      </c>
      <c r="F175" s="517" t="s">
        <v>300</v>
      </c>
      <c r="G175" s="517" t="s">
        <v>499</v>
      </c>
      <c r="H175" s="72" t="s">
        <v>268</v>
      </c>
      <c r="I175" s="497" t="s">
        <v>98</v>
      </c>
      <c r="J175" s="518">
        <v>23.9</v>
      </c>
      <c r="K175" s="355">
        <f t="shared" si="12"/>
        <v>255</v>
      </c>
      <c r="L175" s="519">
        <v>255</v>
      </c>
      <c r="M175" s="519"/>
      <c r="N175" s="516" t="e">
        <f>IF(L175="nio",0,IF(L175&gt;0,L175*J175/P175,0))*VLOOKUP(B175,'2-Kosten per locatie'!$A$14:$C$23,3,FALSE)</f>
        <v>#DIV/0!</v>
      </c>
      <c r="O175" s="262">
        <f>IF(M175&gt;0,M175*J175/Q175,0)*VLOOKUP(B175,'2-Kosten per locatie'!$A$14:$C$23,3,FALSE)</f>
        <v>0</v>
      </c>
      <c r="P175" s="356">
        <f>IF(L175="nio",0,IF(L175&gt;0,VLOOKUP(G175,'3-Productie normen'!A:L,VLOOKUP(L175,'3-Productie normen'!$B$32:$C$39,2,FALSE),FALSE)))</f>
        <v>0</v>
      </c>
      <c r="Q175" s="356">
        <f t="shared" si="13"/>
        <v>0</v>
      </c>
      <c r="R175" s="357" t="str">
        <f>VLOOKUP(G175,'3-Productie normen'!A:N,14,FALSE)</f>
        <v>B</v>
      </c>
      <c r="S175" s="357"/>
      <c r="U175" s="358">
        <f t="shared" si="14"/>
        <v>6094.5</v>
      </c>
    </row>
    <row r="176" spans="1:21" ht="14.1" customHeight="1">
      <c r="A176" s="75">
        <v>176</v>
      </c>
      <c r="B176" s="498" t="s">
        <v>272</v>
      </c>
      <c r="C176" s="320" t="s">
        <v>273</v>
      </c>
      <c r="D176" s="353" t="s">
        <v>267</v>
      </c>
      <c r="E176" s="354" t="s">
        <v>344</v>
      </c>
      <c r="F176" s="517" t="s">
        <v>300</v>
      </c>
      <c r="G176" s="517" t="s">
        <v>499</v>
      </c>
      <c r="H176" s="72" t="s">
        <v>268</v>
      </c>
      <c r="I176" s="497" t="s">
        <v>98</v>
      </c>
      <c r="J176" s="518">
        <v>16.3</v>
      </c>
      <c r="K176" s="355">
        <f t="shared" si="12"/>
        <v>255</v>
      </c>
      <c r="L176" s="519">
        <v>255</v>
      </c>
      <c r="M176" s="519"/>
      <c r="N176" s="516" t="e">
        <f>IF(L176="nio",0,IF(L176&gt;0,L176*J176/P176,0))*VLOOKUP(B176,'2-Kosten per locatie'!$A$14:$C$23,3,FALSE)</f>
        <v>#DIV/0!</v>
      </c>
      <c r="O176" s="262">
        <f>IF(M176&gt;0,M176*J176/Q176,0)*VLOOKUP(B176,'2-Kosten per locatie'!$A$14:$C$23,3,FALSE)</f>
        <v>0</v>
      </c>
      <c r="P176" s="356">
        <f>IF(L176="nio",0,IF(L176&gt;0,VLOOKUP(G176,'3-Productie normen'!A:L,VLOOKUP(L176,'3-Productie normen'!$B$32:$C$39,2,FALSE),FALSE)))</f>
        <v>0</v>
      </c>
      <c r="Q176" s="356">
        <f t="shared" si="13"/>
        <v>0</v>
      </c>
      <c r="R176" s="357" t="str">
        <f>VLOOKUP(G176,'3-Productie normen'!A:N,14,FALSE)</f>
        <v>B</v>
      </c>
      <c r="S176" s="357"/>
      <c r="U176" s="358">
        <f t="shared" si="14"/>
        <v>4156.5</v>
      </c>
    </row>
    <row r="177" spans="1:21" ht="14.1" customHeight="1">
      <c r="A177" s="75">
        <v>177</v>
      </c>
      <c r="B177" s="497" t="s">
        <v>272</v>
      </c>
      <c r="C177" s="320" t="s">
        <v>273</v>
      </c>
      <c r="D177" s="353" t="s">
        <v>267</v>
      </c>
      <c r="E177" s="354" t="s">
        <v>345</v>
      </c>
      <c r="F177" s="517" t="s">
        <v>300</v>
      </c>
      <c r="G177" s="517" t="s">
        <v>499</v>
      </c>
      <c r="H177" s="72" t="s">
        <v>268</v>
      </c>
      <c r="I177" s="497" t="s">
        <v>98</v>
      </c>
      <c r="J177" s="518">
        <v>42.6</v>
      </c>
      <c r="K177" s="355">
        <f t="shared" si="12"/>
        <v>255</v>
      </c>
      <c r="L177" s="519">
        <v>255</v>
      </c>
      <c r="M177" s="519"/>
      <c r="N177" s="516" t="e">
        <f>IF(L177="nio",0,IF(L177&gt;0,L177*J177/P177,0))*VLOOKUP(B177,'2-Kosten per locatie'!$A$14:$C$23,3,FALSE)</f>
        <v>#DIV/0!</v>
      </c>
      <c r="O177" s="262">
        <f>IF(M177&gt;0,M177*J177/Q177,0)*VLOOKUP(B177,'2-Kosten per locatie'!$A$14:$C$23,3,FALSE)</f>
        <v>0</v>
      </c>
      <c r="P177" s="356">
        <f>IF(L177="nio",0,IF(L177&gt;0,VLOOKUP(G177,'3-Productie normen'!A:L,VLOOKUP(L177,'3-Productie normen'!$B$32:$C$39,2,FALSE),FALSE)))</f>
        <v>0</v>
      </c>
      <c r="Q177" s="356">
        <f t="shared" si="13"/>
        <v>0</v>
      </c>
      <c r="R177" s="357" t="str">
        <f>VLOOKUP(G177,'3-Productie normen'!A:N,14,FALSE)</f>
        <v>B</v>
      </c>
      <c r="S177" s="357"/>
      <c r="U177" s="358">
        <f t="shared" si="14"/>
        <v>10863</v>
      </c>
    </row>
    <row r="178" spans="1:21" ht="14.1" customHeight="1">
      <c r="A178" s="75">
        <v>178</v>
      </c>
      <c r="B178" s="498" t="s">
        <v>272</v>
      </c>
      <c r="C178" s="320" t="s">
        <v>273</v>
      </c>
      <c r="D178" s="353" t="s">
        <v>267</v>
      </c>
      <c r="E178" s="354" t="s">
        <v>346</v>
      </c>
      <c r="F178" s="517" t="s">
        <v>262</v>
      </c>
      <c r="G178" s="517" t="s">
        <v>63</v>
      </c>
      <c r="H178" s="72" t="s">
        <v>268</v>
      </c>
      <c r="I178" s="497" t="s">
        <v>98</v>
      </c>
      <c r="J178" s="518">
        <v>16.3</v>
      </c>
      <c r="K178" s="355">
        <f t="shared" si="12"/>
        <v>255</v>
      </c>
      <c r="L178" s="519">
        <v>255</v>
      </c>
      <c r="M178" s="519"/>
      <c r="N178" s="516" t="e">
        <f>IF(L178="nio",0,IF(L178&gt;0,L178*J178/P178,0))*VLOOKUP(B178,'2-Kosten per locatie'!$A$14:$C$23,3,FALSE)</f>
        <v>#DIV/0!</v>
      </c>
      <c r="O178" s="262">
        <f>IF(M178&gt;0,M178*J178/Q178,0)*VLOOKUP(B178,'2-Kosten per locatie'!$A$14:$C$23,3,FALSE)</f>
        <v>0</v>
      </c>
      <c r="P178" s="356">
        <f>IF(L178="nio",0,IF(L178&gt;0,VLOOKUP(G178,'3-Productie normen'!A:L,VLOOKUP(L178,'3-Productie normen'!$B$32:$C$39,2,FALSE),FALSE)))</f>
        <v>0</v>
      </c>
      <c r="Q178" s="356">
        <f t="shared" si="13"/>
        <v>0</v>
      </c>
      <c r="R178" s="357" t="str">
        <f>VLOOKUP(G178,'3-Productie normen'!A:N,14,FALSE)</f>
        <v>B</v>
      </c>
      <c r="S178" s="357"/>
      <c r="U178" s="358">
        <f t="shared" si="14"/>
        <v>4156.5</v>
      </c>
    </row>
    <row r="179" spans="1:21" ht="14.1" customHeight="1">
      <c r="A179" s="75">
        <v>179</v>
      </c>
      <c r="B179" s="497" t="s">
        <v>272</v>
      </c>
      <c r="C179" s="320" t="s">
        <v>273</v>
      </c>
      <c r="D179" s="353" t="s">
        <v>267</v>
      </c>
      <c r="E179" s="354" t="s">
        <v>347</v>
      </c>
      <c r="F179" s="517" t="s">
        <v>300</v>
      </c>
      <c r="G179" s="517" t="s">
        <v>499</v>
      </c>
      <c r="H179" s="72" t="s">
        <v>268</v>
      </c>
      <c r="I179" s="497" t="s">
        <v>98</v>
      </c>
      <c r="J179" s="518">
        <v>57.9</v>
      </c>
      <c r="K179" s="355">
        <f t="shared" si="12"/>
        <v>255</v>
      </c>
      <c r="L179" s="519">
        <v>255</v>
      </c>
      <c r="M179" s="519"/>
      <c r="N179" s="516" t="e">
        <f>IF(L179="nio",0,IF(L179&gt;0,L179*J179/P179,0))*VLOOKUP(B179,'2-Kosten per locatie'!$A$14:$C$23,3,FALSE)</f>
        <v>#DIV/0!</v>
      </c>
      <c r="O179" s="262">
        <f>IF(M179&gt;0,M179*J179/Q179,0)*VLOOKUP(B179,'2-Kosten per locatie'!$A$14:$C$23,3,FALSE)</f>
        <v>0</v>
      </c>
      <c r="P179" s="356">
        <f>IF(L179="nio",0,IF(L179&gt;0,VLOOKUP(G179,'3-Productie normen'!A:L,VLOOKUP(L179,'3-Productie normen'!$B$32:$C$39,2,FALSE),FALSE)))</f>
        <v>0</v>
      </c>
      <c r="Q179" s="356">
        <f t="shared" si="13"/>
        <v>0</v>
      </c>
      <c r="R179" s="357" t="str">
        <f>VLOOKUP(G179,'3-Productie normen'!A:N,14,FALSE)</f>
        <v>B</v>
      </c>
      <c r="S179" s="357"/>
      <c r="U179" s="358">
        <f t="shared" si="14"/>
        <v>14764.5</v>
      </c>
    </row>
    <row r="180" spans="1:21" ht="14.1" customHeight="1">
      <c r="A180" s="75">
        <v>180</v>
      </c>
      <c r="B180" s="498" t="s">
        <v>272</v>
      </c>
      <c r="C180" s="320" t="s">
        <v>273</v>
      </c>
      <c r="D180" s="353" t="s">
        <v>267</v>
      </c>
      <c r="E180" s="354" t="s">
        <v>348</v>
      </c>
      <c r="F180" s="517" t="s">
        <v>300</v>
      </c>
      <c r="G180" s="517" t="s">
        <v>499</v>
      </c>
      <c r="H180" s="72" t="s">
        <v>268</v>
      </c>
      <c r="I180" s="497" t="s">
        <v>98</v>
      </c>
      <c r="J180" s="518">
        <v>40.6</v>
      </c>
      <c r="K180" s="355">
        <f t="shared" si="12"/>
        <v>255</v>
      </c>
      <c r="L180" s="519">
        <v>255</v>
      </c>
      <c r="M180" s="519"/>
      <c r="N180" s="516" t="e">
        <f>IF(L180="nio",0,IF(L180&gt;0,L180*J180/P180,0))*VLOOKUP(B180,'2-Kosten per locatie'!$A$14:$C$23,3,FALSE)</f>
        <v>#DIV/0!</v>
      </c>
      <c r="O180" s="262">
        <f>IF(M180&gt;0,M180*J180/Q180,0)*VLOOKUP(B180,'2-Kosten per locatie'!$A$14:$C$23,3,FALSE)</f>
        <v>0</v>
      </c>
      <c r="P180" s="356">
        <f>IF(L180="nio",0,IF(L180&gt;0,VLOOKUP(G180,'3-Productie normen'!A:L,VLOOKUP(L180,'3-Productie normen'!$B$32:$C$39,2,FALSE),FALSE)))</f>
        <v>0</v>
      </c>
      <c r="Q180" s="356">
        <f t="shared" si="13"/>
        <v>0</v>
      </c>
      <c r="R180" s="357" t="str">
        <f>VLOOKUP(G180,'3-Productie normen'!A:N,14,FALSE)</f>
        <v>B</v>
      </c>
      <c r="S180" s="357"/>
      <c r="U180" s="358">
        <f t="shared" si="14"/>
        <v>10353</v>
      </c>
    </row>
    <row r="181" spans="1:21" ht="14.1" customHeight="1">
      <c r="A181" s="75">
        <v>181</v>
      </c>
      <c r="B181" s="497" t="s">
        <v>272</v>
      </c>
      <c r="C181" s="320" t="s">
        <v>273</v>
      </c>
      <c r="D181" s="353" t="s">
        <v>267</v>
      </c>
      <c r="E181" s="354" t="s">
        <v>349</v>
      </c>
      <c r="F181" s="517" t="s">
        <v>300</v>
      </c>
      <c r="G181" s="517" t="s">
        <v>499</v>
      </c>
      <c r="H181" s="72" t="s">
        <v>268</v>
      </c>
      <c r="I181" s="497" t="s">
        <v>98</v>
      </c>
      <c r="J181" s="518">
        <v>24.8</v>
      </c>
      <c r="K181" s="355">
        <f t="shared" si="12"/>
        <v>255</v>
      </c>
      <c r="L181" s="519">
        <v>255</v>
      </c>
      <c r="M181" s="519"/>
      <c r="N181" s="516" t="e">
        <f>IF(L181="nio",0,IF(L181&gt;0,L181*J181/P181,0))*VLOOKUP(B181,'2-Kosten per locatie'!$A$14:$C$23,3,FALSE)</f>
        <v>#DIV/0!</v>
      </c>
      <c r="O181" s="262">
        <f>IF(M181&gt;0,M181*J181/Q181,0)*VLOOKUP(B181,'2-Kosten per locatie'!$A$14:$C$23,3,FALSE)</f>
        <v>0</v>
      </c>
      <c r="P181" s="356">
        <f>IF(L181="nio",0,IF(L181&gt;0,VLOOKUP(G181,'3-Productie normen'!A:L,VLOOKUP(L181,'3-Productie normen'!$B$32:$C$39,2,FALSE),FALSE)))</f>
        <v>0</v>
      </c>
      <c r="Q181" s="356">
        <f t="shared" si="13"/>
        <v>0</v>
      </c>
      <c r="R181" s="357" t="str">
        <f>VLOOKUP(G181,'3-Productie normen'!A:N,14,FALSE)</f>
        <v>B</v>
      </c>
      <c r="S181" s="357"/>
      <c r="U181" s="358">
        <f t="shared" si="14"/>
        <v>6324</v>
      </c>
    </row>
    <row r="182" spans="1:21" ht="14.1" customHeight="1">
      <c r="A182" s="75">
        <v>182</v>
      </c>
      <c r="B182" s="498" t="s">
        <v>272</v>
      </c>
      <c r="C182" s="320" t="s">
        <v>273</v>
      </c>
      <c r="D182" s="353" t="s">
        <v>267</v>
      </c>
      <c r="E182" s="354" t="s">
        <v>350</v>
      </c>
      <c r="F182" s="517" t="s">
        <v>300</v>
      </c>
      <c r="G182" s="517" t="s">
        <v>499</v>
      </c>
      <c r="H182" s="72" t="s">
        <v>268</v>
      </c>
      <c r="I182" s="497" t="s">
        <v>98</v>
      </c>
      <c r="J182" s="518">
        <v>37.700000000000003</v>
      </c>
      <c r="K182" s="355">
        <f t="shared" si="12"/>
        <v>255</v>
      </c>
      <c r="L182" s="519">
        <v>255</v>
      </c>
      <c r="M182" s="519"/>
      <c r="N182" s="516" t="e">
        <f>IF(L182="nio",0,IF(L182&gt;0,L182*J182/P182,0))*VLOOKUP(B182,'2-Kosten per locatie'!$A$14:$C$23,3,FALSE)</f>
        <v>#DIV/0!</v>
      </c>
      <c r="O182" s="262">
        <f>IF(M182&gt;0,M182*J182/Q182,0)*VLOOKUP(B182,'2-Kosten per locatie'!$A$14:$C$23,3,FALSE)</f>
        <v>0</v>
      </c>
      <c r="P182" s="356">
        <f>IF(L182="nio",0,IF(L182&gt;0,VLOOKUP(G182,'3-Productie normen'!A:L,VLOOKUP(L182,'3-Productie normen'!$B$32:$C$39,2,FALSE),FALSE)))</f>
        <v>0</v>
      </c>
      <c r="Q182" s="356">
        <f t="shared" si="13"/>
        <v>0</v>
      </c>
      <c r="R182" s="357" t="str">
        <f>VLOOKUP(G182,'3-Productie normen'!A:N,14,FALSE)</f>
        <v>B</v>
      </c>
      <c r="S182" s="357"/>
      <c r="U182" s="358">
        <f t="shared" si="14"/>
        <v>9613.5</v>
      </c>
    </row>
    <row r="183" spans="1:21" ht="14.1" customHeight="1">
      <c r="A183" s="75">
        <v>183</v>
      </c>
      <c r="B183" s="497" t="s">
        <v>272</v>
      </c>
      <c r="C183" s="320" t="s">
        <v>273</v>
      </c>
      <c r="D183" s="353" t="s">
        <v>267</v>
      </c>
      <c r="E183" s="354" t="s">
        <v>351</v>
      </c>
      <c r="F183" s="517" t="s">
        <v>300</v>
      </c>
      <c r="G183" s="517" t="s">
        <v>499</v>
      </c>
      <c r="H183" s="72" t="s">
        <v>268</v>
      </c>
      <c r="I183" s="497" t="s">
        <v>98</v>
      </c>
      <c r="J183" s="518">
        <v>28.7</v>
      </c>
      <c r="K183" s="355">
        <f t="shared" si="12"/>
        <v>255</v>
      </c>
      <c r="L183" s="519">
        <v>255</v>
      </c>
      <c r="M183" s="519"/>
      <c r="N183" s="516" t="e">
        <f>IF(L183="nio",0,IF(L183&gt;0,L183*J183/P183,0))*VLOOKUP(B183,'2-Kosten per locatie'!$A$14:$C$23,3,FALSE)</f>
        <v>#DIV/0!</v>
      </c>
      <c r="O183" s="262">
        <f>IF(M183&gt;0,M183*J183/Q183,0)*VLOOKUP(B183,'2-Kosten per locatie'!$A$14:$C$23,3,FALSE)</f>
        <v>0</v>
      </c>
      <c r="P183" s="356">
        <f>IF(L183="nio",0,IF(L183&gt;0,VLOOKUP(G183,'3-Productie normen'!A:L,VLOOKUP(L183,'3-Productie normen'!$B$32:$C$39,2,FALSE),FALSE)))</f>
        <v>0</v>
      </c>
      <c r="Q183" s="356">
        <f t="shared" si="13"/>
        <v>0</v>
      </c>
      <c r="R183" s="357" t="str">
        <f>VLOOKUP(G183,'3-Productie normen'!A:N,14,FALSE)</f>
        <v>B</v>
      </c>
      <c r="S183" s="357"/>
      <c r="U183" s="358">
        <f t="shared" si="14"/>
        <v>7318.5</v>
      </c>
    </row>
    <row r="184" spans="1:21" ht="14.1" customHeight="1">
      <c r="A184" s="75">
        <v>184</v>
      </c>
      <c r="B184" s="498" t="s">
        <v>272</v>
      </c>
      <c r="C184" s="320" t="s">
        <v>273</v>
      </c>
      <c r="D184" s="353" t="s">
        <v>267</v>
      </c>
      <c r="E184" s="354" t="s">
        <v>352</v>
      </c>
      <c r="F184" s="517" t="s">
        <v>300</v>
      </c>
      <c r="G184" s="517" t="s">
        <v>499</v>
      </c>
      <c r="H184" s="72" t="s">
        <v>268</v>
      </c>
      <c r="I184" s="497" t="s">
        <v>98</v>
      </c>
      <c r="J184" s="518">
        <v>17.600000000000001</v>
      </c>
      <c r="K184" s="355">
        <f t="shared" si="12"/>
        <v>255</v>
      </c>
      <c r="L184" s="519">
        <v>255</v>
      </c>
      <c r="M184" s="519"/>
      <c r="N184" s="516" t="e">
        <f>IF(L184="nio",0,IF(L184&gt;0,L184*J184/P184,0))*VLOOKUP(B184,'2-Kosten per locatie'!$A$14:$C$23,3,FALSE)</f>
        <v>#DIV/0!</v>
      </c>
      <c r="O184" s="262">
        <f>IF(M184&gt;0,M184*J184/Q184,0)*VLOOKUP(B184,'2-Kosten per locatie'!$A$14:$C$23,3,FALSE)</f>
        <v>0</v>
      </c>
      <c r="P184" s="356">
        <f>IF(L184="nio",0,IF(L184&gt;0,VLOOKUP(G184,'3-Productie normen'!A:L,VLOOKUP(L184,'3-Productie normen'!$B$32:$C$39,2,FALSE),FALSE)))</f>
        <v>0</v>
      </c>
      <c r="Q184" s="356">
        <f t="shared" si="13"/>
        <v>0</v>
      </c>
      <c r="R184" s="357" t="str">
        <f>VLOOKUP(G184,'3-Productie normen'!A:N,14,FALSE)</f>
        <v>B</v>
      </c>
      <c r="S184" s="357"/>
      <c r="U184" s="358">
        <f t="shared" si="14"/>
        <v>4488</v>
      </c>
    </row>
    <row r="185" spans="1:21" ht="14.1" customHeight="1">
      <c r="A185" s="75">
        <v>185</v>
      </c>
      <c r="B185" s="497" t="s">
        <v>272</v>
      </c>
      <c r="C185" s="320" t="s">
        <v>273</v>
      </c>
      <c r="D185" s="353" t="s">
        <v>267</v>
      </c>
      <c r="E185" s="354" t="s">
        <v>353</v>
      </c>
      <c r="F185" s="517" t="s">
        <v>300</v>
      </c>
      <c r="G185" s="517" t="s">
        <v>499</v>
      </c>
      <c r="H185" s="72" t="s">
        <v>268</v>
      </c>
      <c r="I185" s="497" t="s">
        <v>98</v>
      </c>
      <c r="J185" s="518">
        <v>28.1</v>
      </c>
      <c r="K185" s="355">
        <f t="shared" ref="K185:K247" si="15">SUM(L185:M185)</f>
        <v>255</v>
      </c>
      <c r="L185" s="519">
        <v>255</v>
      </c>
      <c r="M185" s="519"/>
      <c r="N185" s="516" t="e">
        <f>IF(L185="nio",0,IF(L185&gt;0,L185*J185/P185,0))*VLOOKUP(B185,'2-Kosten per locatie'!$A$14:$C$23,3,FALSE)</f>
        <v>#DIV/0!</v>
      </c>
      <c r="O185" s="262">
        <f>IF(M185&gt;0,M185*J185/Q185,0)*VLOOKUP(B185,'2-Kosten per locatie'!$A$14:$C$23,3,FALSE)</f>
        <v>0</v>
      </c>
      <c r="P185" s="356">
        <f>IF(L185="nio",0,IF(L185&gt;0,VLOOKUP(G185,'3-Productie normen'!A:L,VLOOKUP(L185,'3-Productie normen'!$B$32:$C$39,2,FALSE),FALSE)))</f>
        <v>0</v>
      </c>
      <c r="Q185" s="356">
        <f t="shared" si="13"/>
        <v>0</v>
      </c>
      <c r="R185" s="357" t="str">
        <f>VLOOKUP(G185,'3-Productie normen'!A:N,14,FALSE)</f>
        <v>B</v>
      </c>
      <c r="S185" s="357"/>
      <c r="U185" s="358">
        <f t="shared" si="14"/>
        <v>7165.5</v>
      </c>
    </row>
    <row r="186" spans="1:21" ht="14.1" customHeight="1">
      <c r="A186" s="75">
        <v>186</v>
      </c>
      <c r="B186" s="498" t="s">
        <v>272</v>
      </c>
      <c r="C186" s="320" t="s">
        <v>273</v>
      </c>
      <c r="D186" s="353" t="s">
        <v>267</v>
      </c>
      <c r="E186" s="354" t="s">
        <v>354</v>
      </c>
      <c r="F186" s="517" t="s">
        <v>300</v>
      </c>
      <c r="G186" s="517" t="s">
        <v>499</v>
      </c>
      <c r="H186" s="72" t="s">
        <v>268</v>
      </c>
      <c r="I186" s="497" t="s">
        <v>98</v>
      </c>
      <c r="J186" s="518">
        <v>27.1</v>
      </c>
      <c r="K186" s="355">
        <f t="shared" si="15"/>
        <v>255</v>
      </c>
      <c r="L186" s="519">
        <v>255</v>
      </c>
      <c r="M186" s="519"/>
      <c r="N186" s="516" t="e">
        <f>IF(L186="nio",0,IF(L186&gt;0,L186*J186/P186,0))*VLOOKUP(B186,'2-Kosten per locatie'!$A$14:$C$23,3,FALSE)</f>
        <v>#DIV/0!</v>
      </c>
      <c r="O186" s="262">
        <f>IF(M186&gt;0,M186*J186/Q186,0)*VLOOKUP(B186,'2-Kosten per locatie'!$A$14:$C$23,3,FALSE)</f>
        <v>0</v>
      </c>
      <c r="P186" s="356">
        <f>IF(L186="nio",0,IF(L186&gt;0,VLOOKUP(G186,'3-Productie normen'!A:L,VLOOKUP(L186,'3-Productie normen'!$B$32:$C$39,2,FALSE),FALSE)))</f>
        <v>0</v>
      </c>
      <c r="Q186" s="356">
        <f t="shared" si="13"/>
        <v>0</v>
      </c>
      <c r="R186" s="357" t="str">
        <f>VLOOKUP(G186,'3-Productie normen'!A:N,14,FALSE)</f>
        <v>B</v>
      </c>
      <c r="S186" s="357"/>
      <c r="U186" s="358">
        <f t="shared" si="14"/>
        <v>6910.5</v>
      </c>
    </row>
    <row r="187" spans="1:21" ht="14.1" customHeight="1">
      <c r="A187" s="75">
        <v>187</v>
      </c>
      <c r="B187" s="497" t="s">
        <v>272</v>
      </c>
      <c r="C187" s="320" t="s">
        <v>273</v>
      </c>
      <c r="D187" s="353" t="s">
        <v>267</v>
      </c>
      <c r="E187" s="354" t="s">
        <v>355</v>
      </c>
      <c r="F187" s="517" t="s">
        <v>300</v>
      </c>
      <c r="G187" s="517" t="s">
        <v>499</v>
      </c>
      <c r="H187" s="72" t="s">
        <v>268</v>
      </c>
      <c r="I187" s="497" t="s">
        <v>98</v>
      </c>
      <c r="J187" s="518">
        <v>25.4</v>
      </c>
      <c r="K187" s="355">
        <f t="shared" si="15"/>
        <v>255</v>
      </c>
      <c r="L187" s="519">
        <v>255</v>
      </c>
      <c r="M187" s="519"/>
      <c r="N187" s="516" t="e">
        <f>IF(L187="nio",0,IF(L187&gt;0,L187*J187/P187,0))*VLOOKUP(B187,'2-Kosten per locatie'!$A$14:$C$23,3,FALSE)</f>
        <v>#DIV/0!</v>
      </c>
      <c r="O187" s="262">
        <f>IF(M187&gt;0,M187*J187/Q187,0)*VLOOKUP(B187,'2-Kosten per locatie'!$A$14:$C$23,3,FALSE)</f>
        <v>0</v>
      </c>
      <c r="P187" s="356">
        <f>IF(L187="nio",0,IF(L187&gt;0,VLOOKUP(G187,'3-Productie normen'!A:L,VLOOKUP(L187,'3-Productie normen'!$B$32:$C$39,2,FALSE),FALSE)))</f>
        <v>0</v>
      </c>
      <c r="Q187" s="356">
        <f t="shared" si="13"/>
        <v>0</v>
      </c>
      <c r="R187" s="357" t="str">
        <f>VLOOKUP(G187,'3-Productie normen'!A:N,14,FALSE)</f>
        <v>B</v>
      </c>
      <c r="S187" s="357"/>
      <c r="U187" s="358">
        <f t="shared" si="14"/>
        <v>6477</v>
      </c>
    </row>
    <row r="188" spans="1:21" ht="14.1" customHeight="1">
      <c r="A188" s="75">
        <v>188</v>
      </c>
      <c r="B188" s="498" t="s">
        <v>272</v>
      </c>
      <c r="C188" s="320" t="s">
        <v>273</v>
      </c>
      <c r="D188" s="353" t="s">
        <v>267</v>
      </c>
      <c r="E188" s="354" t="s">
        <v>356</v>
      </c>
      <c r="F188" s="517" t="s">
        <v>300</v>
      </c>
      <c r="G188" s="517" t="s">
        <v>499</v>
      </c>
      <c r="H188" s="72" t="s">
        <v>268</v>
      </c>
      <c r="I188" s="497" t="s">
        <v>98</v>
      </c>
      <c r="J188" s="518">
        <v>24.1</v>
      </c>
      <c r="K188" s="355">
        <f t="shared" si="15"/>
        <v>255</v>
      </c>
      <c r="L188" s="519">
        <v>255</v>
      </c>
      <c r="M188" s="519"/>
      <c r="N188" s="516" t="e">
        <f>IF(L188="nio",0,IF(L188&gt;0,L188*J188/P188,0))*VLOOKUP(B188,'2-Kosten per locatie'!$A$14:$C$23,3,FALSE)</f>
        <v>#DIV/0!</v>
      </c>
      <c r="O188" s="262">
        <f>IF(M188&gt;0,M188*J188/Q188,0)*VLOOKUP(B188,'2-Kosten per locatie'!$A$14:$C$23,3,FALSE)</f>
        <v>0</v>
      </c>
      <c r="P188" s="356">
        <f>IF(L188="nio",0,IF(L188&gt;0,VLOOKUP(G188,'3-Productie normen'!A:L,VLOOKUP(L188,'3-Productie normen'!$B$32:$C$39,2,FALSE),FALSE)))</f>
        <v>0</v>
      </c>
      <c r="Q188" s="356">
        <f t="shared" si="13"/>
        <v>0</v>
      </c>
      <c r="R188" s="357" t="str">
        <f>VLOOKUP(G188,'3-Productie normen'!A:N,14,FALSE)</f>
        <v>B</v>
      </c>
      <c r="S188" s="357"/>
      <c r="U188" s="358">
        <f t="shared" si="14"/>
        <v>6145.5</v>
      </c>
    </row>
    <row r="189" spans="1:21" ht="14.1" customHeight="1">
      <c r="A189" s="75">
        <v>189</v>
      </c>
      <c r="B189" s="497" t="s">
        <v>272</v>
      </c>
      <c r="C189" s="320" t="s">
        <v>273</v>
      </c>
      <c r="D189" s="353" t="s">
        <v>267</v>
      </c>
      <c r="E189" s="354" t="s">
        <v>357</v>
      </c>
      <c r="F189" s="517" t="s">
        <v>300</v>
      </c>
      <c r="G189" s="517" t="s">
        <v>499</v>
      </c>
      <c r="H189" s="72" t="s">
        <v>268</v>
      </c>
      <c r="I189" s="497" t="s">
        <v>98</v>
      </c>
      <c r="J189" s="518">
        <v>28</v>
      </c>
      <c r="K189" s="355">
        <f t="shared" si="15"/>
        <v>255</v>
      </c>
      <c r="L189" s="519">
        <v>255</v>
      </c>
      <c r="M189" s="519"/>
      <c r="N189" s="516" t="e">
        <f>IF(L189="nio",0,IF(L189&gt;0,L189*J189/P189,0))*VLOOKUP(B189,'2-Kosten per locatie'!$A$14:$C$23,3,FALSE)</f>
        <v>#DIV/0!</v>
      </c>
      <c r="O189" s="262">
        <f>IF(M189&gt;0,M189*J189/Q189,0)*VLOOKUP(B189,'2-Kosten per locatie'!$A$14:$C$23,3,FALSE)</f>
        <v>0</v>
      </c>
      <c r="P189" s="356">
        <f>IF(L189="nio",0,IF(L189&gt;0,VLOOKUP(G189,'3-Productie normen'!A:L,VLOOKUP(L189,'3-Productie normen'!$B$32:$C$39,2,FALSE),FALSE)))</f>
        <v>0</v>
      </c>
      <c r="Q189" s="356">
        <f t="shared" si="13"/>
        <v>0</v>
      </c>
      <c r="R189" s="357" t="str">
        <f>VLOOKUP(G189,'3-Productie normen'!A:N,14,FALSE)</f>
        <v>B</v>
      </c>
      <c r="S189" s="357"/>
      <c r="U189" s="358">
        <f t="shared" si="14"/>
        <v>7140</v>
      </c>
    </row>
    <row r="190" spans="1:21" ht="14.1" customHeight="1">
      <c r="A190" s="75">
        <v>190</v>
      </c>
      <c r="B190" s="498" t="s">
        <v>272</v>
      </c>
      <c r="C190" s="320" t="s">
        <v>273</v>
      </c>
      <c r="D190" s="353" t="s">
        <v>267</v>
      </c>
      <c r="E190" s="354" t="s">
        <v>358</v>
      </c>
      <c r="F190" s="517" t="s">
        <v>300</v>
      </c>
      <c r="G190" s="517" t="s">
        <v>499</v>
      </c>
      <c r="H190" s="72" t="s">
        <v>268</v>
      </c>
      <c r="I190" s="497" t="s">
        <v>98</v>
      </c>
      <c r="J190" s="518">
        <v>26</v>
      </c>
      <c r="K190" s="355">
        <f t="shared" si="15"/>
        <v>255</v>
      </c>
      <c r="L190" s="519">
        <v>255</v>
      </c>
      <c r="M190" s="519"/>
      <c r="N190" s="516" t="e">
        <f>IF(L190="nio",0,IF(L190&gt;0,L190*J190/P190,0))*VLOOKUP(B190,'2-Kosten per locatie'!$A$14:$C$23,3,FALSE)</f>
        <v>#DIV/0!</v>
      </c>
      <c r="O190" s="262">
        <f>IF(M190&gt;0,M190*J190/Q190,0)*VLOOKUP(B190,'2-Kosten per locatie'!$A$14:$C$23,3,FALSE)</f>
        <v>0</v>
      </c>
      <c r="P190" s="356">
        <f>IF(L190="nio",0,IF(L190&gt;0,VLOOKUP(G190,'3-Productie normen'!A:L,VLOOKUP(L190,'3-Productie normen'!$B$32:$C$39,2,FALSE),FALSE)))</f>
        <v>0</v>
      </c>
      <c r="Q190" s="356">
        <f t="shared" si="13"/>
        <v>0</v>
      </c>
      <c r="R190" s="357" t="str">
        <f>VLOOKUP(G190,'3-Productie normen'!A:N,14,FALSE)</f>
        <v>B</v>
      </c>
      <c r="S190" s="357"/>
      <c r="U190" s="358">
        <f t="shared" si="14"/>
        <v>6630</v>
      </c>
    </row>
    <row r="191" spans="1:21" ht="14.1" customHeight="1">
      <c r="A191" s="75">
        <v>191</v>
      </c>
      <c r="B191" s="497" t="s">
        <v>272</v>
      </c>
      <c r="C191" s="320" t="s">
        <v>273</v>
      </c>
      <c r="D191" s="353" t="s">
        <v>267</v>
      </c>
      <c r="E191" s="354" t="s">
        <v>359</v>
      </c>
      <c r="F191" s="517" t="s">
        <v>300</v>
      </c>
      <c r="G191" s="517" t="s">
        <v>499</v>
      </c>
      <c r="H191" s="72" t="s">
        <v>268</v>
      </c>
      <c r="I191" s="497" t="s">
        <v>98</v>
      </c>
      <c r="J191" s="518">
        <v>27.7</v>
      </c>
      <c r="K191" s="355">
        <f t="shared" si="15"/>
        <v>255</v>
      </c>
      <c r="L191" s="519">
        <v>255</v>
      </c>
      <c r="M191" s="519"/>
      <c r="N191" s="516" t="e">
        <f>IF(L191="nio",0,IF(L191&gt;0,L191*J191/P191,0))*VLOOKUP(B191,'2-Kosten per locatie'!$A$14:$C$23,3,FALSE)</f>
        <v>#DIV/0!</v>
      </c>
      <c r="O191" s="262">
        <f>IF(M191&gt;0,M191*J191/Q191,0)*VLOOKUP(B191,'2-Kosten per locatie'!$A$14:$C$23,3,FALSE)</f>
        <v>0</v>
      </c>
      <c r="P191" s="356">
        <f>IF(L191="nio",0,IF(L191&gt;0,VLOOKUP(G191,'3-Productie normen'!A:L,VLOOKUP(L191,'3-Productie normen'!$B$32:$C$39,2,FALSE),FALSE)))</f>
        <v>0</v>
      </c>
      <c r="Q191" s="356">
        <f t="shared" si="13"/>
        <v>0</v>
      </c>
      <c r="R191" s="357" t="str">
        <f>VLOOKUP(G191,'3-Productie normen'!A:N,14,FALSE)</f>
        <v>B</v>
      </c>
      <c r="S191" s="357"/>
      <c r="U191" s="358">
        <f t="shared" si="14"/>
        <v>7063.5</v>
      </c>
    </row>
    <row r="192" spans="1:21" ht="14.1" customHeight="1">
      <c r="A192" s="75">
        <v>192</v>
      </c>
      <c r="B192" s="498" t="s">
        <v>272</v>
      </c>
      <c r="C192" s="320" t="s">
        <v>273</v>
      </c>
      <c r="D192" s="353" t="s">
        <v>267</v>
      </c>
      <c r="E192" s="354" t="s">
        <v>360</v>
      </c>
      <c r="F192" s="517" t="s">
        <v>300</v>
      </c>
      <c r="G192" s="517" t="s">
        <v>499</v>
      </c>
      <c r="H192" s="72" t="s">
        <v>268</v>
      </c>
      <c r="I192" s="497" t="s">
        <v>98</v>
      </c>
      <c r="J192" s="518">
        <v>26.5</v>
      </c>
      <c r="K192" s="355">
        <f t="shared" si="15"/>
        <v>255</v>
      </c>
      <c r="L192" s="519">
        <v>255</v>
      </c>
      <c r="M192" s="519"/>
      <c r="N192" s="516" t="e">
        <f>IF(L192="nio",0,IF(L192&gt;0,L192*J192/P192,0))*VLOOKUP(B192,'2-Kosten per locatie'!$A$14:$C$23,3,FALSE)</f>
        <v>#DIV/0!</v>
      </c>
      <c r="O192" s="262">
        <f>IF(M192&gt;0,M192*J192/Q192,0)*VLOOKUP(B192,'2-Kosten per locatie'!$A$14:$C$23,3,FALSE)</f>
        <v>0</v>
      </c>
      <c r="P192" s="356">
        <f>IF(L192="nio",0,IF(L192&gt;0,VLOOKUP(G192,'3-Productie normen'!A:L,VLOOKUP(L192,'3-Productie normen'!$B$32:$C$39,2,FALSE),FALSE)))</f>
        <v>0</v>
      </c>
      <c r="Q192" s="356">
        <f t="shared" si="13"/>
        <v>0</v>
      </c>
      <c r="R192" s="357" t="str">
        <f>VLOOKUP(G192,'3-Productie normen'!A:N,14,FALSE)</f>
        <v>B</v>
      </c>
      <c r="S192" s="357"/>
      <c r="U192" s="358">
        <f t="shared" si="14"/>
        <v>6757.5</v>
      </c>
    </row>
    <row r="193" spans="1:21" ht="14.1" customHeight="1">
      <c r="A193" s="75">
        <v>193</v>
      </c>
      <c r="B193" s="497" t="s">
        <v>272</v>
      </c>
      <c r="C193" s="320" t="s">
        <v>273</v>
      </c>
      <c r="D193" s="353" t="s">
        <v>267</v>
      </c>
      <c r="E193" s="354" t="s">
        <v>361</v>
      </c>
      <c r="F193" s="517" t="s">
        <v>300</v>
      </c>
      <c r="G193" s="517" t="s">
        <v>499</v>
      </c>
      <c r="H193" s="72" t="s">
        <v>268</v>
      </c>
      <c r="I193" s="497" t="s">
        <v>98</v>
      </c>
      <c r="J193" s="518">
        <v>54.7</v>
      </c>
      <c r="K193" s="355">
        <f t="shared" si="15"/>
        <v>255</v>
      </c>
      <c r="L193" s="519">
        <v>255</v>
      </c>
      <c r="M193" s="519"/>
      <c r="N193" s="516" t="e">
        <f>IF(L193="nio",0,IF(L193&gt;0,L193*J193/P193,0))*VLOOKUP(B193,'2-Kosten per locatie'!$A$14:$C$23,3,FALSE)</f>
        <v>#DIV/0!</v>
      </c>
      <c r="O193" s="262">
        <f>IF(M193&gt;0,M193*J193/Q193,0)*VLOOKUP(B193,'2-Kosten per locatie'!$A$14:$C$23,3,FALSE)</f>
        <v>0</v>
      </c>
      <c r="P193" s="356">
        <f>IF(L193="nio",0,IF(L193&gt;0,VLOOKUP(G193,'3-Productie normen'!A:L,VLOOKUP(L193,'3-Productie normen'!$B$32:$C$39,2,FALSE),FALSE)))</f>
        <v>0</v>
      </c>
      <c r="Q193" s="356">
        <f t="shared" si="13"/>
        <v>0</v>
      </c>
      <c r="R193" s="357" t="str">
        <f>VLOOKUP(G193,'3-Productie normen'!A:N,14,FALSE)</f>
        <v>B</v>
      </c>
      <c r="S193" s="357"/>
      <c r="U193" s="358">
        <f t="shared" si="14"/>
        <v>13948.5</v>
      </c>
    </row>
    <row r="194" spans="1:21" ht="14.1" customHeight="1">
      <c r="A194" s="75">
        <v>194</v>
      </c>
      <c r="B194" s="498" t="s">
        <v>272</v>
      </c>
      <c r="C194" s="320" t="s">
        <v>273</v>
      </c>
      <c r="D194" s="353" t="s">
        <v>267</v>
      </c>
      <c r="E194" s="354" t="s">
        <v>362</v>
      </c>
      <c r="F194" s="517" t="s">
        <v>300</v>
      </c>
      <c r="G194" s="517" t="s">
        <v>499</v>
      </c>
      <c r="H194" s="72" t="s">
        <v>268</v>
      </c>
      <c r="I194" s="497" t="s">
        <v>98</v>
      </c>
      <c r="J194" s="518">
        <v>40.9</v>
      </c>
      <c r="K194" s="355">
        <f t="shared" si="15"/>
        <v>255</v>
      </c>
      <c r="L194" s="519">
        <v>255</v>
      </c>
      <c r="M194" s="519"/>
      <c r="N194" s="516" t="e">
        <f>IF(L194="nio",0,IF(L194&gt;0,L194*J194/P194,0))*VLOOKUP(B194,'2-Kosten per locatie'!$A$14:$C$23,3,FALSE)</f>
        <v>#DIV/0!</v>
      </c>
      <c r="O194" s="262">
        <f>IF(M194&gt;0,M194*J194/Q194,0)*VLOOKUP(B194,'2-Kosten per locatie'!$A$14:$C$23,3,FALSE)</f>
        <v>0</v>
      </c>
      <c r="P194" s="356">
        <f>IF(L194="nio",0,IF(L194&gt;0,VLOOKUP(G194,'3-Productie normen'!A:L,VLOOKUP(L194,'3-Productie normen'!$B$32:$C$39,2,FALSE),FALSE)))</f>
        <v>0</v>
      </c>
      <c r="Q194" s="356">
        <f t="shared" si="13"/>
        <v>0</v>
      </c>
      <c r="R194" s="357" t="str">
        <f>VLOOKUP(G194,'3-Productie normen'!A:N,14,FALSE)</f>
        <v>B</v>
      </c>
      <c r="S194" s="357"/>
      <c r="U194" s="358">
        <f t="shared" si="14"/>
        <v>10429.5</v>
      </c>
    </row>
    <row r="195" spans="1:21" ht="14.1" customHeight="1">
      <c r="A195" s="75">
        <v>195</v>
      </c>
      <c r="B195" s="497" t="s">
        <v>272</v>
      </c>
      <c r="C195" s="320" t="s">
        <v>273</v>
      </c>
      <c r="D195" s="353" t="s">
        <v>267</v>
      </c>
      <c r="E195" s="354" t="s">
        <v>363</v>
      </c>
      <c r="F195" s="517" t="s">
        <v>261</v>
      </c>
      <c r="G195" s="517" t="s">
        <v>60</v>
      </c>
      <c r="H195" s="72" t="s">
        <v>268</v>
      </c>
      <c r="I195" s="497" t="s">
        <v>98</v>
      </c>
      <c r="J195" s="518">
        <v>21.7</v>
      </c>
      <c r="K195" s="355">
        <f t="shared" si="15"/>
        <v>255</v>
      </c>
      <c r="L195" s="519">
        <v>255</v>
      </c>
      <c r="M195" s="519"/>
      <c r="N195" s="516" t="e">
        <f>IF(L195="nio",0,IF(L195&gt;0,L195*J195/P195,0))*VLOOKUP(B195,'2-Kosten per locatie'!$A$14:$C$23,3,FALSE)</f>
        <v>#DIV/0!</v>
      </c>
      <c r="O195" s="262">
        <f>IF(M195&gt;0,M195*J195/Q195,0)*VLOOKUP(B195,'2-Kosten per locatie'!$A$14:$C$23,3,FALSE)</f>
        <v>0</v>
      </c>
      <c r="P195" s="356">
        <f>IF(L195="nio",0,IF(L195&gt;0,VLOOKUP(G195,'3-Productie normen'!A:L,VLOOKUP(L195,'3-Productie normen'!$B$32:$C$39,2,FALSE),FALSE)))</f>
        <v>0</v>
      </c>
      <c r="Q195" s="356">
        <f t="shared" si="13"/>
        <v>0</v>
      </c>
      <c r="R195" s="357" t="str">
        <f>VLOOKUP(G195,'3-Productie normen'!A:N,14,FALSE)</f>
        <v>V</v>
      </c>
      <c r="S195" s="357"/>
      <c r="U195" s="358">
        <f t="shared" si="14"/>
        <v>5533.5</v>
      </c>
    </row>
    <row r="196" spans="1:21" ht="14.1" customHeight="1">
      <c r="A196" s="75">
        <v>196</v>
      </c>
      <c r="B196" s="498" t="s">
        <v>272</v>
      </c>
      <c r="C196" s="320" t="s">
        <v>273</v>
      </c>
      <c r="D196" s="353" t="s">
        <v>267</v>
      </c>
      <c r="E196" s="354"/>
      <c r="F196" s="517" t="s">
        <v>257</v>
      </c>
      <c r="G196" s="517" t="s">
        <v>60</v>
      </c>
      <c r="H196" s="72" t="s">
        <v>269</v>
      </c>
      <c r="I196" s="497" t="s">
        <v>99</v>
      </c>
      <c r="J196" s="518">
        <v>72.2</v>
      </c>
      <c r="K196" s="355">
        <f t="shared" si="15"/>
        <v>255</v>
      </c>
      <c r="L196" s="519">
        <v>255</v>
      </c>
      <c r="M196" s="519"/>
      <c r="N196" s="516" t="e">
        <f>IF(L196="nio",0,IF(L196&gt;0,L196*J196/P196,0))*VLOOKUP(B196,'2-Kosten per locatie'!$A$14:$C$23,3,FALSE)</f>
        <v>#DIV/0!</v>
      </c>
      <c r="O196" s="262">
        <f>IF(M196&gt;0,M196*J196/Q196,0)*VLOOKUP(B196,'2-Kosten per locatie'!$A$14:$C$23,3,FALSE)</f>
        <v>0</v>
      </c>
      <c r="P196" s="356">
        <f>IF(L196="nio",0,IF(L196&gt;0,VLOOKUP(G196,'3-Productie normen'!A:L,VLOOKUP(L196,'3-Productie normen'!$B$32:$C$39,2,FALSE),FALSE)))</f>
        <v>0</v>
      </c>
      <c r="Q196" s="356">
        <f t="shared" si="13"/>
        <v>0</v>
      </c>
      <c r="R196" s="357" t="str">
        <f>VLOOKUP(G196,'3-Productie normen'!A:N,14,FALSE)</f>
        <v>V</v>
      </c>
      <c r="S196" s="357"/>
      <c r="U196" s="358">
        <f t="shared" si="14"/>
        <v>18411</v>
      </c>
    </row>
    <row r="197" spans="1:21" ht="14.1" customHeight="1">
      <c r="A197" s="75">
        <v>197</v>
      </c>
      <c r="B197" s="497" t="s">
        <v>272</v>
      </c>
      <c r="C197" s="320" t="s">
        <v>273</v>
      </c>
      <c r="D197" s="353" t="s">
        <v>267</v>
      </c>
      <c r="E197" s="354"/>
      <c r="F197" s="517" t="s">
        <v>65</v>
      </c>
      <c r="G197" s="517" t="s">
        <v>65</v>
      </c>
      <c r="H197" s="72" t="s">
        <v>269</v>
      </c>
      <c r="I197" s="497" t="s">
        <v>99</v>
      </c>
      <c r="J197" s="518">
        <v>15.3</v>
      </c>
      <c r="K197" s="355">
        <f t="shared" si="15"/>
        <v>255</v>
      </c>
      <c r="L197" s="519">
        <v>255</v>
      </c>
      <c r="M197" s="519"/>
      <c r="N197" s="516" t="e">
        <f>IF(L197="nio",0,IF(L197&gt;0,L197*J197/P197,0))*VLOOKUP(B197,'2-Kosten per locatie'!$A$14:$C$23,3,FALSE)</f>
        <v>#DIV/0!</v>
      </c>
      <c r="O197" s="262">
        <f>IF(M197&gt;0,M197*J197/Q197,0)*VLOOKUP(B197,'2-Kosten per locatie'!$A$14:$C$23,3,FALSE)</f>
        <v>0</v>
      </c>
      <c r="P197" s="356">
        <f>IF(L197="nio",0,IF(L197&gt;0,VLOOKUP(G197,'3-Productie normen'!A:L,VLOOKUP(L197,'3-Productie normen'!$B$32:$C$39,2,FALSE),FALSE)))</f>
        <v>0</v>
      </c>
      <c r="Q197" s="356">
        <f t="shared" si="13"/>
        <v>0</v>
      </c>
      <c r="R197" s="357" t="str">
        <f>VLOOKUP(G197,'3-Productie normen'!A:N,14,FALSE)</f>
        <v>V</v>
      </c>
      <c r="S197" s="357"/>
      <c r="U197" s="358">
        <f t="shared" si="14"/>
        <v>3901.5</v>
      </c>
    </row>
    <row r="198" spans="1:21" ht="14.1" customHeight="1">
      <c r="A198" s="75">
        <v>198</v>
      </c>
      <c r="B198" s="498" t="s">
        <v>272</v>
      </c>
      <c r="C198" s="320" t="s">
        <v>273</v>
      </c>
      <c r="D198" s="353" t="s">
        <v>267</v>
      </c>
      <c r="E198" s="354" t="s">
        <v>364</v>
      </c>
      <c r="F198" s="517" t="s">
        <v>264</v>
      </c>
      <c r="G198" s="517" t="s">
        <v>500</v>
      </c>
      <c r="H198" s="72" t="s">
        <v>269</v>
      </c>
      <c r="I198" s="497" t="s">
        <v>99</v>
      </c>
      <c r="J198" s="518">
        <v>3.1</v>
      </c>
      <c r="K198" s="355">
        <f t="shared" si="15"/>
        <v>255</v>
      </c>
      <c r="L198" s="519">
        <v>255</v>
      </c>
      <c r="M198" s="519"/>
      <c r="N198" s="516" t="e">
        <f>IF(L198="nio",0,IF(L198&gt;0,L198*J198/P198,0))*VLOOKUP(B198,'2-Kosten per locatie'!$A$14:$C$23,3,FALSE)</f>
        <v>#DIV/0!</v>
      </c>
      <c r="O198" s="262">
        <f>IF(M198&gt;0,M198*J198/Q198,0)*VLOOKUP(B198,'2-Kosten per locatie'!$A$14:$C$23,3,FALSE)</f>
        <v>0</v>
      </c>
      <c r="P198" s="356">
        <f>IF(L198="nio",0,IF(L198&gt;0,VLOOKUP(G198,'3-Productie normen'!A:L,VLOOKUP(L198,'3-Productie normen'!$B$32:$C$39,2,FALSE),FALSE)))</f>
        <v>0</v>
      </c>
      <c r="Q198" s="356">
        <f t="shared" si="13"/>
        <v>0</v>
      </c>
      <c r="R198" s="357" t="str">
        <f>VLOOKUP(G198,'3-Productie normen'!A:N,14,FALSE)</f>
        <v>V</v>
      </c>
      <c r="S198" s="357"/>
      <c r="U198" s="358">
        <f t="shared" si="14"/>
        <v>790.5</v>
      </c>
    </row>
    <row r="199" spans="1:21" ht="14.1" customHeight="1">
      <c r="A199" s="75">
        <v>199</v>
      </c>
      <c r="B199" s="497" t="s">
        <v>272</v>
      </c>
      <c r="C199" s="320" t="s">
        <v>273</v>
      </c>
      <c r="D199" s="353" t="s">
        <v>267</v>
      </c>
      <c r="E199" s="354" t="s">
        <v>365</v>
      </c>
      <c r="F199" s="517" t="s">
        <v>259</v>
      </c>
      <c r="G199" s="517" t="s">
        <v>58</v>
      </c>
      <c r="H199" s="72" t="s">
        <v>269</v>
      </c>
      <c r="I199" s="497" t="s">
        <v>96</v>
      </c>
      <c r="J199" s="518">
        <v>4.5999999999999996</v>
      </c>
      <c r="K199" s="355">
        <f t="shared" si="15"/>
        <v>510</v>
      </c>
      <c r="L199" s="519">
        <v>255</v>
      </c>
      <c r="M199" s="519">
        <v>255</v>
      </c>
      <c r="N199" s="516" t="e">
        <f>IF(L199="nio",0,IF(L199&gt;0,L199*J199/P199,0))*VLOOKUP(B199,'2-Kosten per locatie'!$A$14:$C$23,3,FALSE)</f>
        <v>#DIV/0!</v>
      </c>
      <c r="O199" s="262" t="e">
        <f>IF(M199&gt;0,M199*J199/Q199,0)*VLOOKUP(B199,'2-Kosten per locatie'!$A$14:$C$23,3,FALSE)</f>
        <v>#DIV/0!</v>
      </c>
      <c r="P199" s="356">
        <f>IF(L199="nio",0,IF(L199&gt;0,VLOOKUP(G199,'3-Productie normen'!A:L,VLOOKUP(L199,'3-Productie normen'!$B$32:$C$39,2,FALSE),FALSE)))</f>
        <v>0</v>
      </c>
      <c r="Q199" s="356">
        <f t="shared" si="13"/>
        <v>0</v>
      </c>
      <c r="R199" s="357" t="str">
        <f>VLOOKUP(G199,'3-Productie normen'!A:N,14,FALSE)</f>
        <v>S</v>
      </c>
      <c r="S199" s="357"/>
      <c r="U199" s="358">
        <f t="shared" si="14"/>
        <v>2346</v>
      </c>
    </row>
    <row r="200" spans="1:21" ht="14.1" customHeight="1">
      <c r="A200" s="75">
        <v>200</v>
      </c>
      <c r="B200" s="498" t="s">
        <v>272</v>
      </c>
      <c r="C200" s="320" t="s">
        <v>273</v>
      </c>
      <c r="D200" s="353" t="s">
        <v>267</v>
      </c>
      <c r="E200" s="354" t="s">
        <v>363</v>
      </c>
      <c r="F200" s="517" t="s">
        <v>259</v>
      </c>
      <c r="G200" s="517" t="s">
        <v>58</v>
      </c>
      <c r="H200" s="72" t="s">
        <v>269</v>
      </c>
      <c r="I200" s="497" t="s">
        <v>96</v>
      </c>
      <c r="J200" s="518">
        <v>3.5</v>
      </c>
      <c r="K200" s="355">
        <f t="shared" si="15"/>
        <v>510</v>
      </c>
      <c r="L200" s="519">
        <v>255</v>
      </c>
      <c r="M200" s="519">
        <v>255</v>
      </c>
      <c r="N200" s="516" t="e">
        <f>IF(L200="nio",0,IF(L200&gt;0,L200*J200/P200,0))*VLOOKUP(B200,'2-Kosten per locatie'!$A$14:$C$23,3,FALSE)</f>
        <v>#DIV/0!</v>
      </c>
      <c r="O200" s="262" t="e">
        <f>IF(M200&gt;0,M200*J200/Q200,0)*VLOOKUP(B200,'2-Kosten per locatie'!$A$14:$C$23,3,FALSE)</f>
        <v>#DIV/0!</v>
      </c>
      <c r="P200" s="356">
        <f>IF(L200="nio",0,IF(L200&gt;0,VLOOKUP(G200,'3-Productie normen'!A:L,VLOOKUP(L200,'3-Productie normen'!$B$32:$C$39,2,FALSE),FALSE)))</f>
        <v>0</v>
      </c>
      <c r="Q200" s="356">
        <f t="shared" si="13"/>
        <v>0</v>
      </c>
      <c r="R200" s="357" t="str">
        <f>VLOOKUP(G200,'3-Productie normen'!A:N,14,FALSE)</f>
        <v>S</v>
      </c>
      <c r="S200" s="357"/>
      <c r="U200" s="358">
        <f t="shared" si="14"/>
        <v>1785</v>
      </c>
    </row>
    <row r="201" spans="1:21" ht="14.1" customHeight="1">
      <c r="A201" s="75">
        <v>201</v>
      </c>
      <c r="B201" s="497" t="s">
        <v>272</v>
      </c>
      <c r="C201" s="320" t="s">
        <v>273</v>
      </c>
      <c r="D201" s="353" t="s">
        <v>267</v>
      </c>
      <c r="E201" s="354">
        <v>1001</v>
      </c>
      <c r="F201" s="517" t="s">
        <v>514</v>
      </c>
      <c r="G201" s="517" t="s">
        <v>60</v>
      </c>
      <c r="H201" s="72" t="s">
        <v>268</v>
      </c>
      <c r="I201" s="497" t="s">
        <v>98</v>
      </c>
      <c r="J201" s="518">
        <v>137.9</v>
      </c>
      <c r="K201" s="355">
        <f t="shared" si="15"/>
        <v>255</v>
      </c>
      <c r="L201" s="519">
        <v>255</v>
      </c>
      <c r="M201" s="519"/>
      <c r="N201" s="516" t="e">
        <f>IF(L201="nio",0,IF(L201&gt;0,L201*J201/P201,0))*VLOOKUP(B201,'2-Kosten per locatie'!$A$14:$C$23,3,FALSE)</f>
        <v>#DIV/0!</v>
      </c>
      <c r="O201" s="262">
        <f>IF(M201&gt;0,M201*J201/Q201,0)*VLOOKUP(B201,'2-Kosten per locatie'!$A$14:$C$23,3,FALSE)</f>
        <v>0</v>
      </c>
      <c r="P201" s="356">
        <f>IF(L201="nio",0,IF(L201&gt;0,VLOOKUP(G201,'3-Productie normen'!A:L,VLOOKUP(L201,'3-Productie normen'!$B$32:$C$39,2,FALSE),FALSE)))</f>
        <v>0</v>
      </c>
      <c r="Q201" s="356">
        <f t="shared" si="13"/>
        <v>0</v>
      </c>
      <c r="R201" s="357" t="str">
        <f>VLOOKUP(G201,'3-Productie normen'!A:N,14,FALSE)</f>
        <v>V</v>
      </c>
      <c r="S201" s="357"/>
      <c r="U201" s="358">
        <f t="shared" si="14"/>
        <v>35164.5</v>
      </c>
    </row>
    <row r="202" spans="1:21" ht="14.1" customHeight="1">
      <c r="A202" s="75">
        <v>202</v>
      </c>
      <c r="B202" s="498" t="s">
        <v>272</v>
      </c>
      <c r="C202" s="320" t="s">
        <v>273</v>
      </c>
      <c r="D202" s="353" t="s">
        <v>267</v>
      </c>
      <c r="E202" s="354" t="s">
        <v>366</v>
      </c>
      <c r="F202" s="517" t="s">
        <v>265</v>
      </c>
      <c r="G202" s="517" t="s">
        <v>60</v>
      </c>
      <c r="H202" s="72" t="s">
        <v>268</v>
      </c>
      <c r="I202" s="497" t="s">
        <v>98</v>
      </c>
      <c r="J202" s="518">
        <v>17.7</v>
      </c>
      <c r="K202" s="355">
        <f t="shared" si="15"/>
        <v>255</v>
      </c>
      <c r="L202" s="519">
        <v>255</v>
      </c>
      <c r="M202" s="519"/>
      <c r="N202" s="516" t="e">
        <f>IF(L202="nio",0,IF(L202&gt;0,L202*J202/P202,0))*VLOOKUP(B202,'2-Kosten per locatie'!$A$14:$C$23,3,FALSE)</f>
        <v>#DIV/0!</v>
      </c>
      <c r="O202" s="262">
        <f>IF(M202&gt;0,M202*J202/Q202,0)*VLOOKUP(B202,'2-Kosten per locatie'!$A$14:$C$23,3,FALSE)</f>
        <v>0</v>
      </c>
      <c r="P202" s="356">
        <f>IF(L202="nio",0,IF(L202&gt;0,VLOOKUP(G202,'3-Productie normen'!A:L,VLOOKUP(L202,'3-Productie normen'!$B$32:$C$39,2,FALSE),FALSE)))</f>
        <v>0</v>
      </c>
      <c r="Q202" s="356">
        <f t="shared" si="13"/>
        <v>0</v>
      </c>
      <c r="R202" s="357" t="str">
        <f>VLOOKUP(G202,'3-Productie normen'!A:N,14,FALSE)</f>
        <v>V</v>
      </c>
      <c r="S202" s="357"/>
      <c r="U202" s="358">
        <f t="shared" si="14"/>
        <v>4513.5</v>
      </c>
    </row>
    <row r="203" spans="1:21" ht="14.1" customHeight="1">
      <c r="A203" s="75">
        <v>203</v>
      </c>
      <c r="B203" s="497" t="s">
        <v>272</v>
      </c>
      <c r="C203" s="320" t="s">
        <v>273</v>
      </c>
      <c r="D203" s="353" t="s">
        <v>267</v>
      </c>
      <c r="E203" s="354" t="s">
        <v>367</v>
      </c>
      <c r="F203" s="517" t="s">
        <v>511</v>
      </c>
      <c r="G203" s="517" t="s">
        <v>63</v>
      </c>
      <c r="H203" s="72" t="s">
        <v>268</v>
      </c>
      <c r="I203" s="497" t="s">
        <v>98</v>
      </c>
      <c r="J203" s="518">
        <v>53.9</v>
      </c>
      <c r="K203" s="355">
        <f t="shared" si="15"/>
        <v>255</v>
      </c>
      <c r="L203" s="519">
        <v>255</v>
      </c>
      <c r="M203" s="519"/>
      <c r="N203" s="516" t="e">
        <f>IF(L203="nio",0,IF(L203&gt;0,L203*J203/P203,0))*VLOOKUP(B203,'2-Kosten per locatie'!$A$14:$C$23,3,FALSE)</f>
        <v>#DIV/0!</v>
      </c>
      <c r="O203" s="262">
        <f>IF(M203&gt;0,M203*J203/Q203,0)*VLOOKUP(B203,'2-Kosten per locatie'!$A$14:$C$23,3,FALSE)</f>
        <v>0</v>
      </c>
      <c r="P203" s="356">
        <f>IF(L203="nio",0,IF(L203&gt;0,VLOOKUP(G203,'3-Productie normen'!A:L,VLOOKUP(L203,'3-Productie normen'!$B$32:$C$39,2,FALSE),FALSE)))</f>
        <v>0</v>
      </c>
      <c r="Q203" s="356">
        <f t="shared" si="13"/>
        <v>0</v>
      </c>
      <c r="R203" s="357" t="str">
        <f>VLOOKUP(G203,'3-Productie normen'!A:N,14,FALSE)</f>
        <v>B</v>
      </c>
      <c r="S203" s="357"/>
      <c r="U203" s="358">
        <f t="shared" si="14"/>
        <v>13744.5</v>
      </c>
    </row>
    <row r="204" spans="1:21" ht="14.1" customHeight="1">
      <c r="A204" s="75">
        <v>204</v>
      </c>
      <c r="B204" s="498" t="s">
        <v>272</v>
      </c>
      <c r="C204" s="320" t="s">
        <v>273</v>
      </c>
      <c r="D204" s="353" t="s">
        <v>267</v>
      </c>
      <c r="E204" s="354" t="s">
        <v>368</v>
      </c>
      <c r="F204" s="517" t="s">
        <v>263</v>
      </c>
      <c r="G204" s="517" t="s">
        <v>502</v>
      </c>
      <c r="H204" s="72" t="s">
        <v>461</v>
      </c>
      <c r="I204" s="497" t="s">
        <v>95</v>
      </c>
      <c r="J204" s="518">
        <v>11.4</v>
      </c>
      <c r="K204" s="355">
        <f t="shared" si="15"/>
        <v>4</v>
      </c>
      <c r="L204" s="519">
        <v>4</v>
      </c>
      <c r="M204" s="519"/>
      <c r="N204" s="516" t="e">
        <f>IF(L204="nio",0,IF(L204&gt;0,L204*J204/P204,0))*VLOOKUP(B204,'2-Kosten per locatie'!$A$14:$C$23,3,FALSE)</f>
        <v>#DIV/0!</v>
      </c>
      <c r="O204" s="262">
        <f>IF(M204&gt;0,M204*J204/Q204,0)*VLOOKUP(B204,'2-Kosten per locatie'!$A$14:$C$23,3,FALSE)</f>
        <v>0</v>
      </c>
      <c r="P204" s="356">
        <f>IF(L204="nio",0,IF(L204&gt;0,VLOOKUP(G204,'3-Productie normen'!A:L,VLOOKUP(L204,'3-Productie normen'!$B$32:$C$39,2,FALSE),FALSE)))</f>
        <v>0</v>
      </c>
      <c r="Q204" s="356">
        <f t="shared" si="13"/>
        <v>0</v>
      </c>
      <c r="R204" s="357" t="str">
        <f>VLOOKUP(G204,'3-Productie normen'!A:N,14,FALSE)</f>
        <v>V</v>
      </c>
      <c r="S204" s="357"/>
      <c r="U204" s="358">
        <f t="shared" si="14"/>
        <v>45.6</v>
      </c>
    </row>
    <row r="205" spans="1:21" ht="14.1" customHeight="1">
      <c r="A205" s="75">
        <v>205</v>
      </c>
      <c r="B205" s="497" t="s">
        <v>272</v>
      </c>
      <c r="C205" s="320" t="s">
        <v>273</v>
      </c>
      <c r="D205" s="353" t="s">
        <v>267</v>
      </c>
      <c r="E205" s="354" t="s">
        <v>369</v>
      </c>
      <c r="F205" s="517" t="s">
        <v>262</v>
      </c>
      <c r="G205" s="517" t="s">
        <v>63</v>
      </c>
      <c r="H205" s="72" t="s">
        <v>268</v>
      </c>
      <c r="I205" s="497" t="s">
        <v>98</v>
      </c>
      <c r="J205" s="518">
        <v>21.6</v>
      </c>
      <c r="K205" s="355">
        <f t="shared" si="15"/>
        <v>255</v>
      </c>
      <c r="L205" s="519">
        <v>255</v>
      </c>
      <c r="M205" s="519"/>
      <c r="N205" s="516" t="e">
        <f>IF(L205="nio",0,IF(L205&gt;0,L205*J205/P205,0))*VLOOKUP(B205,'2-Kosten per locatie'!$A$14:$C$23,3,FALSE)</f>
        <v>#DIV/0!</v>
      </c>
      <c r="O205" s="262">
        <f>IF(M205&gt;0,M205*J205/Q205,0)*VLOOKUP(B205,'2-Kosten per locatie'!$A$14:$C$23,3,FALSE)</f>
        <v>0</v>
      </c>
      <c r="P205" s="356">
        <f>IF(L205="nio",0,IF(L205&gt;0,VLOOKUP(G205,'3-Productie normen'!A:L,VLOOKUP(L205,'3-Productie normen'!$B$32:$C$39,2,FALSE),FALSE)))</f>
        <v>0</v>
      </c>
      <c r="Q205" s="356">
        <f t="shared" si="13"/>
        <v>0</v>
      </c>
      <c r="R205" s="357" t="str">
        <f>VLOOKUP(G205,'3-Productie normen'!A:N,14,FALSE)</f>
        <v>B</v>
      </c>
      <c r="S205" s="357"/>
      <c r="U205" s="358">
        <f t="shared" si="14"/>
        <v>5508</v>
      </c>
    </row>
    <row r="206" spans="1:21" ht="14.1" customHeight="1">
      <c r="A206" s="75">
        <v>206</v>
      </c>
      <c r="B206" s="498" t="s">
        <v>272</v>
      </c>
      <c r="C206" s="320" t="s">
        <v>273</v>
      </c>
      <c r="D206" s="353" t="s">
        <v>267</v>
      </c>
      <c r="E206" s="354" t="s">
        <v>370</v>
      </c>
      <c r="F206" s="517" t="s">
        <v>262</v>
      </c>
      <c r="G206" s="517" t="s">
        <v>63</v>
      </c>
      <c r="H206" s="72" t="s">
        <v>268</v>
      </c>
      <c r="I206" s="497" t="s">
        <v>98</v>
      </c>
      <c r="J206" s="518">
        <v>83.9</v>
      </c>
      <c r="K206" s="355">
        <f t="shared" si="15"/>
        <v>255</v>
      </c>
      <c r="L206" s="519">
        <v>255</v>
      </c>
      <c r="M206" s="519"/>
      <c r="N206" s="516" t="e">
        <f>IF(L206="nio",0,IF(L206&gt;0,L206*J206/P206,0))*VLOOKUP(B206,'2-Kosten per locatie'!$A$14:$C$23,3,FALSE)</f>
        <v>#DIV/0!</v>
      </c>
      <c r="O206" s="262">
        <f>IF(M206&gt;0,M206*J206/Q206,0)*VLOOKUP(B206,'2-Kosten per locatie'!$A$14:$C$23,3,FALSE)</f>
        <v>0</v>
      </c>
      <c r="P206" s="356">
        <f>IF(L206="nio",0,IF(L206&gt;0,VLOOKUP(G206,'3-Productie normen'!A:L,VLOOKUP(L206,'3-Productie normen'!$B$32:$C$39,2,FALSE),FALSE)))</f>
        <v>0</v>
      </c>
      <c r="Q206" s="356">
        <f t="shared" si="13"/>
        <v>0</v>
      </c>
      <c r="R206" s="357" t="str">
        <f>VLOOKUP(G206,'3-Productie normen'!A:N,14,FALSE)</f>
        <v>B</v>
      </c>
      <c r="S206" s="357"/>
      <c r="U206" s="358">
        <f t="shared" si="14"/>
        <v>21394.5</v>
      </c>
    </row>
    <row r="207" spans="1:21" ht="14.1" customHeight="1">
      <c r="A207" s="75">
        <v>207</v>
      </c>
      <c r="B207" s="497" t="s">
        <v>272</v>
      </c>
      <c r="C207" s="320" t="s">
        <v>273</v>
      </c>
      <c r="D207" s="353" t="s">
        <v>267</v>
      </c>
      <c r="E207" s="354" t="s">
        <v>371</v>
      </c>
      <c r="F207" s="517" t="s">
        <v>262</v>
      </c>
      <c r="G207" s="517" t="s">
        <v>63</v>
      </c>
      <c r="H207" s="72" t="s">
        <v>268</v>
      </c>
      <c r="I207" s="497" t="s">
        <v>98</v>
      </c>
      <c r="J207" s="518">
        <v>52.5</v>
      </c>
      <c r="K207" s="355">
        <f t="shared" si="15"/>
        <v>255</v>
      </c>
      <c r="L207" s="519">
        <v>255</v>
      </c>
      <c r="M207" s="519"/>
      <c r="N207" s="516" t="e">
        <f>IF(L207="nio",0,IF(L207&gt;0,L207*J207/P207,0))*VLOOKUP(B207,'2-Kosten per locatie'!$A$14:$C$23,3,FALSE)</f>
        <v>#DIV/0!</v>
      </c>
      <c r="O207" s="262">
        <f>IF(M207&gt;0,M207*J207/Q207,0)*VLOOKUP(B207,'2-Kosten per locatie'!$A$14:$C$23,3,FALSE)</f>
        <v>0</v>
      </c>
      <c r="P207" s="356">
        <f>IF(L207="nio",0,IF(L207&gt;0,VLOOKUP(G207,'3-Productie normen'!A:L,VLOOKUP(L207,'3-Productie normen'!$B$32:$C$39,2,FALSE),FALSE)))</f>
        <v>0</v>
      </c>
      <c r="Q207" s="356">
        <f t="shared" si="13"/>
        <v>0</v>
      </c>
      <c r="R207" s="357" t="str">
        <f>VLOOKUP(G207,'3-Productie normen'!A:N,14,FALSE)</f>
        <v>B</v>
      </c>
      <c r="S207" s="357"/>
      <c r="U207" s="358">
        <f t="shared" si="14"/>
        <v>13387.5</v>
      </c>
    </row>
    <row r="208" spans="1:21" ht="14.1" customHeight="1">
      <c r="A208" s="75">
        <v>208</v>
      </c>
      <c r="B208" s="498" t="s">
        <v>272</v>
      </c>
      <c r="C208" s="320" t="s">
        <v>273</v>
      </c>
      <c r="D208" s="353" t="s">
        <v>267</v>
      </c>
      <c r="E208" s="354"/>
      <c r="F208" s="517" t="s">
        <v>257</v>
      </c>
      <c r="G208" s="517" t="s">
        <v>60</v>
      </c>
      <c r="H208" s="72" t="s">
        <v>268</v>
      </c>
      <c r="I208" s="497" t="s">
        <v>98</v>
      </c>
      <c r="J208" s="518">
        <v>97.6</v>
      </c>
      <c r="K208" s="355">
        <f t="shared" si="15"/>
        <v>255</v>
      </c>
      <c r="L208" s="519">
        <v>255</v>
      </c>
      <c r="M208" s="519"/>
      <c r="N208" s="516" t="e">
        <f>IF(L208="nio",0,IF(L208&gt;0,L208*J208/P208,0))*VLOOKUP(B208,'2-Kosten per locatie'!$A$14:$C$23,3,FALSE)</f>
        <v>#DIV/0!</v>
      </c>
      <c r="O208" s="262">
        <f>IF(M208&gt;0,M208*J208/Q208,0)*VLOOKUP(B208,'2-Kosten per locatie'!$A$14:$C$23,3,FALSE)</f>
        <v>0</v>
      </c>
      <c r="P208" s="356">
        <f>IF(L208="nio",0,IF(L208&gt;0,VLOOKUP(G208,'3-Productie normen'!A:L,VLOOKUP(L208,'3-Productie normen'!$B$32:$C$39,2,FALSE),FALSE)))</f>
        <v>0</v>
      </c>
      <c r="Q208" s="356">
        <f t="shared" si="13"/>
        <v>0</v>
      </c>
      <c r="R208" s="357" t="str">
        <f>VLOOKUP(G208,'3-Productie normen'!A:N,14,FALSE)</f>
        <v>V</v>
      </c>
      <c r="S208" s="357"/>
      <c r="U208" s="358">
        <f t="shared" si="14"/>
        <v>24888</v>
      </c>
    </row>
    <row r="209" spans="1:21" ht="14.1" customHeight="1">
      <c r="A209" s="75">
        <v>209</v>
      </c>
      <c r="B209" s="497" t="s">
        <v>272</v>
      </c>
      <c r="C209" s="320" t="s">
        <v>273</v>
      </c>
      <c r="D209" s="353" t="s">
        <v>267</v>
      </c>
      <c r="E209" s="354"/>
      <c r="F209" s="517" t="s">
        <v>65</v>
      </c>
      <c r="G209" s="517" t="s">
        <v>65</v>
      </c>
      <c r="H209" s="72" t="s">
        <v>268</v>
      </c>
      <c r="I209" s="497" t="s">
        <v>98</v>
      </c>
      <c r="J209" s="518">
        <v>17.5</v>
      </c>
      <c r="K209" s="355">
        <f t="shared" si="15"/>
        <v>255</v>
      </c>
      <c r="L209" s="519">
        <v>255</v>
      </c>
      <c r="M209" s="519"/>
      <c r="N209" s="516" t="e">
        <f>IF(L209="nio",0,IF(L209&gt;0,L209*J209/P209,0))*VLOOKUP(B209,'2-Kosten per locatie'!$A$14:$C$23,3,FALSE)</f>
        <v>#DIV/0!</v>
      </c>
      <c r="O209" s="262">
        <f>IF(M209&gt;0,M209*J209/Q209,0)*VLOOKUP(B209,'2-Kosten per locatie'!$A$14:$C$23,3,FALSE)</f>
        <v>0</v>
      </c>
      <c r="P209" s="356">
        <f>IF(L209="nio",0,IF(L209&gt;0,VLOOKUP(G209,'3-Productie normen'!A:L,VLOOKUP(L209,'3-Productie normen'!$B$32:$C$39,2,FALSE),FALSE)))</f>
        <v>0</v>
      </c>
      <c r="Q209" s="356">
        <f t="shared" si="13"/>
        <v>0</v>
      </c>
      <c r="R209" s="357" t="str">
        <f>VLOOKUP(G209,'3-Productie normen'!A:N,14,FALSE)</f>
        <v>V</v>
      </c>
      <c r="S209" s="357"/>
      <c r="U209" s="358">
        <f t="shared" si="14"/>
        <v>4462.5</v>
      </c>
    </row>
    <row r="210" spans="1:21" ht="14.1" customHeight="1">
      <c r="A210" s="75">
        <v>210</v>
      </c>
      <c r="B210" s="498" t="s">
        <v>272</v>
      </c>
      <c r="C210" s="320" t="s">
        <v>273</v>
      </c>
      <c r="D210" s="353" t="s">
        <v>267</v>
      </c>
      <c r="E210" s="354" t="s">
        <v>372</v>
      </c>
      <c r="F210" s="517" t="s">
        <v>262</v>
      </c>
      <c r="G210" s="517" t="s">
        <v>63</v>
      </c>
      <c r="H210" s="72" t="s">
        <v>268</v>
      </c>
      <c r="I210" s="497" t="s">
        <v>98</v>
      </c>
      <c r="J210" s="518">
        <v>12.1</v>
      </c>
      <c r="K210" s="355">
        <f t="shared" si="15"/>
        <v>255</v>
      </c>
      <c r="L210" s="519">
        <v>255</v>
      </c>
      <c r="M210" s="519"/>
      <c r="N210" s="516" t="e">
        <f>IF(L210="nio",0,IF(L210&gt;0,L210*J210/P210,0))*VLOOKUP(B210,'2-Kosten per locatie'!$A$14:$C$23,3,FALSE)</f>
        <v>#DIV/0!</v>
      </c>
      <c r="O210" s="262">
        <f>IF(M210&gt;0,M210*J210/Q210,0)*VLOOKUP(B210,'2-Kosten per locatie'!$A$14:$C$23,3,FALSE)</f>
        <v>0</v>
      </c>
      <c r="P210" s="356">
        <f>IF(L210="nio",0,IF(L210&gt;0,VLOOKUP(G210,'3-Productie normen'!A:L,VLOOKUP(L210,'3-Productie normen'!$B$32:$C$39,2,FALSE),FALSE)))</f>
        <v>0</v>
      </c>
      <c r="Q210" s="356">
        <f t="shared" si="13"/>
        <v>0</v>
      </c>
      <c r="R210" s="357" t="str">
        <f>VLOOKUP(G210,'3-Productie normen'!A:N,14,FALSE)</f>
        <v>B</v>
      </c>
      <c r="S210" s="357"/>
      <c r="U210" s="358">
        <f t="shared" si="14"/>
        <v>3085.5</v>
      </c>
    </row>
    <row r="211" spans="1:21" ht="14.1" customHeight="1">
      <c r="A211" s="75">
        <v>211</v>
      </c>
      <c r="B211" s="497" t="s">
        <v>272</v>
      </c>
      <c r="C211" s="320" t="s">
        <v>273</v>
      </c>
      <c r="D211" s="353" t="s">
        <v>267</v>
      </c>
      <c r="E211" s="354" t="s">
        <v>373</v>
      </c>
      <c r="F211" s="517" t="s">
        <v>262</v>
      </c>
      <c r="G211" s="517" t="s">
        <v>63</v>
      </c>
      <c r="H211" s="72" t="s">
        <v>268</v>
      </c>
      <c r="I211" s="497" t="s">
        <v>98</v>
      </c>
      <c r="J211" s="518">
        <v>23.4</v>
      </c>
      <c r="K211" s="355">
        <f t="shared" si="15"/>
        <v>255</v>
      </c>
      <c r="L211" s="519">
        <v>255</v>
      </c>
      <c r="M211" s="519"/>
      <c r="N211" s="516" t="e">
        <f>IF(L211="nio",0,IF(L211&gt;0,L211*J211/P211,0))*VLOOKUP(B211,'2-Kosten per locatie'!$A$14:$C$23,3,FALSE)</f>
        <v>#DIV/0!</v>
      </c>
      <c r="O211" s="262">
        <f>IF(M211&gt;0,M211*J211/Q211,0)*VLOOKUP(B211,'2-Kosten per locatie'!$A$14:$C$23,3,FALSE)</f>
        <v>0</v>
      </c>
      <c r="P211" s="356">
        <f>IF(L211="nio",0,IF(L211&gt;0,VLOOKUP(G211,'3-Productie normen'!A:L,VLOOKUP(L211,'3-Productie normen'!$B$32:$C$39,2,FALSE),FALSE)))</f>
        <v>0</v>
      </c>
      <c r="Q211" s="356">
        <f t="shared" si="13"/>
        <v>0</v>
      </c>
      <c r="R211" s="357" t="str">
        <f>VLOOKUP(G211,'3-Productie normen'!A:N,14,FALSE)</f>
        <v>B</v>
      </c>
      <c r="S211" s="357"/>
      <c r="U211" s="358">
        <f t="shared" si="14"/>
        <v>5967</v>
      </c>
    </row>
    <row r="212" spans="1:21" ht="14.1" customHeight="1">
      <c r="A212" s="75">
        <v>212</v>
      </c>
      <c r="B212" s="498" t="s">
        <v>272</v>
      </c>
      <c r="C212" s="320" t="s">
        <v>273</v>
      </c>
      <c r="D212" s="353" t="s">
        <v>267</v>
      </c>
      <c r="E212" s="354" t="s">
        <v>374</v>
      </c>
      <c r="F212" s="517" t="s">
        <v>262</v>
      </c>
      <c r="G212" s="517" t="s">
        <v>63</v>
      </c>
      <c r="H212" s="72" t="s">
        <v>268</v>
      </c>
      <c r="I212" s="497" t="s">
        <v>98</v>
      </c>
      <c r="J212" s="518">
        <v>12.1</v>
      </c>
      <c r="K212" s="355">
        <f t="shared" si="15"/>
        <v>255</v>
      </c>
      <c r="L212" s="519">
        <v>255</v>
      </c>
      <c r="M212" s="519"/>
      <c r="N212" s="516" t="e">
        <f>IF(L212="nio",0,IF(L212&gt;0,L212*J212/P212,0))*VLOOKUP(B212,'2-Kosten per locatie'!$A$14:$C$23,3,FALSE)</f>
        <v>#DIV/0!</v>
      </c>
      <c r="O212" s="262">
        <f>IF(M212&gt;0,M212*J212/Q212,0)*VLOOKUP(B212,'2-Kosten per locatie'!$A$14:$C$23,3,FALSE)</f>
        <v>0</v>
      </c>
      <c r="P212" s="356">
        <f>IF(L212="nio",0,IF(L212&gt;0,VLOOKUP(G212,'3-Productie normen'!A:L,VLOOKUP(L212,'3-Productie normen'!$B$32:$C$39,2,FALSE),FALSE)))</f>
        <v>0</v>
      </c>
      <c r="Q212" s="356">
        <f t="shared" si="13"/>
        <v>0</v>
      </c>
      <c r="R212" s="357" t="str">
        <f>VLOOKUP(G212,'3-Productie normen'!A:N,14,FALSE)</f>
        <v>B</v>
      </c>
      <c r="S212" s="357"/>
      <c r="U212" s="358">
        <f t="shared" si="14"/>
        <v>3085.5</v>
      </c>
    </row>
    <row r="213" spans="1:21" ht="14.1" customHeight="1">
      <c r="A213" s="75">
        <v>213</v>
      </c>
      <c r="B213" s="497" t="s">
        <v>272</v>
      </c>
      <c r="C213" s="320" t="s">
        <v>273</v>
      </c>
      <c r="D213" s="353" t="s">
        <v>267</v>
      </c>
      <c r="E213" s="354" t="s">
        <v>375</v>
      </c>
      <c r="F213" s="517" t="s">
        <v>266</v>
      </c>
      <c r="G213" s="517" t="s">
        <v>63</v>
      </c>
      <c r="H213" s="72" t="s">
        <v>268</v>
      </c>
      <c r="I213" s="497" t="s">
        <v>98</v>
      </c>
      <c r="J213" s="518">
        <v>61.9</v>
      </c>
      <c r="K213" s="355">
        <f t="shared" si="15"/>
        <v>255</v>
      </c>
      <c r="L213" s="519">
        <v>255</v>
      </c>
      <c r="M213" s="519"/>
      <c r="N213" s="516" t="e">
        <f>IF(L213="nio",0,IF(L213&gt;0,L213*J213/P213,0))*VLOOKUP(B213,'2-Kosten per locatie'!$A$14:$C$23,3,FALSE)</f>
        <v>#DIV/0!</v>
      </c>
      <c r="O213" s="262">
        <f>IF(M213&gt;0,M213*J213/Q213,0)*VLOOKUP(B213,'2-Kosten per locatie'!$A$14:$C$23,3,FALSE)</f>
        <v>0</v>
      </c>
      <c r="P213" s="356">
        <f>IF(L213="nio",0,IF(L213&gt;0,VLOOKUP(G213,'3-Productie normen'!A:L,VLOOKUP(L213,'3-Productie normen'!$B$32:$C$39,2,FALSE),FALSE)))</f>
        <v>0</v>
      </c>
      <c r="Q213" s="356">
        <f t="shared" si="13"/>
        <v>0</v>
      </c>
      <c r="R213" s="357" t="str">
        <f>VLOOKUP(G213,'3-Productie normen'!A:N,14,FALSE)</f>
        <v>B</v>
      </c>
      <c r="S213" s="357"/>
      <c r="U213" s="358">
        <f t="shared" si="14"/>
        <v>15784.5</v>
      </c>
    </row>
    <row r="214" spans="1:21" ht="14.1" customHeight="1">
      <c r="A214" s="75">
        <v>214</v>
      </c>
      <c r="B214" s="498" t="s">
        <v>272</v>
      </c>
      <c r="C214" s="320" t="s">
        <v>273</v>
      </c>
      <c r="D214" s="353" t="s">
        <v>267</v>
      </c>
      <c r="E214" s="354" t="s">
        <v>376</v>
      </c>
      <c r="F214" s="517" t="s">
        <v>263</v>
      </c>
      <c r="G214" s="517" t="s">
        <v>502</v>
      </c>
      <c r="H214" s="72" t="s">
        <v>461</v>
      </c>
      <c r="I214" s="497" t="s">
        <v>95</v>
      </c>
      <c r="J214" s="518">
        <v>8.3000000000000007</v>
      </c>
      <c r="K214" s="355">
        <f t="shared" si="15"/>
        <v>4</v>
      </c>
      <c r="L214" s="519">
        <v>4</v>
      </c>
      <c r="M214" s="519"/>
      <c r="N214" s="516" t="e">
        <f>IF(L214="nio",0,IF(L214&gt;0,L214*J214/P214,0))*VLOOKUP(B214,'2-Kosten per locatie'!$A$14:$C$23,3,FALSE)</f>
        <v>#DIV/0!</v>
      </c>
      <c r="O214" s="262">
        <f>IF(M214&gt;0,M214*J214/Q214,0)*VLOOKUP(B214,'2-Kosten per locatie'!$A$14:$C$23,3,FALSE)</f>
        <v>0</v>
      </c>
      <c r="P214" s="356">
        <f>IF(L214="nio",0,IF(L214&gt;0,VLOOKUP(G214,'3-Productie normen'!A:L,VLOOKUP(L214,'3-Productie normen'!$B$32:$C$39,2,FALSE),FALSE)))</f>
        <v>0</v>
      </c>
      <c r="Q214" s="356">
        <f t="shared" si="13"/>
        <v>0</v>
      </c>
      <c r="R214" s="357" t="str">
        <f>VLOOKUP(G214,'3-Productie normen'!A:N,14,FALSE)</f>
        <v>V</v>
      </c>
      <c r="S214" s="357"/>
      <c r="U214" s="358">
        <f t="shared" si="14"/>
        <v>33.200000000000003</v>
      </c>
    </row>
    <row r="215" spans="1:21" ht="14.1" customHeight="1">
      <c r="A215" s="75">
        <v>215</v>
      </c>
      <c r="B215" s="497" t="s">
        <v>272</v>
      </c>
      <c r="C215" s="320" t="s">
        <v>273</v>
      </c>
      <c r="D215" s="353" t="s">
        <v>267</v>
      </c>
      <c r="E215" s="354"/>
      <c r="F215" s="517" t="s">
        <v>257</v>
      </c>
      <c r="G215" s="517" t="s">
        <v>60</v>
      </c>
      <c r="H215" s="72" t="s">
        <v>268</v>
      </c>
      <c r="I215" s="497" t="s">
        <v>98</v>
      </c>
      <c r="J215" s="518">
        <v>13.8</v>
      </c>
      <c r="K215" s="355">
        <f t="shared" si="15"/>
        <v>255</v>
      </c>
      <c r="L215" s="519">
        <v>255</v>
      </c>
      <c r="M215" s="519"/>
      <c r="N215" s="516" t="e">
        <f>IF(L215="nio",0,IF(L215&gt;0,L215*J215/P215,0))*VLOOKUP(B215,'2-Kosten per locatie'!$A$14:$C$23,3,FALSE)</f>
        <v>#DIV/0!</v>
      </c>
      <c r="O215" s="262">
        <f>IF(M215&gt;0,M215*J215/Q215,0)*VLOOKUP(B215,'2-Kosten per locatie'!$A$14:$C$23,3,FALSE)</f>
        <v>0</v>
      </c>
      <c r="P215" s="356">
        <f>IF(L215="nio",0,IF(L215&gt;0,VLOOKUP(G215,'3-Productie normen'!A:L,VLOOKUP(L215,'3-Productie normen'!$B$32:$C$39,2,FALSE),FALSE)))</f>
        <v>0</v>
      </c>
      <c r="Q215" s="356">
        <f t="shared" si="13"/>
        <v>0</v>
      </c>
      <c r="R215" s="357" t="str">
        <f>VLOOKUP(G215,'3-Productie normen'!A:N,14,FALSE)</f>
        <v>V</v>
      </c>
      <c r="S215" s="357"/>
      <c r="U215" s="358">
        <f t="shared" si="14"/>
        <v>3519</v>
      </c>
    </row>
    <row r="216" spans="1:21" ht="14.1" customHeight="1">
      <c r="A216" s="75">
        <v>216</v>
      </c>
      <c r="B216" s="498" t="s">
        <v>272</v>
      </c>
      <c r="C216" s="320" t="s">
        <v>273</v>
      </c>
      <c r="D216" s="353" t="s">
        <v>267</v>
      </c>
      <c r="E216" s="354"/>
      <c r="F216" s="517" t="s">
        <v>257</v>
      </c>
      <c r="G216" s="517" t="s">
        <v>60</v>
      </c>
      <c r="H216" s="72" t="s">
        <v>268</v>
      </c>
      <c r="I216" s="497" t="s">
        <v>98</v>
      </c>
      <c r="J216" s="518">
        <v>59.6</v>
      </c>
      <c r="K216" s="355">
        <f t="shared" si="15"/>
        <v>255</v>
      </c>
      <c r="L216" s="519">
        <v>255</v>
      </c>
      <c r="M216" s="519"/>
      <c r="N216" s="516" t="e">
        <f>IF(L216="nio",0,IF(L216&gt;0,L216*J216/P216,0))*VLOOKUP(B216,'2-Kosten per locatie'!$A$14:$C$23,3,FALSE)</f>
        <v>#DIV/0!</v>
      </c>
      <c r="O216" s="262">
        <f>IF(M216&gt;0,M216*J216/Q216,0)*VLOOKUP(B216,'2-Kosten per locatie'!$A$14:$C$23,3,FALSE)</f>
        <v>0</v>
      </c>
      <c r="P216" s="356">
        <f>IF(L216="nio",0,IF(L216&gt;0,VLOOKUP(G216,'3-Productie normen'!A:L,VLOOKUP(L216,'3-Productie normen'!$B$32:$C$39,2,FALSE),FALSE)))</f>
        <v>0</v>
      </c>
      <c r="Q216" s="356">
        <f t="shared" si="13"/>
        <v>0</v>
      </c>
      <c r="R216" s="357" t="str">
        <f>VLOOKUP(G216,'3-Productie normen'!A:N,14,FALSE)</f>
        <v>V</v>
      </c>
      <c r="S216" s="357"/>
      <c r="U216" s="358">
        <f t="shared" si="14"/>
        <v>15198</v>
      </c>
    </row>
    <row r="217" spans="1:21" ht="14.1" customHeight="1">
      <c r="A217" s="75">
        <v>217</v>
      </c>
      <c r="B217" s="497" t="s">
        <v>272</v>
      </c>
      <c r="C217" s="320" t="s">
        <v>273</v>
      </c>
      <c r="D217" s="353" t="s">
        <v>267</v>
      </c>
      <c r="E217" s="354" t="s">
        <v>377</v>
      </c>
      <c r="F217" s="517" t="s">
        <v>264</v>
      </c>
      <c r="G217" s="517" t="s">
        <v>500</v>
      </c>
      <c r="H217" s="72" t="s">
        <v>268</v>
      </c>
      <c r="I217" s="497" t="s">
        <v>98</v>
      </c>
      <c r="J217" s="518">
        <v>4.7</v>
      </c>
      <c r="K217" s="355">
        <f t="shared" si="15"/>
        <v>255</v>
      </c>
      <c r="L217" s="519">
        <v>255</v>
      </c>
      <c r="M217" s="519"/>
      <c r="N217" s="516" t="e">
        <f>IF(L217="nio",0,IF(L217&gt;0,L217*J217/P217,0))*VLOOKUP(B217,'2-Kosten per locatie'!$A$14:$C$23,3,FALSE)</f>
        <v>#DIV/0!</v>
      </c>
      <c r="O217" s="262">
        <f>IF(M217&gt;0,M217*J217/Q217,0)*VLOOKUP(B217,'2-Kosten per locatie'!$A$14:$C$23,3,FALSE)</f>
        <v>0</v>
      </c>
      <c r="P217" s="356">
        <f>IF(L217="nio",0,IF(L217&gt;0,VLOOKUP(G217,'3-Productie normen'!A:L,VLOOKUP(L217,'3-Productie normen'!$B$32:$C$39,2,FALSE),FALSE)))</f>
        <v>0</v>
      </c>
      <c r="Q217" s="356">
        <f t="shared" si="13"/>
        <v>0</v>
      </c>
      <c r="R217" s="357" t="str">
        <f>VLOOKUP(G217,'3-Productie normen'!A:N,14,FALSE)</f>
        <v>V</v>
      </c>
      <c r="S217" s="357"/>
      <c r="U217" s="358">
        <f t="shared" si="14"/>
        <v>1198.5</v>
      </c>
    </row>
    <row r="218" spans="1:21" ht="14.1" customHeight="1">
      <c r="A218" s="75">
        <v>218</v>
      </c>
      <c r="B218" s="498" t="s">
        <v>272</v>
      </c>
      <c r="C218" s="320" t="s">
        <v>273</v>
      </c>
      <c r="D218" s="353" t="s">
        <v>267</v>
      </c>
      <c r="E218" s="354"/>
      <c r="F218" s="517" t="s">
        <v>257</v>
      </c>
      <c r="G218" s="517" t="s">
        <v>60</v>
      </c>
      <c r="H218" s="72" t="s">
        <v>268</v>
      </c>
      <c r="I218" s="497" t="s">
        <v>98</v>
      </c>
      <c r="J218" s="518">
        <v>30</v>
      </c>
      <c r="K218" s="355">
        <f t="shared" si="15"/>
        <v>255</v>
      </c>
      <c r="L218" s="519">
        <v>255</v>
      </c>
      <c r="M218" s="519"/>
      <c r="N218" s="516" t="e">
        <f>IF(L218="nio",0,IF(L218&gt;0,L218*J218/P218,0))*VLOOKUP(B218,'2-Kosten per locatie'!$A$14:$C$23,3,FALSE)</f>
        <v>#DIV/0!</v>
      </c>
      <c r="O218" s="262">
        <f>IF(M218&gt;0,M218*J218/Q218,0)*VLOOKUP(B218,'2-Kosten per locatie'!$A$14:$C$23,3,FALSE)</f>
        <v>0</v>
      </c>
      <c r="P218" s="356">
        <f>IF(L218="nio",0,IF(L218&gt;0,VLOOKUP(G218,'3-Productie normen'!A:L,VLOOKUP(L218,'3-Productie normen'!$B$32:$C$39,2,FALSE),FALSE)))</f>
        <v>0</v>
      </c>
      <c r="Q218" s="356">
        <f t="shared" si="13"/>
        <v>0</v>
      </c>
      <c r="R218" s="357" t="str">
        <f>VLOOKUP(G218,'3-Productie normen'!A:N,14,FALSE)</f>
        <v>V</v>
      </c>
      <c r="S218" s="357"/>
      <c r="U218" s="358">
        <f t="shared" si="14"/>
        <v>7650</v>
      </c>
    </row>
    <row r="219" spans="1:21" ht="14.1" customHeight="1">
      <c r="A219" s="75">
        <v>219</v>
      </c>
      <c r="B219" s="497" t="s">
        <v>272</v>
      </c>
      <c r="C219" s="320" t="s">
        <v>273</v>
      </c>
      <c r="D219" s="353" t="s">
        <v>267</v>
      </c>
      <c r="E219" s="354" t="s">
        <v>378</v>
      </c>
      <c r="F219" s="517" t="s">
        <v>259</v>
      </c>
      <c r="G219" s="517" t="s">
        <v>58</v>
      </c>
      <c r="H219" s="72" t="s">
        <v>269</v>
      </c>
      <c r="I219" s="497" t="s">
        <v>96</v>
      </c>
      <c r="J219" s="518">
        <v>6.1</v>
      </c>
      <c r="K219" s="355">
        <f t="shared" si="15"/>
        <v>510</v>
      </c>
      <c r="L219" s="519">
        <v>255</v>
      </c>
      <c r="M219" s="519">
        <v>255</v>
      </c>
      <c r="N219" s="516" t="e">
        <f>IF(L219="nio",0,IF(L219&gt;0,L219*J219/P219,0))*VLOOKUP(B219,'2-Kosten per locatie'!$A$14:$C$23,3,FALSE)</f>
        <v>#DIV/0!</v>
      </c>
      <c r="O219" s="262" t="e">
        <f>IF(M219&gt;0,M219*J219/Q219,0)*VLOOKUP(B219,'2-Kosten per locatie'!$A$14:$C$23,3,FALSE)</f>
        <v>#DIV/0!</v>
      </c>
      <c r="P219" s="356">
        <f>IF(L219="nio",0,IF(L219&gt;0,VLOOKUP(G219,'3-Productie normen'!A:L,VLOOKUP(L219,'3-Productie normen'!$B$32:$C$39,2,FALSE),FALSE)))</f>
        <v>0</v>
      </c>
      <c r="Q219" s="356">
        <f t="shared" si="13"/>
        <v>0</v>
      </c>
      <c r="R219" s="357" t="str">
        <f>VLOOKUP(G219,'3-Productie normen'!A:N,14,FALSE)</f>
        <v>S</v>
      </c>
      <c r="S219" s="357"/>
      <c r="U219" s="358">
        <f t="shared" si="14"/>
        <v>3111</v>
      </c>
    </row>
    <row r="220" spans="1:21" ht="14.1" customHeight="1">
      <c r="A220" s="75">
        <v>220</v>
      </c>
      <c r="B220" s="498" t="s">
        <v>272</v>
      </c>
      <c r="C220" s="320" t="s">
        <v>273</v>
      </c>
      <c r="D220" s="353" t="s">
        <v>267</v>
      </c>
      <c r="E220" s="354" t="s">
        <v>379</v>
      </c>
      <c r="F220" s="517" t="s">
        <v>259</v>
      </c>
      <c r="G220" s="517" t="s">
        <v>58</v>
      </c>
      <c r="H220" s="72" t="s">
        <v>269</v>
      </c>
      <c r="I220" s="497" t="s">
        <v>96</v>
      </c>
      <c r="J220" s="518">
        <v>5.6</v>
      </c>
      <c r="K220" s="355">
        <f t="shared" si="15"/>
        <v>510</v>
      </c>
      <c r="L220" s="519">
        <v>255</v>
      </c>
      <c r="M220" s="519">
        <v>255</v>
      </c>
      <c r="N220" s="516" t="e">
        <f>IF(L220="nio",0,IF(L220&gt;0,L220*J220/P220,0))*VLOOKUP(B220,'2-Kosten per locatie'!$A$14:$C$23,3,FALSE)</f>
        <v>#DIV/0!</v>
      </c>
      <c r="O220" s="262" t="e">
        <f>IF(M220&gt;0,M220*J220/Q220,0)*VLOOKUP(B220,'2-Kosten per locatie'!$A$14:$C$23,3,FALSE)</f>
        <v>#DIV/0!</v>
      </c>
      <c r="P220" s="356">
        <f>IF(L220="nio",0,IF(L220&gt;0,VLOOKUP(G220,'3-Productie normen'!A:L,VLOOKUP(L220,'3-Productie normen'!$B$32:$C$39,2,FALSE),FALSE)))</f>
        <v>0</v>
      </c>
      <c r="Q220" s="356">
        <f t="shared" si="13"/>
        <v>0</v>
      </c>
      <c r="R220" s="357" t="str">
        <f>VLOOKUP(G220,'3-Productie normen'!A:N,14,FALSE)</f>
        <v>S</v>
      </c>
      <c r="S220" s="357"/>
      <c r="U220" s="358">
        <f t="shared" si="14"/>
        <v>2856</v>
      </c>
    </row>
    <row r="221" spans="1:21" ht="14.1" customHeight="1">
      <c r="A221" s="75">
        <v>221</v>
      </c>
      <c r="B221" s="497" t="s">
        <v>272</v>
      </c>
      <c r="C221" s="320" t="s">
        <v>273</v>
      </c>
      <c r="D221" s="353" t="s">
        <v>267</v>
      </c>
      <c r="E221" s="354" t="s">
        <v>380</v>
      </c>
      <c r="F221" s="517" t="s">
        <v>259</v>
      </c>
      <c r="G221" s="517" t="s">
        <v>58</v>
      </c>
      <c r="H221" s="72" t="s">
        <v>269</v>
      </c>
      <c r="I221" s="497" t="s">
        <v>96</v>
      </c>
      <c r="J221" s="518">
        <v>7.8</v>
      </c>
      <c r="K221" s="355">
        <f t="shared" si="15"/>
        <v>510</v>
      </c>
      <c r="L221" s="519">
        <v>255</v>
      </c>
      <c r="M221" s="519">
        <v>255</v>
      </c>
      <c r="N221" s="516" t="e">
        <f>IF(L221="nio",0,IF(L221&gt;0,L221*J221/P221,0))*VLOOKUP(B221,'2-Kosten per locatie'!$A$14:$C$23,3,FALSE)</f>
        <v>#DIV/0!</v>
      </c>
      <c r="O221" s="262" t="e">
        <f>IF(M221&gt;0,M221*J221/Q221,0)*VLOOKUP(B221,'2-Kosten per locatie'!$A$14:$C$23,3,FALSE)</f>
        <v>#DIV/0!</v>
      </c>
      <c r="P221" s="356">
        <f>IF(L221="nio",0,IF(L221&gt;0,VLOOKUP(G221,'3-Productie normen'!A:L,VLOOKUP(L221,'3-Productie normen'!$B$32:$C$39,2,FALSE),FALSE)))</f>
        <v>0</v>
      </c>
      <c r="Q221" s="356">
        <f t="shared" si="13"/>
        <v>0</v>
      </c>
      <c r="R221" s="357" t="str">
        <f>VLOOKUP(G221,'3-Productie normen'!A:N,14,FALSE)</f>
        <v>S</v>
      </c>
      <c r="S221" s="357"/>
      <c r="U221" s="358">
        <f t="shared" si="14"/>
        <v>3978</v>
      </c>
    </row>
    <row r="222" spans="1:21" ht="14.1" customHeight="1">
      <c r="A222" s="75">
        <v>222</v>
      </c>
      <c r="B222" s="498" t="s">
        <v>272</v>
      </c>
      <c r="C222" s="320" t="s">
        <v>273</v>
      </c>
      <c r="D222" s="353" t="s">
        <v>267</v>
      </c>
      <c r="E222" s="354" t="s">
        <v>381</v>
      </c>
      <c r="F222" s="517" t="s">
        <v>259</v>
      </c>
      <c r="G222" s="517" t="s">
        <v>58</v>
      </c>
      <c r="H222" s="72" t="s">
        <v>269</v>
      </c>
      <c r="I222" s="497" t="s">
        <v>96</v>
      </c>
      <c r="J222" s="518">
        <v>7.7</v>
      </c>
      <c r="K222" s="355">
        <f t="shared" si="15"/>
        <v>510</v>
      </c>
      <c r="L222" s="519">
        <v>255</v>
      </c>
      <c r="M222" s="519">
        <v>255</v>
      </c>
      <c r="N222" s="516" t="e">
        <f>IF(L222="nio",0,IF(L222&gt;0,L222*J222/P222,0))*VLOOKUP(B222,'2-Kosten per locatie'!$A$14:$C$23,3,FALSE)</f>
        <v>#DIV/0!</v>
      </c>
      <c r="O222" s="262" t="e">
        <f>IF(M222&gt;0,M222*J222/Q222,0)*VLOOKUP(B222,'2-Kosten per locatie'!$A$14:$C$23,3,FALSE)</f>
        <v>#DIV/0!</v>
      </c>
      <c r="P222" s="356">
        <f>IF(L222="nio",0,IF(L222&gt;0,VLOOKUP(G222,'3-Productie normen'!A:L,VLOOKUP(L222,'3-Productie normen'!$B$32:$C$39,2,FALSE),FALSE)))</f>
        <v>0</v>
      </c>
      <c r="Q222" s="356">
        <f t="shared" si="13"/>
        <v>0</v>
      </c>
      <c r="R222" s="357" t="str">
        <f>VLOOKUP(G222,'3-Productie normen'!A:N,14,FALSE)</f>
        <v>S</v>
      </c>
      <c r="S222" s="357"/>
      <c r="U222" s="358">
        <f t="shared" si="14"/>
        <v>3927</v>
      </c>
    </row>
    <row r="223" spans="1:21" ht="14.1" customHeight="1">
      <c r="A223" s="75">
        <v>223</v>
      </c>
      <c r="B223" s="497" t="s">
        <v>272</v>
      </c>
      <c r="C223" s="320" t="s">
        <v>273</v>
      </c>
      <c r="D223" s="353" t="s">
        <v>267</v>
      </c>
      <c r="E223" s="354" t="s">
        <v>382</v>
      </c>
      <c r="F223" s="517" t="s">
        <v>259</v>
      </c>
      <c r="G223" s="517" t="s">
        <v>58</v>
      </c>
      <c r="H223" s="72" t="s">
        <v>269</v>
      </c>
      <c r="I223" s="497" t="s">
        <v>96</v>
      </c>
      <c r="J223" s="518">
        <v>3.6</v>
      </c>
      <c r="K223" s="355">
        <f t="shared" si="15"/>
        <v>510</v>
      </c>
      <c r="L223" s="519">
        <v>255</v>
      </c>
      <c r="M223" s="519">
        <v>255</v>
      </c>
      <c r="N223" s="516" t="e">
        <f>IF(L223="nio",0,IF(L223&gt;0,L223*J223/P223,0))*VLOOKUP(B223,'2-Kosten per locatie'!$A$14:$C$23,3,FALSE)</f>
        <v>#DIV/0!</v>
      </c>
      <c r="O223" s="262" t="e">
        <f>IF(M223&gt;0,M223*J223/Q223,0)*VLOOKUP(B223,'2-Kosten per locatie'!$A$14:$C$23,3,FALSE)</f>
        <v>#DIV/0!</v>
      </c>
      <c r="P223" s="356">
        <f>IF(L223="nio",0,IF(L223&gt;0,VLOOKUP(G223,'3-Productie normen'!A:L,VLOOKUP(L223,'3-Productie normen'!$B$32:$C$39,2,FALSE),FALSE)))</f>
        <v>0</v>
      </c>
      <c r="Q223" s="356">
        <f t="shared" si="13"/>
        <v>0</v>
      </c>
      <c r="R223" s="357" t="str">
        <f>VLOOKUP(G223,'3-Productie normen'!A:N,14,FALSE)</f>
        <v>S</v>
      </c>
      <c r="S223" s="357"/>
      <c r="U223" s="358">
        <f t="shared" si="14"/>
        <v>1836</v>
      </c>
    </row>
    <row r="224" spans="1:21" ht="14.1" customHeight="1">
      <c r="A224" s="75">
        <v>224</v>
      </c>
      <c r="B224" s="498" t="s">
        <v>272</v>
      </c>
      <c r="C224" s="320" t="s">
        <v>273</v>
      </c>
      <c r="D224" s="353" t="s">
        <v>267</v>
      </c>
      <c r="E224" s="354"/>
      <c r="F224" s="517" t="s">
        <v>65</v>
      </c>
      <c r="G224" s="517" t="s">
        <v>65</v>
      </c>
      <c r="H224" s="72" t="s">
        <v>268</v>
      </c>
      <c r="I224" s="497" t="s">
        <v>98</v>
      </c>
      <c r="J224" s="518">
        <v>14.2</v>
      </c>
      <c r="K224" s="355">
        <f t="shared" si="15"/>
        <v>255</v>
      </c>
      <c r="L224" s="519">
        <v>255</v>
      </c>
      <c r="M224" s="519"/>
      <c r="N224" s="516" t="e">
        <f>IF(L224="nio",0,IF(L224&gt;0,L224*J224/P224,0))*VLOOKUP(B224,'2-Kosten per locatie'!$A$14:$C$23,3,FALSE)</f>
        <v>#DIV/0!</v>
      </c>
      <c r="O224" s="262">
        <f>IF(M224&gt;0,M224*J224/Q224,0)*VLOOKUP(B224,'2-Kosten per locatie'!$A$14:$C$23,3,FALSE)</f>
        <v>0</v>
      </c>
      <c r="P224" s="356">
        <f>IF(L224="nio",0,IF(L224&gt;0,VLOOKUP(G224,'3-Productie normen'!A:L,VLOOKUP(L224,'3-Productie normen'!$B$32:$C$39,2,FALSE),FALSE)))</f>
        <v>0</v>
      </c>
      <c r="Q224" s="356">
        <f t="shared" si="13"/>
        <v>0</v>
      </c>
      <c r="R224" s="357" t="str">
        <f>VLOOKUP(G224,'3-Productie normen'!A:N,14,FALSE)</f>
        <v>V</v>
      </c>
      <c r="S224" s="357"/>
      <c r="U224" s="358">
        <f t="shared" si="14"/>
        <v>3621</v>
      </c>
    </row>
    <row r="225" spans="1:21" ht="14.1" customHeight="1">
      <c r="A225" s="75">
        <v>225</v>
      </c>
      <c r="B225" s="498" t="s">
        <v>272</v>
      </c>
      <c r="C225" s="320" t="s">
        <v>273</v>
      </c>
      <c r="D225" s="353" t="s">
        <v>458</v>
      </c>
      <c r="E225" s="354" t="s">
        <v>383</v>
      </c>
      <c r="F225" s="517" t="s">
        <v>300</v>
      </c>
      <c r="G225" s="517" t="s">
        <v>499</v>
      </c>
      <c r="H225" s="72" t="s">
        <v>268</v>
      </c>
      <c r="I225" s="497" t="s">
        <v>98</v>
      </c>
      <c r="J225" s="518">
        <v>21.8</v>
      </c>
      <c r="K225" s="355">
        <f t="shared" si="15"/>
        <v>255</v>
      </c>
      <c r="L225" s="519">
        <v>255</v>
      </c>
      <c r="M225" s="519"/>
      <c r="N225" s="516" t="e">
        <f>IF(L225="nio",0,IF(L225&gt;0,L225*J225/P225,0))*VLOOKUP(B225,'2-Kosten per locatie'!$A$14:$C$23,3,FALSE)</f>
        <v>#DIV/0!</v>
      </c>
      <c r="O225" s="262">
        <f>IF(M225&gt;0,M225*J225/Q225,0)*VLOOKUP(B225,'2-Kosten per locatie'!$A$14:$C$23,3,FALSE)</f>
        <v>0</v>
      </c>
      <c r="P225" s="356">
        <f>IF(L225="nio",0,IF(L225&gt;0,VLOOKUP(G225,'3-Productie normen'!A:L,VLOOKUP(L225,'3-Productie normen'!$B$32:$C$39,2,FALSE),FALSE)))</f>
        <v>0</v>
      </c>
      <c r="Q225" s="356">
        <f t="shared" si="13"/>
        <v>0</v>
      </c>
      <c r="R225" s="357" t="str">
        <f>VLOOKUP(G225,'3-Productie normen'!A:N,14,FALSE)</f>
        <v>B</v>
      </c>
      <c r="S225" s="357"/>
      <c r="U225" s="358">
        <f t="shared" si="14"/>
        <v>5559</v>
      </c>
    </row>
    <row r="226" spans="1:21" ht="14.1" customHeight="1">
      <c r="A226" s="75">
        <v>226</v>
      </c>
      <c r="B226" s="497" t="s">
        <v>272</v>
      </c>
      <c r="C226" s="320" t="s">
        <v>273</v>
      </c>
      <c r="D226" s="353" t="s">
        <v>458</v>
      </c>
      <c r="E226" s="354" t="s">
        <v>384</v>
      </c>
      <c r="F226" s="517" t="s">
        <v>300</v>
      </c>
      <c r="G226" s="517" t="s">
        <v>499</v>
      </c>
      <c r="H226" s="72" t="s">
        <v>268</v>
      </c>
      <c r="I226" s="497" t="s">
        <v>98</v>
      </c>
      <c r="J226" s="518">
        <v>22.7</v>
      </c>
      <c r="K226" s="355">
        <f t="shared" si="15"/>
        <v>255</v>
      </c>
      <c r="L226" s="519">
        <v>255</v>
      </c>
      <c r="M226" s="519"/>
      <c r="N226" s="516" t="e">
        <f>IF(L226="nio",0,IF(L226&gt;0,L226*J226/P226,0))*VLOOKUP(B226,'2-Kosten per locatie'!$A$14:$C$23,3,FALSE)</f>
        <v>#DIV/0!</v>
      </c>
      <c r="O226" s="262">
        <f>IF(M226&gt;0,M226*J226/Q226,0)*VLOOKUP(B226,'2-Kosten per locatie'!$A$14:$C$23,3,FALSE)</f>
        <v>0</v>
      </c>
      <c r="P226" s="356">
        <f>IF(L226="nio",0,IF(L226&gt;0,VLOOKUP(G226,'3-Productie normen'!A:L,VLOOKUP(L226,'3-Productie normen'!$B$32:$C$39,2,FALSE),FALSE)))</f>
        <v>0</v>
      </c>
      <c r="Q226" s="356">
        <f t="shared" si="13"/>
        <v>0</v>
      </c>
      <c r="R226" s="357" t="str">
        <f>VLOOKUP(G226,'3-Productie normen'!A:N,14,FALSE)</f>
        <v>B</v>
      </c>
      <c r="S226" s="357"/>
      <c r="U226" s="358">
        <f t="shared" si="14"/>
        <v>5788.5</v>
      </c>
    </row>
    <row r="227" spans="1:21" ht="14.1" customHeight="1">
      <c r="A227" s="75">
        <v>227</v>
      </c>
      <c r="B227" s="498" t="s">
        <v>272</v>
      </c>
      <c r="C227" s="320" t="s">
        <v>273</v>
      </c>
      <c r="D227" s="353" t="s">
        <v>458</v>
      </c>
      <c r="E227" s="354" t="s">
        <v>385</v>
      </c>
      <c r="F227" s="517" t="s">
        <v>300</v>
      </c>
      <c r="G227" s="517" t="s">
        <v>499</v>
      </c>
      <c r="H227" s="72" t="s">
        <v>268</v>
      </c>
      <c r="I227" s="497" t="s">
        <v>98</v>
      </c>
      <c r="J227" s="518">
        <v>22.9</v>
      </c>
      <c r="K227" s="355">
        <f t="shared" si="15"/>
        <v>255</v>
      </c>
      <c r="L227" s="519">
        <v>255</v>
      </c>
      <c r="M227" s="519"/>
      <c r="N227" s="516" t="e">
        <f>IF(L227="nio",0,IF(L227&gt;0,L227*J227/P227,0))*VLOOKUP(B227,'2-Kosten per locatie'!$A$14:$C$23,3,FALSE)</f>
        <v>#DIV/0!</v>
      </c>
      <c r="O227" s="262">
        <f>IF(M227&gt;0,M227*J227/Q227,0)*VLOOKUP(B227,'2-Kosten per locatie'!$A$14:$C$23,3,FALSE)</f>
        <v>0</v>
      </c>
      <c r="P227" s="356">
        <f>IF(L227="nio",0,IF(L227&gt;0,VLOOKUP(G227,'3-Productie normen'!A:L,VLOOKUP(L227,'3-Productie normen'!$B$32:$C$39,2,FALSE),FALSE)))</f>
        <v>0</v>
      </c>
      <c r="Q227" s="356">
        <f t="shared" si="13"/>
        <v>0</v>
      </c>
      <c r="R227" s="357" t="str">
        <f>VLOOKUP(G227,'3-Productie normen'!A:N,14,FALSE)</f>
        <v>B</v>
      </c>
      <c r="S227" s="357"/>
      <c r="U227" s="358">
        <f t="shared" si="14"/>
        <v>5839.5</v>
      </c>
    </row>
    <row r="228" spans="1:21" ht="14.1" customHeight="1">
      <c r="A228" s="75">
        <v>228</v>
      </c>
      <c r="B228" s="497" t="s">
        <v>272</v>
      </c>
      <c r="C228" s="320" t="s">
        <v>273</v>
      </c>
      <c r="D228" s="353" t="s">
        <v>458</v>
      </c>
      <c r="E228" s="354" t="s">
        <v>386</v>
      </c>
      <c r="F228" s="517" t="s">
        <v>300</v>
      </c>
      <c r="G228" s="517" t="s">
        <v>499</v>
      </c>
      <c r="H228" s="72" t="s">
        <v>268</v>
      </c>
      <c r="I228" s="497" t="s">
        <v>98</v>
      </c>
      <c r="J228" s="518">
        <v>47.5</v>
      </c>
      <c r="K228" s="355">
        <f t="shared" si="15"/>
        <v>255</v>
      </c>
      <c r="L228" s="519">
        <v>255</v>
      </c>
      <c r="M228" s="519"/>
      <c r="N228" s="516" t="e">
        <f>IF(L228="nio",0,IF(L228&gt;0,L228*J228/P228,0))*VLOOKUP(B228,'2-Kosten per locatie'!$A$14:$C$23,3,FALSE)</f>
        <v>#DIV/0!</v>
      </c>
      <c r="O228" s="262">
        <f>IF(M228&gt;0,M228*J228/Q228,0)*VLOOKUP(B228,'2-Kosten per locatie'!$A$14:$C$23,3,FALSE)</f>
        <v>0</v>
      </c>
      <c r="P228" s="356">
        <f>IF(L228="nio",0,IF(L228&gt;0,VLOOKUP(G228,'3-Productie normen'!A:L,VLOOKUP(L228,'3-Productie normen'!$B$32:$C$39,2,FALSE),FALSE)))</f>
        <v>0</v>
      </c>
      <c r="Q228" s="356">
        <f t="shared" si="13"/>
        <v>0</v>
      </c>
      <c r="R228" s="357" t="str">
        <f>VLOOKUP(G228,'3-Productie normen'!A:N,14,FALSE)</f>
        <v>B</v>
      </c>
      <c r="S228" s="357"/>
      <c r="U228" s="358">
        <f t="shared" si="14"/>
        <v>12112.5</v>
      </c>
    </row>
    <row r="229" spans="1:21" ht="14.1" customHeight="1">
      <c r="A229" s="75">
        <v>229</v>
      </c>
      <c r="B229" s="498" t="s">
        <v>272</v>
      </c>
      <c r="C229" s="320" t="s">
        <v>273</v>
      </c>
      <c r="D229" s="353" t="s">
        <v>458</v>
      </c>
      <c r="E229" s="354" t="s">
        <v>387</v>
      </c>
      <c r="F229" s="517" t="s">
        <v>300</v>
      </c>
      <c r="G229" s="517" t="s">
        <v>499</v>
      </c>
      <c r="H229" s="72" t="s">
        <v>268</v>
      </c>
      <c r="I229" s="497" t="s">
        <v>98</v>
      </c>
      <c r="J229" s="518">
        <v>34.700000000000003</v>
      </c>
      <c r="K229" s="355">
        <f t="shared" si="15"/>
        <v>255</v>
      </c>
      <c r="L229" s="519">
        <v>255</v>
      </c>
      <c r="M229" s="519"/>
      <c r="N229" s="516" t="e">
        <f>IF(L229="nio",0,IF(L229&gt;0,L229*J229/P229,0))*VLOOKUP(B229,'2-Kosten per locatie'!$A$14:$C$23,3,FALSE)</f>
        <v>#DIV/0!</v>
      </c>
      <c r="O229" s="262">
        <f>IF(M229&gt;0,M229*J229/Q229,0)*VLOOKUP(B229,'2-Kosten per locatie'!$A$14:$C$23,3,FALSE)</f>
        <v>0</v>
      </c>
      <c r="P229" s="356">
        <f>IF(L229="nio",0,IF(L229&gt;0,VLOOKUP(G229,'3-Productie normen'!A:L,VLOOKUP(L229,'3-Productie normen'!$B$32:$C$39,2,FALSE),FALSE)))</f>
        <v>0</v>
      </c>
      <c r="Q229" s="356">
        <f t="shared" ref="Q229:Q291" si="16">IF(M229&gt;0,P229*$Q$8,0)</f>
        <v>0</v>
      </c>
      <c r="R229" s="357" t="str">
        <f>VLOOKUP(G229,'3-Productie normen'!A:N,14,FALSE)</f>
        <v>B</v>
      </c>
      <c r="S229" s="357"/>
      <c r="U229" s="358">
        <f t="shared" ref="U229:U291" si="17">K229*J229</f>
        <v>8848.5</v>
      </c>
    </row>
    <row r="230" spans="1:21" ht="14.1" customHeight="1">
      <c r="A230" s="75">
        <v>230</v>
      </c>
      <c r="B230" s="497" t="s">
        <v>272</v>
      </c>
      <c r="C230" s="320" t="s">
        <v>273</v>
      </c>
      <c r="D230" s="353" t="s">
        <v>458</v>
      </c>
      <c r="E230" s="354" t="s">
        <v>388</v>
      </c>
      <c r="F230" s="517" t="s">
        <v>300</v>
      </c>
      <c r="G230" s="517" t="s">
        <v>499</v>
      </c>
      <c r="H230" s="72" t="s">
        <v>268</v>
      </c>
      <c r="I230" s="497" t="s">
        <v>98</v>
      </c>
      <c r="J230" s="518">
        <v>22.1</v>
      </c>
      <c r="K230" s="355">
        <f t="shared" si="15"/>
        <v>255</v>
      </c>
      <c r="L230" s="519">
        <v>255</v>
      </c>
      <c r="M230" s="519"/>
      <c r="N230" s="516" t="e">
        <f>IF(L230="nio",0,IF(L230&gt;0,L230*J230/P230,0))*VLOOKUP(B230,'2-Kosten per locatie'!$A$14:$C$23,3,FALSE)</f>
        <v>#DIV/0!</v>
      </c>
      <c r="O230" s="262">
        <f>IF(M230&gt;0,M230*J230/Q230,0)*VLOOKUP(B230,'2-Kosten per locatie'!$A$14:$C$23,3,FALSE)</f>
        <v>0</v>
      </c>
      <c r="P230" s="356">
        <f>IF(L230="nio",0,IF(L230&gt;0,VLOOKUP(G230,'3-Productie normen'!A:L,VLOOKUP(L230,'3-Productie normen'!$B$32:$C$39,2,FALSE),FALSE)))</f>
        <v>0</v>
      </c>
      <c r="Q230" s="356">
        <f t="shared" si="16"/>
        <v>0</v>
      </c>
      <c r="R230" s="357" t="str">
        <f>VLOOKUP(G230,'3-Productie normen'!A:N,14,FALSE)</f>
        <v>B</v>
      </c>
      <c r="S230" s="357"/>
      <c r="U230" s="358">
        <f t="shared" si="17"/>
        <v>5635.5</v>
      </c>
    </row>
    <row r="231" spans="1:21" ht="14.1" customHeight="1">
      <c r="A231" s="75">
        <v>231</v>
      </c>
      <c r="B231" s="498" t="s">
        <v>272</v>
      </c>
      <c r="C231" s="320" t="s">
        <v>273</v>
      </c>
      <c r="D231" s="353" t="s">
        <v>458</v>
      </c>
      <c r="E231" s="354" t="s">
        <v>389</v>
      </c>
      <c r="F231" s="517" t="s">
        <v>300</v>
      </c>
      <c r="G231" s="517" t="s">
        <v>499</v>
      </c>
      <c r="H231" s="72" t="s">
        <v>268</v>
      </c>
      <c r="I231" s="497" t="s">
        <v>98</v>
      </c>
      <c r="J231" s="518">
        <v>22.4</v>
      </c>
      <c r="K231" s="355">
        <f t="shared" si="15"/>
        <v>255</v>
      </c>
      <c r="L231" s="519">
        <v>255</v>
      </c>
      <c r="M231" s="519"/>
      <c r="N231" s="516" t="e">
        <f>IF(L231="nio",0,IF(L231&gt;0,L231*J231/P231,0))*VLOOKUP(B231,'2-Kosten per locatie'!$A$14:$C$23,3,FALSE)</f>
        <v>#DIV/0!</v>
      </c>
      <c r="O231" s="262">
        <f>IF(M231&gt;0,M231*J231/Q231,0)*VLOOKUP(B231,'2-Kosten per locatie'!$A$14:$C$23,3,FALSE)</f>
        <v>0</v>
      </c>
      <c r="P231" s="356">
        <f>IF(L231="nio",0,IF(L231&gt;0,VLOOKUP(G231,'3-Productie normen'!A:L,VLOOKUP(L231,'3-Productie normen'!$B$32:$C$39,2,FALSE),FALSE)))</f>
        <v>0</v>
      </c>
      <c r="Q231" s="356">
        <f t="shared" si="16"/>
        <v>0</v>
      </c>
      <c r="R231" s="357" t="str">
        <f>VLOOKUP(G231,'3-Productie normen'!A:N,14,FALSE)</f>
        <v>B</v>
      </c>
      <c r="S231" s="357"/>
      <c r="U231" s="358">
        <f t="shared" si="17"/>
        <v>5712</v>
      </c>
    </row>
    <row r="232" spans="1:21" ht="14.1" customHeight="1">
      <c r="A232" s="75">
        <v>232</v>
      </c>
      <c r="B232" s="497" t="s">
        <v>272</v>
      </c>
      <c r="C232" s="320" t="s">
        <v>273</v>
      </c>
      <c r="D232" s="353" t="s">
        <v>458</v>
      </c>
      <c r="E232" s="354" t="s">
        <v>390</v>
      </c>
      <c r="F232" s="517" t="s">
        <v>300</v>
      </c>
      <c r="G232" s="517" t="s">
        <v>499</v>
      </c>
      <c r="H232" s="72" t="s">
        <v>268</v>
      </c>
      <c r="I232" s="497" t="s">
        <v>98</v>
      </c>
      <c r="J232" s="518">
        <v>31.4</v>
      </c>
      <c r="K232" s="355">
        <f t="shared" si="15"/>
        <v>255</v>
      </c>
      <c r="L232" s="519">
        <v>255</v>
      </c>
      <c r="M232" s="519"/>
      <c r="N232" s="516" t="e">
        <f>IF(L232="nio",0,IF(L232&gt;0,L232*J232/P232,0))*VLOOKUP(B232,'2-Kosten per locatie'!$A$14:$C$23,3,FALSE)</f>
        <v>#DIV/0!</v>
      </c>
      <c r="O232" s="262">
        <f>IF(M232&gt;0,M232*J232/Q232,0)*VLOOKUP(B232,'2-Kosten per locatie'!$A$14:$C$23,3,FALSE)</f>
        <v>0</v>
      </c>
      <c r="P232" s="356">
        <f>IF(L232="nio",0,IF(L232&gt;0,VLOOKUP(G232,'3-Productie normen'!A:L,VLOOKUP(L232,'3-Productie normen'!$B$32:$C$39,2,FALSE),FALSE)))</f>
        <v>0</v>
      </c>
      <c r="Q232" s="356">
        <f t="shared" si="16"/>
        <v>0</v>
      </c>
      <c r="R232" s="357" t="str">
        <f>VLOOKUP(G232,'3-Productie normen'!A:N,14,FALSE)</f>
        <v>B</v>
      </c>
      <c r="S232" s="357"/>
      <c r="U232" s="358">
        <f t="shared" si="17"/>
        <v>8007</v>
      </c>
    </row>
    <row r="233" spans="1:21" ht="14.1" customHeight="1">
      <c r="A233" s="75">
        <v>233</v>
      </c>
      <c r="B233" s="498" t="s">
        <v>272</v>
      </c>
      <c r="C233" s="320" t="s">
        <v>273</v>
      </c>
      <c r="D233" s="353" t="s">
        <v>458</v>
      </c>
      <c r="E233" s="354" t="s">
        <v>391</v>
      </c>
      <c r="F233" s="517" t="s">
        <v>300</v>
      </c>
      <c r="G233" s="517" t="s">
        <v>499</v>
      </c>
      <c r="H233" s="72" t="s">
        <v>268</v>
      </c>
      <c r="I233" s="497" t="s">
        <v>98</v>
      </c>
      <c r="J233" s="518">
        <v>39</v>
      </c>
      <c r="K233" s="355">
        <f t="shared" si="15"/>
        <v>255</v>
      </c>
      <c r="L233" s="519">
        <v>255</v>
      </c>
      <c r="M233" s="519"/>
      <c r="N233" s="516" t="e">
        <f>IF(L233="nio",0,IF(L233&gt;0,L233*J233/P233,0))*VLOOKUP(B233,'2-Kosten per locatie'!$A$14:$C$23,3,FALSE)</f>
        <v>#DIV/0!</v>
      </c>
      <c r="O233" s="262">
        <f>IF(M233&gt;0,M233*J233/Q233,0)*VLOOKUP(B233,'2-Kosten per locatie'!$A$14:$C$23,3,FALSE)</f>
        <v>0</v>
      </c>
      <c r="P233" s="356">
        <f>IF(L233="nio",0,IF(L233&gt;0,VLOOKUP(G233,'3-Productie normen'!A:L,VLOOKUP(L233,'3-Productie normen'!$B$32:$C$39,2,FALSE),FALSE)))</f>
        <v>0</v>
      </c>
      <c r="Q233" s="356">
        <f t="shared" si="16"/>
        <v>0</v>
      </c>
      <c r="R233" s="357" t="str">
        <f>VLOOKUP(G233,'3-Productie normen'!A:N,14,FALSE)</f>
        <v>B</v>
      </c>
      <c r="S233" s="357"/>
      <c r="U233" s="358">
        <f t="shared" si="17"/>
        <v>9945</v>
      </c>
    </row>
    <row r="234" spans="1:21" ht="14.1" customHeight="1">
      <c r="A234" s="75">
        <v>234</v>
      </c>
      <c r="B234" s="497" t="s">
        <v>272</v>
      </c>
      <c r="C234" s="320" t="s">
        <v>273</v>
      </c>
      <c r="D234" s="353" t="s">
        <v>458</v>
      </c>
      <c r="E234" s="354" t="s">
        <v>392</v>
      </c>
      <c r="F234" s="517" t="s">
        <v>300</v>
      </c>
      <c r="G234" s="517" t="s">
        <v>499</v>
      </c>
      <c r="H234" s="72" t="s">
        <v>268</v>
      </c>
      <c r="I234" s="497" t="s">
        <v>98</v>
      </c>
      <c r="J234" s="518">
        <v>21.3</v>
      </c>
      <c r="K234" s="355">
        <f t="shared" si="15"/>
        <v>255</v>
      </c>
      <c r="L234" s="519">
        <v>255</v>
      </c>
      <c r="M234" s="519"/>
      <c r="N234" s="516" t="e">
        <f>IF(L234="nio",0,IF(L234&gt;0,L234*J234/P234,0))*VLOOKUP(B234,'2-Kosten per locatie'!$A$14:$C$23,3,FALSE)</f>
        <v>#DIV/0!</v>
      </c>
      <c r="O234" s="262">
        <f>IF(M234&gt;0,M234*J234/Q234,0)*VLOOKUP(B234,'2-Kosten per locatie'!$A$14:$C$23,3,FALSE)</f>
        <v>0</v>
      </c>
      <c r="P234" s="356">
        <f>IF(L234="nio",0,IF(L234&gt;0,VLOOKUP(G234,'3-Productie normen'!A:L,VLOOKUP(L234,'3-Productie normen'!$B$32:$C$39,2,FALSE),FALSE)))</f>
        <v>0</v>
      </c>
      <c r="Q234" s="356">
        <f t="shared" si="16"/>
        <v>0</v>
      </c>
      <c r="R234" s="357" t="str">
        <f>VLOOKUP(G234,'3-Productie normen'!A:N,14,FALSE)</f>
        <v>B</v>
      </c>
      <c r="S234" s="357"/>
      <c r="U234" s="358">
        <f t="shared" si="17"/>
        <v>5431.5</v>
      </c>
    </row>
    <row r="235" spans="1:21" ht="14.1" customHeight="1">
      <c r="A235" s="75">
        <v>235</v>
      </c>
      <c r="B235" s="498" t="s">
        <v>272</v>
      </c>
      <c r="C235" s="320" t="s">
        <v>273</v>
      </c>
      <c r="D235" s="353" t="s">
        <v>458</v>
      </c>
      <c r="E235" s="354" t="s">
        <v>393</v>
      </c>
      <c r="F235" s="517" t="s">
        <v>300</v>
      </c>
      <c r="G235" s="517" t="s">
        <v>499</v>
      </c>
      <c r="H235" s="72" t="s">
        <v>268</v>
      </c>
      <c r="I235" s="497" t="s">
        <v>98</v>
      </c>
      <c r="J235" s="518">
        <v>23.4</v>
      </c>
      <c r="K235" s="355">
        <f t="shared" si="15"/>
        <v>255</v>
      </c>
      <c r="L235" s="519">
        <v>255</v>
      </c>
      <c r="M235" s="519"/>
      <c r="N235" s="516" t="e">
        <f>IF(L235="nio",0,IF(L235&gt;0,L235*J235/P235,0))*VLOOKUP(B235,'2-Kosten per locatie'!$A$14:$C$23,3,FALSE)</f>
        <v>#DIV/0!</v>
      </c>
      <c r="O235" s="262">
        <f>IF(M235&gt;0,M235*J235/Q235,0)*VLOOKUP(B235,'2-Kosten per locatie'!$A$14:$C$23,3,FALSE)</f>
        <v>0</v>
      </c>
      <c r="P235" s="356">
        <f>IF(L235="nio",0,IF(L235&gt;0,VLOOKUP(G235,'3-Productie normen'!A:L,VLOOKUP(L235,'3-Productie normen'!$B$32:$C$39,2,FALSE),FALSE)))</f>
        <v>0</v>
      </c>
      <c r="Q235" s="356">
        <f t="shared" si="16"/>
        <v>0</v>
      </c>
      <c r="R235" s="357" t="str">
        <f>VLOOKUP(G235,'3-Productie normen'!A:N,14,FALSE)</f>
        <v>B</v>
      </c>
      <c r="S235" s="357"/>
      <c r="U235" s="358">
        <f t="shared" si="17"/>
        <v>5967</v>
      </c>
    </row>
    <row r="236" spans="1:21" ht="14.1" customHeight="1">
      <c r="A236" s="75">
        <v>236</v>
      </c>
      <c r="B236" s="497" t="s">
        <v>272</v>
      </c>
      <c r="C236" s="320" t="s">
        <v>273</v>
      </c>
      <c r="D236" s="353" t="s">
        <v>458</v>
      </c>
      <c r="E236" s="354" t="s">
        <v>394</v>
      </c>
      <c r="F236" s="517" t="s">
        <v>300</v>
      </c>
      <c r="G236" s="517" t="s">
        <v>499</v>
      </c>
      <c r="H236" s="72" t="s">
        <v>268</v>
      </c>
      <c r="I236" s="497" t="s">
        <v>98</v>
      </c>
      <c r="J236" s="518">
        <v>28.3</v>
      </c>
      <c r="K236" s="355">
        <f t="shared" si="15"/>
        <v>255</v>
      </c>
      <c r="L236" s="519">
        <v>255</v>
      </c>
      <c r="M236" s="519"/>
      <c r="N236" s="516" t="e">
        <f>IF(L236="nio",0,IF(L236&gt;0,L236*J236/P236,0))*VLOOKUP(B236,'2-Kosten per locatie'!$A$14:$C$23,3,FALSE)</f>
        <v>#DIV/0!</v>
      </c>
      <c r="O236" s="262">
        <f>IF(M236&gt;0,M236*J236/Q236,0)*VLOOKUP(B236,'2-Kosten per locatie'!$A$14:$C$23,3,FALSE)</f>
        <v>0</v>
      </c>
      <c r="P236" s="356">
        <f>IF(L236="nio",0,IF(L236&gt;0,VLOOKUP(G236,'3-Productie normen'!A:L,VLOOKUP(L236,'3-Productie normen'!$B$32:$C$39,2,FALSE),FALSE)))</f>
        <v>0</v>
      </c>
      <c r="Q236" s="356">
        <f t="shared" si="16"/>
        <v>0</v>
      </c>
      <c r="R236" s="357" t="str">
        <f>VLOOKUP(G236,'3-Productie normen'!A:N,14,FALSE)</f>
        <v>B</v>
      </c>
      <c r="S236" s="357"/>
      <c r="U236" s="358">
        <f t="shared" si="17"/>
        <v>7216.5</v>
      </c>
    </row>
    <row r="237" spans="1:21" ht="14.1" customHeight="1">
      <c r="A237" s="75">
        <v>237</v>
      </c>
      <c r="B237" s="498" t="s">
        <v>272</v>
      </c>
      <c r="C237" s="320" t="s">
        <v>273</v>
      </c>
      <c r="D237" s="353" t="s">
        <v>458</v>
      </c>
      <c r="E237" s="354" t="s">
        <v>395</v>
      </c>
      <c r="F237" s="517" t="s">
        <v>300</v>
      </c>
      <c r="G237" s="517" t="s">
        <v>499</v>
      </c>
      <c r="H237" s="72" t="s">
        <v>268</v>
      </c>
      <c r="I237" s="497" t="s">
        <v>98</v>
      </c>
      <c r="J237" s="518">
        <v>86</v>
      </c>
      <c r="K237" s="355">
        <f t="shared" si="15"/>
        <v>255</v>
      </c>
      <c r="L237" s="519">
        <v>255</v>
      </c>
      <c r="M237" s="519"/>
      <c r="N237" s="516" t="e">
        <f>IF(L237="nio",0,IF(L237&gt;0,L237*J237/P237,0))*VLOOKUP(B237,'2-Kosten per locatie'!$A$14:$C$23,3,FALSE)</f>
        <v>#DIV/0!</v>
      </c>
      <c r="O237" s="262">
        <f>IF(M237&gt;0,M237*J237/Q237,0)*VLOOKUP(B237,'2-Kosten per locatie'!$A$14:$C$23,3,FALSE)</f>
        <v>0</v>
      </c>
      <c r="P237" s="356">
        <f>IF(L237="nio",0,IF(L237&gt;0,VLOOKUP(G237,'3-Productie normen'!A:L,VLOOKUP(L237,'3-Productie normen'!$B$32:$C$39,2,FALSE),FALSE)))</f>
        <v>0</v>
      </c>
      <c r="Q237" s="356">
        <f t="shared" si="16"/>
        <v>0</v>
      </c>
      <c r="R237" s="357" t="str">
        <f>VLOOKUP(G237,'3-Productie normen'!A:N,14,FALSE)</f>
        <v>B</v>
      </c>
      <c r="S237" s="357"/>
      <c r="U237" s="358">
        <f t="shared" si="17"/>
        <v>21930</v>
      </c>
    </row>
    <row r="238" spans="1:21" ht="14.1" customHeight="1">
      <c r="A238" s="75">
        <v>238</v>
      </c>
      <c r="B238" s="497" t="s">
        <v>272</v>
      </c>
      <c r="C238" s="320" t="s">
        <v>273</v>
      </c>
      <c r="D238" s="353" t="s">
        <v>458</v>
      </c>
      <c r="E238" s="354" t="s">
        <v>396</v>
      </c>
      <c r="F238" s="517" t="s">
        <v>300</v>
      </c>
      <c r="G238" s="517" t="s">
        <v>499</v>
      </c>
      <c r="H238" s="72" t="s">
        <v>268</v>
      </c>
      <c r="I238" s="497" t="s">
        <v>98</v>
      </c>
      <c r="J238" s="518">
        <v>135.4</v>
      </c>
      <c r="K238" s="355">
        <f t="shared" si="15"/>
        <v>255</v>
      </c>
      <c r="L238" s="519">
        <v>255</v>
      </c>
      <c r="M238" s="519"/>
      <c r="N238" s="516" t="e">
        <f>IF(L238="nio",0,IF(L238&gt;0,L238*J238/P238,0))*VLOOKUP(B238,'2-Kosten per locatie'!$A$14:$C$23,3,FALSE)</f>
        <v>#DIV/0!</v>
      </c>
      <c r="O238" s="262">
        <f>IF(M238&gt;0,M238*J238/Q238,0)*VLOOKUP(B238,'2-Kosten per locatie'!$A$14:$C$23,3,FALSE)</f>
        <v>0</v>
      </c>
      <c r="P238" s="356">
        <f>IF(L238="nio",0,IF(L238&gt;0,VLOOKUP(G238,'3-Productie normen'!A:L,VLOOKUP(L238,'3-Productie normen'!$B$32:$C$39,2,FALSE),FALSE)))</f>
        <v>0</v>
      </c>
      <c r="Q238" s="356">
        <f t="shared" si="16"/>
        <v>0</v>
      </c>
      <c r="R238" s="357" t="str">
        <f>VLOOKUP(G238,'3-Productie normen'!A:N,14,FALSE)</f>
        <v>B</v>
      </c>
      <c r="S238" s="357"/>
      <c r="U238" s="358">
        <f t="shared" si="17"/>
        <v>34527</v>
      </c>
    </row>
    <row r="239" spans="1:21" ht="14.1" customHeight="1">
      <c r="A239" s="75">
        <v>239</v>
      </c>
      <c r="B239" s="498" t="s">
        <v>272</v>
      </c>
      <c r="C239" s="320" t="s">
        <v>273</v>
      </c>
      <c r="D239" s="353" t="s">
        <v>458</v>
      </c>
      <c r="E239" s="354" t="s">
        <v>397</v>
      </c>
      <c r="F239" s="517" t="s">
        <v>300</v>
      </c>
      <c r="G239" s="517" t="s">
        <v>499</v>
      </c>
      <c r="H239" s="72" t="s">
        <v>268</v>
      </c>
      <c r="I239" s="497" t="s">
        <v>98</v>
      </c>
      <c r="J239" s="518">
        <v>98.97</v>
      </c>
      <c r="K239" s="355">
        <f t="shared" si="15"/>
        <v>255</v>
      </c>
      <c r="L239" s="519">
        <v>255</v>
      </c>
      <c r="M239" s="519"/>
      <c r="N239" s="516" t="e">
        <f>IF(L239="nio",0,IF(L239&gt;0,L239*J239/P239,0))*VLOOKUP(B239,'2-Kosten per locatie'!$A$14:$C$23,3,FALSE)</f>
        <v>#DIV/0!</v>
      </c>
      <c r="O239" s="262">
        <f>IF(M239&gt;0,M239*J239/Q239,0)*VLOOKUP(B239,'2-Kosten per locatie'!$A$14:$C$23,3,FALSE)</f>
        <v>0</v>
      </c>
      <c r="P239" s="356">
        <f>IF(L239="nio",0,IF(L239&gt;0,VLOOKUP(G239,'3-Productie normen'!A:L,VLOOKUP(L239,'3-Productie normen'!$B$32:$C$39,2,FALSE),FALSE)))</f>
        <v>0</v>
      </c>
      <c r="Q239" s="356">
        <f t="shared" si="16"/>
        <v>0</v>
      </c>
      <c r="R239" s="357" t="str">
        <f>VLOOKUP(G239,'3-Productie normen'!A:N,14,FALSE)</f>
        <v>B</v>
      </c>
      <c r="S239" s="357"/>
      <c r="U239" s="358">
        <f t="shared" si="17"/>
        <v>25237.35</v>
      </c>
    </row>
    <row r="240" spans="1:21" ht="14.1" customHeight="1">
      <c r="A240" s="75">
        <v>240</v>
      </c>
      <c r="B240" s="497" t="s">
        <v>272</v>
      </c>
      <c r="C240" s="320" t="s">
        <v>273</v>
      </c>
      <c r="D240" s="353" t="s">
        <v>458</v>
      </c>
      <c r="E240" s="354" t="s">
        <v>398</v>
      </c>
      <c r="F240" s="517" t="s">
        <v>300</v>
      </c>
      <c r="G240" s="517" t="s">
        <v>499</v>
      </c>
      <c r="H240" s="72" t="s">
        <v>268</v>
      </c>
      <c r="I240" s="497" t="s">
        <v>98</v>
      </c>
      <c r="J240" s="518">
        <v>36.869999999999997</v>
      </c>
      <c r="K240" s="355">
        <f t="shared" si="15"/>
        <v>255</v>
      </c>
      <c r="L240" s="519">
        <v>255</v>
      </c>
      <c r="M240" s="519"/>
      <c r="N240" s="516" t="e">
        <f>IF(L240="nio",0,IF(L240&gt;0,L240*J240/P240,0))*VLOOKUP(B240,'2-Kosten per locatie'!$A$14:$C$23,3,FALSE)</f>
        <v>#DIV/0!</v>
      </c>
      <c r="O240" s="262">
        <f>IF(M240&gt;0,M240*J240/Q240,0)*VLOOKUP(B240,'2-Kosten per locatie'!$A$14:$C$23,3,FALSE)</f>
        <v>0</v>
      </c>
      <c r="P240" s="356">
        <f>IF(L240="nio",0,IF(L240&gt;0,VLOOKUP(G240,'3-Productie normen'!A:L,VLOOKUP(L240,'3-Productie normen'!$B$32:$C$39,2,FALSE),FALSE)))</f>
        <v>0</v>
      </c>
      <c r="Q240" s="356">
        <f t="shared" si="16"/>
        <v>0</v>
      </c>
      <c r="R240" s="357" t="str">
        <f>VLOOKUP(G240,'3-Productie normen'!A:N,14,FALSE)</f>
        <v>B</v>
      </c>
      <c r="S240" s="357"/>
      <c r="U240" s="358">
        <f t="shared" si="17"/>
        <v>9401.8499999999985</v>
      </c>
    </row>
    <row r="241" spans="1:21" ht="14.1" customHeight="1">
      <c r="A241" s="75">
        <v>241</v>
      </c>
      <c r="B241" s="498" t="s">
        <v>272</v>
      </c>
      <c r="C241" s="320" t="s">
        <v>273</v>
      </c>
      <c r="D241" s="353" t="s">
        <v>458</v>
      </c>
      <c r="E241" s="354" t="s">
        <v>399</v>
      </c>
      <c r="F241" s="517" t="s">
        <v>300</v>
      </c>
      <c r="G241" s="517" t="s">
        <v>499</v>
      </c>
      <c r="H241" s="72" t="s">
        <v>268</v>
      </c>
      <c r="I241" s="497" t="s">
        <v>98</v>
      </c>
      <c r="J241" s="518">
        <v>26.09</v>
      </c>
      <c r="K241" s="355">
        <f t="shared" si="15"/>
        <v>255</v>
      </c>
      <c r="L241" s="519">
        <v>255</v>
      </c>
      <c r="M241" s="519"/>
      <c r="N241" s="516" t="e">
        <f>IF(L241="nio",0,IF(L241&gt;0,L241*J241/P241,0))*VLOOKUP(B241,'2-Kosten per locatie'!$A$14:$C$23,3,FALSE)</f>
        <v>#DIV/0!</v>
      </c>
      <c r="O241" s="262">
        <f>IF(M241&gt;0,M241*J241/Q241,0)*VLOOKUP(B241,'2-Kosten per locatie'!$A$14:$C$23,3,FALSE)</f>
        <v>0</v>
      </c>
      <c r="P241" s="356">
        <f>IF(L241="nio",0,IF(L241&gt;0,VLOOKUP(G241,'3-Productie normen'!A:L,VLOOKUP(L241,'3-Productie normen'!$B$32:$C$39,2,FALSE),FALSE)))</f>
        <v>0</v>
      </c>
      <c r="Q241" s="356">
        <f t="shared" si="16"/>
        <v>0</v>
      </c>
      <c r="R241" s="357" t="str">
        <f>VLOOKUP(G241,'3-Productie normen'!A:N,14,FALSE)</f>
        <v>B</v>
      </c>
      <c r="S241" s="357"/>
      <c r="U241" s="358">
        <f t="shared" si="17"/>
        <v>6652.95</v>
      </c>
    </row>
    <row r="242" spans="1:21" ht="14.1" customHeight="1">
      <c r="A242" s="75">
        <v>242</v>
      </c>
      <c r="B242" s="497" t="s">
        <v>272</v>
      </c>
      <c r="C242" s="320" t="s">
        <v>273</v>
      </c>
      <c r="D242" s="353" t="s">
        <v>458</v>
      </c>
      <c r="E242" s="354" t="s">
        <v>400</v>
      </c>
      <c r="F242" s="517" t="s">
        <v>300</v>
      </c>
      <c r="G242" s="517" t="s">
        <v>499</v>
      </c>
      <c r="H242" s="72" t="s">
        <v>268</v>
      </c>
      <c r="I242" s="497" t="s">
        <v>98</v>
      </c>
      <c r="J242" s="518">
        <v>59.7</v>
      </c>
      <c r="K242" s="355">
        <f t="shared" si="15"/>
        <v>255</v>
      </c>
      <c r="L242" s="519">
        <v>255</v>
      </c>
      <c r="M242" s="519"/>
      <c r="N242" s="516" t="e">
        <f>IF(L242="nio",0,IF(L242&gt;0,L242*J242/P242,0))*VLOOKUP(B242,'2-Kosten per locatie'!$A$14:$C$23,3,FALSE)</f>
        <v>#DIV/0!</v>
      </c>
      <c r="O242" s="262">
        <f>IF(M242&gt;0,M242*J242/Q242,0)*VLOOKUP(B242,'2-Kosten per locatie'!$A$14:$C$23,3,FALSE)</f>
        <v>0</v>
      </c>
      <c r="P242" s="356">
        <f>IF(L242="nio",0,IF(L242&gt;0,VLOOKUP(G242,'3-Productie normen'!A:L,VLOOKUP(L242,'3-Productie normen'!$B$32:$C$39,2,FALSE),FALSE)))</f>
        <v>0</v>
      </c>
      <c r="Q242" s="356">
        <f t="shared" si="16"/>
        <v>0</v>
      </c>
      <c r="R242" s="357" t="str">
        <f>VLOOKUP(G242,'3-Productie normen'!A:N,14,FALSE)</f>
        <v>B</v>
      </c>
      <c r="S242" s="357"/>
      <c r="U242" s="358">
        <f t="shared" si="17"/>
        <v>15223.5</v>
      </c>
    </row>
    <row r="243" spans="1:21" ht="14.1" customHeight="1">
      <c r="A243" s="75">
        <v>243</v>
      </c>
      <c r="B243" s="498" t="s">
        <v>272</v>
      </c>
      <c r="C243" s="320" t="s">
        <v>273</v>
      </c>
      <c r="D243" s="353" t="s">
        <v>458</v>
      </c>
      <c r="E243" s="354" t="s">
        <v>401</v>
      </c>
      <c r="F243" s="517" t="s">
        <v>300</v>
      </c>
      <c r="G243" s="517" t="s">
        <v>499</v>
      </c>
      <c r="H243" s="72" t="s">
        <v>268</v>
      </c>
      <c r="I243" s="497" t="s">
        <v>98</v>
      </c>
      <c r="J243" s="518">
        <v>18.739999999999998</v>
      </c>
      <c r="K243" s="355">
        <f t="shared" si="15"/>
        <v>255</v>
      </c>
      <c r="L243" s="519">
        <v>255</v>
      </c>
      <c r="M243" s="519"/>
      <c r="N243" s="516" t="e">
        <f>IF(L243="nio",0,IF(L243&gt;0,L243*J243/P243,0))*VLOOKUP(B243,'2-Kosten per locatie'!$A$14:$C$23,3,FALSE)</f>
        <v>#DIV/0!</v>
      </c>
      <c r="O243" s="262">
        <f>IF(M243&gt;0,M243*J243/Q243,0)*VLOOKUP(B243,'2-Kosten per locatie'!$A$14:$C$23,3,FALSE)</f>
        <v>0</v>
      </c>
      <c r="P243" s="356">
        <f>IF(L243="nio",0,IF(L243&gt;0,VLOOKUP(G243,'3-Productie normen'!A:L,VLOOKUP(L243,'3-Productie normen'!$B$32:$C$39,2,FALSE),FALSE)))</f>
        <v>0</v>
      </c>
      <c r="Q243" s="356">
        <f t="shared" si="16"/>
        <v>0</v>
      </c>
      <c r="R243" s="357" t="str">
        <f>VLOOKUP(G243,'3-Productie normen'!A:N,14,FALSE)</f>
        <v>B</v>
      </c>
      <c r="S243" s="357"/>
      <c r="U243" s="358">
        <f t="shared" si="17"/>
        <v>4778.7</v>
      </c>
    </row>
    <row r="244" spans="1:21" ht="14.1" customHeight="1">
      <c r="A244" s="75">
        <v>244</v>
      </c>
      <c r="B244" s="497" t="s">
        <v>272</v>
      </c>
      <c r="C244" s="320" t="s">
        <v>273</v>
      </c>
      <c r="D244" s="353" t="s">
        <v>458</v>
      </c>
      <c r="E244" s="354" t="s">
        <v>402</v>
      </c>
      <c r="F244" s="517" t="s">
        <v>300</v>
      </c>
      <c r="G244" s="517" t="s">
        <v>499</v>
      </c>
      <c r="H244" s="72" t="s">
        <v>268</v>
      </c>
      <c r="I244" s="497" t="s">
        <v>98</v>
      </c>
      <c r="J244" s="518">
        <v>62.1</v>
      </c>
      <c r="K244" s="355">
        <f t="shared" si="15"/>
        <v>255</v>
      </c>
      <c r="L244" s="519">
        <v>255</v>
      </c>
      <c r="M244" s="519"/>
      <c r="N244" s="516" t="e">
        <f>IF(L244="nio",0,IF(L244&gt;0,L244*J244/P244,0))*VLOOKUP(B244,'2-Kosten per locatie'!$A$14:$C$23,3,FALSE)</f>
        <v>#DIV/0!</v>
      </c>
      <c r="O244" s="262">
        <f>IF(M244&gt;0,M244*J244/Q244,0)*VLOOKUP(B244,'2-Kosten per locatie'!$A$14:$C$23,3,FALSE)</f>
        <v>0</v>
      </c>
      <c r="P244" s="356">
        <f>IF(L244="nio",0,IF(L244&gt;0,VLOOKUP(G244,'3-Productie normen'!A:L,VLOOKUP(L244,'3-Productie normen'!$B$32:$C$39,2,FALSE),FALSE)))</f>
        <v>0</v>
      </c>
      <c r="Q244" s="356">
        <f t="shared" si="16"/>
        <v>0</v>
      </c>
      <c r="R244" s="357" t="str">
        <f>VLOOKUP(G244,'3-Productie normen'!A:N,14,FALSE)</f>
        <v>B</v>
      </c>
      <c r="S244" s="357"/>
      <c r="U244" s="358">
        <f t="shared" si="17"/>
        <v>15835.5</v>
      </c>
    </row>
    <row r="245" spans="1:21" ht="14.1" customHeight="1">
      <c r="A245" s="75">
        <v>245</v>
      </c>
      <c r="B245" s="498" t="s">
        <v>272</v>
      </c>
      <c r="C245" s="320" t="s">
        <v>273</v>
      </c>
      <c r="D245" s="353" t="s">
        <v>458</v>
      </c>
      <c r="E245" s="354" t="s">
        <v>403</v>
      </c>
      <c r="F245" s="517" t="s">
        <v>300</v>
      </c>
      <c r="G245" s="517" t="s">
        <v>499</v>
      </c>
      <c r="H245" s="72" t="s">
        <v>268</v>
      </c>
      <c r="I245" s="497" t="s">
        <v>98</v>
      </c>
      <c r="J245" s="518">
        <v>56.4</v>
      </c>
      <c r="K245" s="355">
        <f t="shared" si="15"/>
        <v>255</v>
      </c>
      <c r="L245" s="519">
        <v>255</v>
      </c>
      <c r="M245" s="519"/>
      <c r="N245" s="516" t="e">
        <f>IF(L245="nio",0,IF(L245&gt;0,L245*J245/P245,0))*VLOOKUP(B245,'2-Kosten per locatie'!$A$14:$C$23,3,FALSE)</f>
        <v>#DIV/0!</v>
      </c>
      <c r="O245" s="262">
        <f>IF(M245&gt;0,M245*J245/Q245,0)*VLOOKUP(B245,'2-Kosten per locatie'!$A$14:$C$23,3,FALSE)</f>
        <v>0</v>
      </c>
      <c r="P245" s="356">
        <f>IF(L245="nio",0,IF(L245&gt;0,VLOOKUP(G245,'3-Productie normen'!A:L,VLOOKUP(L245,'3-Productie normen'!$B$32:$C$39,2,FALSE),FALSE)))</f>
        <v>0</v>
      </c>
      <c r="Q245" s="356">
        <f t="shared" si="16"/>
        <v>0</v>
      </c>
      <c r="R245" s="357" t="str">
        <f>VLOOKUP(G245,'3-Productie normen'!A:N,14,FALSE)</f>
        <v>B</v>
      </c>
      <c r="S245" s="357"/>
      <c r="U245" s="358">
        <f t="shared" si="17"/>
        <v>14382</v>
      </c>
    </row>
    <row r="246" spans="1:21" ht="14.1" customHeight="1">
      <c r="A246" s="75">
        <v>246</v>
      </c>
      <c r="B246" s="497" t="s">
        <v>272</v>
      </c>
      <c r="C246" s="320" t="s">
        <v>273</v>
      </c>
      <c r="D246" s="353" t="s">
        <v>458</v>
      </c>
      <c r="E246" s="354" t="s">
        <v>404</v>
      </c>
      <c r="F246" s="517" t="s">
        <v>300</v>
      </c>
      <c r="G246" s="517" t="s">
        <v>499</v>
      </c>
      <c r="H246" s="72" t="s">
        <v>268</v>
      </c>
      <c r="I246" s="497" t="s">
        <v>98</v>
      </c>
      <c r="J246" s="518">
        <v>44.9</v>
      </c>
      <c r="K246" s="355">
        <f t="shared" si="15"/>
        <v>255</v>
      </c>
      <c r="L246" s="519">
        <v>255</v>
      </c>
      <c r="M246" s="519"/>
      <c r="N246" s="516" t="e">
        <f>IF(L246="nio",0,IF(L246&gt;0,L246*J246/P246,0))*VLOOKUP(B246,'2-Kosten per locatie'!$A$14:$C$23,3,FALSE)</f>
        <v>#DIV/0!</v>
      </c>
      <c r="O246" s="262">
        <f>IF(M246&gt;0,M246*J246/Q246,0)*VLOOKUP(B246,'2-Kosten per locatie'!$A$14:$C$23,3,FALSE)</f>
        <v>0</v>
      </c>
      <c r="P246" s="356">
        <f>IF(L246="nio",0,IF(L246&gt;0,VLOOKUP(G246,'3-Productie normen'!A:L,VLOOKUP(L246,'3-Productie normen'!$B$32:$C$39,2,FALSE),FALSE)))</f>
        <v>0</v>
      </c>
      <c r="Q246" s="356">
        <f t="shared" si="16"/>
        <v>0</v>
      </c>
      <c r="R246" s="357" t="str">
        <f>VLOOKUP(G246,'3-Productie normen'!A:N,14,FALSE)</f>
        <v>B</v>
      </c>
      <c r="S246" s="357"/>
      <c r="U246" s="358">
        <f t="shared" si="17"/>
        <v>11449.5</v>
      </c>
    </row>
    <row r="247" spans="1:21" ht="14.1" customHeight="1">
      <c r="A247" s="75">
        <v>247</v>
      </c>
      <c r="B247" s="498" t="s">
        <v>272</v>
      </c>
      <c r="C247" s="320" t="s">
        <v>273</v>
      </c>
      <c r="D247" s="353" t="s">
        <v>458</v>
      </c>
      <c r="E247" s="354" t="s">
        <v>405</v>
      </c>
      <c r="F247" s="517" t="s">
        <v>300</v>
      </c>
      <c r="G247" s="517" t="s">
        <v>499</v>
      </c>
      <c r="H247" s="72" t="s">
        <v>268</v>
      </c>
      <c r="I247" s="497" t="s">
        <v>98</v>
      </c>
      <c r="J247" s="518">
        <v>25</v>
      </c>
      <c r="K247" s="355">
        <f t="shared" si="15"/>
        <v>255</v>
      </c>
      <c r="L247" s="519">
        <v>255</v>
      </c>
      <c r="M247" s="519"/>
      <c r="N247" s="516" t="e">
        <f>IF(L247="nio",0,IF(L247&gt;0,L247*J247/P247,0))*VLOOKUP(B247,'2-Kosten per locatie'!$A$14:$C$23,3,FALSE)</f>
        <v>#DIV/0!</v>
      </c>
      <c r="O247" s="262">
        <f>IF(M247&gt;0,M247*J247/Q247,0)*VLOOKUP(B247,'2-Kosten per locatie'!$A$14:$C$23,3,FALSE)</f>
        <v>0</v>
      </c>
      <c r="P247" s="356">
        <f>IF(L247="nio",0,IF(L247&gt;0,VLOOKUP(G247,'3-Productie normen'!A:L,VLOOKUP(L247,'3-Productie normen'!$B$32:$C$39,2,FALSE),FALSE)))</f>
        <v>0</v>
      </c>
      <c r="Q247" s="356">
        <f t="shared" si="16"/>
        <v>0</v>
      </c>
      <c r="R247" s="357" t="str">
        <f>VLOOKUP(G247,'3-Productie normen'!A:N,14,FALSE)</f>
        <v>B</v>
      </c>
      <c r="S247" s="357"/>
      <c r="U247" s="358">
        <f t="shared" si="17"/>
        <v>6375</v>
      </c>
    </row>
    <row r="248" spans="1:21" ht="14.1" customHeight="1">
      <c r="A248" s="75">
        <v>248</v>
      </c>
      <c r="B248" s="497" t="s">
        <v>272</v>
      </c>
      <c r="C248" s="320" t="s">
        <v>273</v>
      </c>
      <c r="D248" s="353" t="s">
        <v>458</v>
      </c>
      <c r="E248" s="354" t="s">
        <v>406</v>
      </c>
      <c r="F248" s="517" t="s">
        <v>300</v>
      </c>
      <c r="G248" s="517" t="s">
        <v>499</v>
      </c>
      <c r="H248" s="72" t="s">
        <v>268</v>
      </c>
      <c r="I248" s="497" t="s">
        <v>98</v>
      </c>
      <c r="J248" s="518">
        <v>24.3</v>
      </c>
      <c r="K248" s="355">
        <f t="shared" ref="K248:K311" si="18">SUM(L248:M248)</f>
        <v>255</v>
      </c>
      <c r="L248" s="519">
        <v>255</v>
      </c>
      <c r="M248" s="519"/>
      <c r="N248" s="516" t="e">
        <f>IF(L248="nio",0,IF(L248&gt;0,L248*J248/P248,0))*VLOOKUP(B248,'2-Kosten per locatie'!$A$14:$C$23,3,FALSE)</f>
        <v>#DIV/0!</v>
      </c>
      <c r="O248" s="262">
        <f>IF(M248&gt;0,M248*J248/Q248,0)*VLOOKUP(B248,'2-Kosten per locatie'!$A$14:$C$23,3,FALSE)</f>
        <v>0</v>
      </c>
      <c r="P248" s="356">
        <f>IF(L248="nio",0,IF(L248&gt;0,VLOOKUP(G248,'3-Productie normen'!A:L,VLOOKUP(L248,'3-Productie normen'!$B$32:$C$39,2,FALSE),FALSE)))</f>
        <v>0</v>
      </c>
      <c r="Q248" s="356">
        <f t="shared" si="16"/>
        <v>0</v>
      </c>
      <c r="R248" s="357" t="str">
        <f>VLOOKUP(G248,'3-Productie normen'!A:N,14,FALSE)</f>
        <v>B</v>
      </c>
      <c r="S248" s="357"/>
      <c r="U248" s="358">
        <f t="shared" si="17"/>
        <v>6196.5</v>
      </c>
    </row>
    <row r="249" spans="1:21" ht="14.1" customHeight="1">
      <c r="A249" s="75">
        <v>249</v>
      </c>
      <c r="B249" s="498" t="s">
        <v>272</v>
      </c>
      <c r="C249" s="320" t="s">
        <v>273</v>
      </c>
      <c r="D249" s="353" t="s">
        <v>458</v>
      </c>
      <c r="E249" s="354" t="s">
        <v>407</v>
      </c>
      <c r="F249" s="517" t="s">
        <v>300</v>
      </c>
      <c r="G249" s="517" t="s">
        <v>499</v>
      </c>
      <c r="H249" s="72" t="s">
        <v>268</v>
      </c>
      <c r="I249" s="497" t="s">
        <v>98</v>
      </c>
      <c r="J249" s="518">
        <v>30.7</v>
      </c>
      <c r="K249" s="355">
        <f t="shared" si="18"/>
        <v>255</v>
      </c>
      <c r="L249" s="519">
        <v>255</v>
      </c>
      <c r="M249" s="519"/>
      <c r="N249" s="516" t="e">
        <f>IF(L249="nio",0,IF(L249&gt;0,L249*J249/P249,0))*VLOOKUP(B249,'2-Kosten per locatie'!$A$14:$C$23,3,FALSE)</f>
        <v>#DIV/0!</v>
      </c>
      <c r="O249" s="262">
        <f>IF(M249&gt;0,M249*J249/Q249,0)*VLOOKUP(B249,'2-Kosten per locatie'!$A$14:$C$23,3,FALSE)</f>
        <v>0</v>
      </c>
      <c r="P249" s="356">
        <f>IF(L249="nio",0,IF(L249&gt;0,VLOOKUP(G249,'3-Productie normen'!A:L,VLOOKUP(L249,'3-Productie normen'!$B$32:$C$39,2,FALSE),FALSE)))</f>
        <v>0</v>
      </c>
      <c r="Q249" s="356">
        <f t="shared" si="16"/>
        <v>0</v>
      </c>
      <c r="R249" s="357" t="str">
        <f>VLOOKUP(G249,'3-Productie normen'!A:N,14,FALSE)</f>
        <v>B</v>
      </c>
      <c r="S249" s="357"/>
      <c r="U249" s="358">
        <f t="shared" si="17"/>
        <v>7828.5</v>
      </c>
    </row>
    <row r="250" spans="1:21" ht="14.1" customHeight="1">
      <c r="A250" s="75">
        <v>250</v>
      </c>
      <c r="B250" s="497" t="s">
        <v>272</v>
      </c>
      <c r="C250" s="320" t="s">
        <v>273</v>
      </c>
      <c r="D250" s="353" t="s">
        <v>458</v>
      </c>
      <c r="E250" s="354" t="s">
        <v>408</v>
      </c>
      <c r="F250" s="517" t="s">
        <v>300</v>
      </c>
      <c r="G250" s="517" t="s">
        <v>499</v>
      </c>
      <c r="H250" s="72" t="s">
        <v>268</v>
      </c>
      <c r="I250" s="497" t="s">
        <v>98</v>
      </c>
      <c r="J250" s="518">
        <v>26</v>
      </c>
      <c r="K250" s="355">
        <f t="shared" si="18"/>
        <v>255</v>
      </c>
      <c r="L250" s="519">
        <v>255</v>
      </c>
      <c r="M250" s="519"/>
      <c r="N250" s="516" t="e">
        <f>IF(L250="nio",0,IF(L250&gt;0,L250*J250/P250,0))*VLOOKUP(B250,'2-Kosten per locatie'!$A$14:$C$23,3,FALSE)</f>
        <v>#DIV/0!</v>
      </c>
      <c r="O250" s="262">
        <f>IF(M250&gt;0,M250*J250/Q250,0)*VLOOKUP(B250,'2-Kosten per locatie'!$A$14:$C$23,3,FALSE)</f>
        <v>0</v>
      </c>
      <c r="P250" s="356">
        <f>IF(L250="nio",0,IF(L250&gt;0,VLOOKUP(G250,'3-Productie normen'!A:L,VLOOKUP(L250,'3-Productie normen'!$B$32:$C$39,2,FALSE),FALSE)))</f>
        <v>0</v>
      </c>
      <c r="Q250" s="356">
        <f t="shared" si="16"/>
        <v>0</v>
      </c>
      <c r="R250" s="357" t="str">
        <f>VLOOKUP(G250,'3-Productie normen'!A:N,14,FALSE)</f>
        <v>B</v>
      </c>
      <c r="S250" s="357"/>
      <c r="U250" s="358">
        <f t="shared" si="17"/>
        <v>6630</v>
      </c>
    </row>
    <row r="251" spans="1:21" ht="14.1" customHeight="1">
      <c r="A251" s="75">
        <v>251</v>
      </c>
      <c r="B251" s="498" t="s">
        <v>272</v>
      </c>
      <c r="C251" s="320" t="s">
        <v>273</v>
      </c>
      <c r="D251" s="353" t="s">
        <v>458</v>
      </c>
      <c r="E251" s="354" t="s">
        <v>409</v>
      </c>
      <c r="F251" s="517" t="s">
        <v>300</v>
      </c>
      <c r="G251" s="517" t="s">
        <v>499</v>
      </c>
      <c r="H251" s="72" t="s">
        <v>268</v>
      </c>
      <c r="I251" s="497" t="s">
        <v>98</v>
      </c>
      <c r="J251" s="518">
        <v>58.5</v>
      </c>
      <c r="K251" s="355">
        <f t="shared" si="18"/>
        <v>255</v>
      </c>
      <c r="L251" s="519">
        <v>255</v>
      </c>
      <c r="M251" s="519"/>
      <c r="N251" s="516" t="e">
        <f>IF(L251="nio",0,IF(L251&gt;0,L251*J251/P251,0))*VLOOKUP(B251,'2-Kosten per locatie'!$A$14:$C$23,3,FALSE)</f>
        <v>#DIV/0!</v>
      </c>
      <c r="O251" s="262">
        <f>IF(M251&gt;0,M251*J251/Q251,0)*VLOOKUP(B251,'2-Kosten per locatie'!$A$14:$C$23,3,FALSE)</f>
        <v>0</v>
      </c>
      <c r="P251" s="356">
        <f>IF(L251="nio",0,IF(L251&gt;0,VLOOKUP(G251,'3-Productie normen'!A:L,VLOOKUP(L251,'3-Productie normen'!$B$32:$C$39,2,FALSE),FALSE)))</f>
        <v>0</v>
      </c>
      <c r="Q251" s="356">
        <f t="shared" si="16"/>
        <v>0</v>
      </c>
      <c r="R251" s="357" t="str">
        <f>VLOOKUP(G251,'3-Productie normen'!A:N,14,FALSE)</f>
        <v>B</v>
      </c>
      <c r="S251" s="357"/>
      <c r="U251" s="358">
        <f t="shared" si="17"/>
        <v>14917.5</v>
      </c>
    </row>
    <row r="252" spans="1:21" ht="14.1" customHeight="1">
      <c r="A252" s="75">
        <v>252</v>
      </c>
      <c r="B252" s="497" t="s">
        <v>272</v>
      </c>
      <c r="C252" s="320" t="s">
        <v>273</v>
      </c>
      <c r="D252" s="353" t="s">
        <v>458</v>
      </c>
      <c r="E252" s="354" t="s">
        <v>410</v>
      </c>
      <c r="F252" s="517" t="s">
        <v>300</v>
      </c>
      <c r="G252" s="517" t="s">
        <v>499</v>
      </c>
      <c r="H252" s="72" t="s">
        <v>268</v>
      </c>
      <c r="I252" s="497" t="s">
        <v>98</v>
      </c>
      <c r="J252" s="518">
        <v>25.58</v>
      </c>
      <c r="K252" s="355">
        <f t="shared" si="18"/>
        <v>255</v>
      </c>
      <c r="L252" s="519">
        <v>255</v>
      </c>
      <c r="M252" s="519"/>
      <c r="N252" s="516" t="e">
        <f>IF(L252="nio",0,IF(L252&gt;0,L252*J252/P252,0))*VLOOKUP(B252,'2-Kosten per locatie'!$A$14:$C$23,3,FALSE)</f>
        <v>#DIV/0!</v>
      </c>
      <c r="O252" s="262">
        <f>IF(M252&gt;0,M252*J252/Q252,0)*VLOOKUP(B252,'2-Kosten per locatie'!$A$14:$C$23,3,FALSE)</f>
        <v>0</v>
      </c>
      <c r="P252" s="356">
        <f>IF(L252="nio",0,IF(L252&gt;0,VLOOKUP(G252,'3-Productie normen'!A:L,VLOOKUP(L252,'3-Productie normen'!$B$32:$C$39,2,FALSE),FALSE)))</f>
        <v>0</v>
      </c>
      <c r="Q252" s="356">
        <f t="shared" si="16"/>
        <v>0</v>
      </c>
      <c r="R252" s="357" t="str">
        <f>VLOOKUP(G252,'3-Productie normen'!A:N,14,FALSE)</f>
        <v>B</v>
      </c>
      <c r="S252" s="357"/>
      <c r="U252" s="358">
        <f t="shared" si="17"/>
        <v>6522.9</v>
      </c>
    </row>
    <row r="253" spans="1:21" ht="14.1" customHeight="1">
      <c r="A253" s="75">
        <v>253</v>
      </c>
      <c r="B253" s="498" t="s">
        <v>272</v>
      </c>
      <c r="C253" s="320" t="s">
        <v>273</v>
      </c>
      <c r="D253" s="353" t="s">
        <v>458</v>
      </c>
      <c r="E253" s="354" t="s">
        <v>411</v>
      </c>
      <c r="F253" s="517" t="s">
        <v>300</v>
      </c>
      <c r="G253" s="517" t="s">
        <v>499</v>
      </c>
      <c r="H253" s="72" t="s">
        <v>268</v>
      </c>
      <c r="I253" s="497" t="s">
        <v>98</v>
      </c>
      <c r="J253" s="518">
        <v>34.200000000000003</v>
      </c>
      <c r="K253" s="355">
        <f t="shared" si="18"/>
        <v>255</v>
      </c>
      <c r="L253" s="519">
        <v>255</v>
      </c>
      <c r="M253" s="519"/>
      <c r="N253" s="516" t="e">
        <f>IF(L253="nio",0,IF(L253&gt;0,L253*J253/P253,0))*VLOOKUP(B253,'2-Kosten per locatie'!$A$14:$C$23,3,FALSE)</f>
        <v>#DIV/0!</v>
      </c>
      <c r="O253" s="262">
        <f>IF(M253&gt;0,M253*J253/Q253,0)*VLOOKUP(B253,'2-Kosten per locatie'!$A$14:$C$23,3,FALSE)</f>
        <v>0</v>
      </c>
      <c r="P253" s="356">
        <f>IF(L253="nio",0,IF(L253&gt;0,VLOOKUP(G253,'3-Productie normen'!A:L,VLOOKUP(L253,'3-Productie normen'!$B$32:$C$39,2,FALSE),FALSE)))</f>
        <v>0</v>
      </c>
      <c r="Q253" s="356">
        <f t="shared" si="16"/>
        <v>0</v>
      </c>
      <c r="R253" s="357" t="str">
        <f>VLOOKUP(G253,'3-Productie normen'!A:N,14,FALSE)</f>
        <v>B</v>
      </c>
      <c r="S253" s="357"/>
      <c r="U253" s="358">
        <f t="shared" si="17"/>
        <v>8721</v>
      </c>
    </row>
    <row r="254" spans="1:21" ht="14.1" customHeight="1">
      <c r="A254" s="75">
        <v>254</v>
      </c>
      <c r="B254" s="497" t="s">
        <v>272</v>
      </c>
      <c r="C254" s="320" t="s">
        <v>273</v>
      </c>
      <c r="D254" s="353" t="s">
        <v>458</v>
      </c>
      <c r="E254" s="354" t="s">
        <v>412</v>
      </c>
      <c r="F254" s="517" t="s">
        <v>262</v>
      </c>
      <c r="G254" s="517" t="s">
        <v>63</v>
      </c>
      <c r="H254" s="72" t="s">
        <v>268</v>
      </c>
      <c r="I254" s="497" t="s">
        <v>98</v>
      </c>
      <c r="J254" s="518">
        <v>11.4</v>
      </c>
      <c r="K254" s="355">
        <f t="shared" si="18"/>
        <v>255</v>
      </c>
      <c r="L254" s="519">
        <v>255</v>
      </c>
      <c r="M254" s="519"/>
      <c r="N254" s="516" t="e">
        <f>IF(L254="nio",0,IF(L254&gt;0,L254*J254/P254,0))*VLOOKUP(B254,'2-Kosten per locatie'!$A$14:$C$23,3,FALSE)</f>
        <v>#DIV/0!</v>
      </c>
      <c r="O254" s="262">
        <f>IF(M254&gt;0,M254*J254/Q254,0)*VLOOKUP(B254,'2-Kosten per locatie'!$A$14:$C$23,3,FALSE)</f>
        <v>0</v>
      </c>
      <c r="P254" s="356">
        <f>IF(L254="nio",0,IF(L254&gt;0,VLOOKUP(G254,'3-Productie normen'!A:L,VLOOKUP(L254,'3-Productie normen'!$B$32:$C$39,2,FALSE),FALSE)))</f>
        <v>0</v>
      </c>
      <c r="Q254" s="356">
        <f t="shared" si="16"/>
        <v>0</v>
      </c>
      <c r="R254" s="357" t="str">
        <f>VLOOKUP(G254,'3-Productie normen'!A:N,14,FALSE)</f>
        <v>B</v>
      </c>
      <c r="S254" s="357"/>
      <c r="U254" s="358">
        <f t="shared" si="17"/>
        <v>2907</v>
      </c>
    </row>
    <row r="255" spans="1:21" ht="14.1" customHeight="1">
      <c r="A255" s="75">
        <v>255</v>
      </c>
      <c r="B255" s="498" t="s">
        <v>272</v>
      </c>
      <c r="C255" s="320" t="s">
        <v>273</v>
      </c>
      <c r="D255" s="353" t="s">
        <v>458</v>
      </c>
      <c r="E255" s="354" t="s">
        <v>413</v>
      </c>
      <c r="F255" s="517" t="s">
        <v>300</v>
      </c>
      <c r="G255" s="517" t="s">
        <v>499</v>
      </c>
      <c r="H255" s="72" t="s">
        <v>268</v>
      </c>
      <c r="I255" s="497" t="s">
        <v>98</v>
      </c>
      <c r="J255" s="518">
        <v>33.700000000000003</v>
      </c>
      <c r="K255" s="355">
        <f t="shared" si="18"/>
        <v>255</v>
      </c>
      <c r="L255" s="519">
        <v>255</v>
      </c>
      <c r="M255" s="519"/>
      <c r="N255" s="516" t="e">
        <f>IF(L255="nio",0,IF(L255&gt;0,L255*J255/P255,0))*VLOOKUP(B255,'2-Kosten per locatie'!$A$14:$C$23,3,FALSE)</f>
        <v>#DIV/0!</v>
      </c>
      <c r="O255" s="262">
        <f>IF(M255&gt;0,M255*J255/Q255,0)*VLOOKUP(B255,'2-Kosten per locatie'!$A$14:$C$23,3,FALSE)</f>
        <v>0</v>
      </c>
      <c r="P255" s="356">
        <f>IF(L255="nio",0,IF(L255&gt;0,VLOOKUP(G255,'3-Productie normen'!A:L,VLOOKUP(L255,'3-Productie normen'!$B$32:$C$39,2,FALSE),FALSE)))</f>
        <v>0</v>
      </c>
      <c r="Q255" s="356">
        <f t="shared" si="16"/>
        <v>0</v>
      </c>
      <c r="R255" s="357" t="str">
        <f>VLOOKUP(G255,'3-Productie normen'!A:N,14,FALSE)</f>
        <v>B</v>
      </c>
      <c r="S255" s="357"/>
      <c r="U255" s="358">
        <f t="shared" si="17"/>
        <v>8593.5</v>
      </c>
    </row>
    <row r="256" spans="1:21" ht="14.1" customHeight="1">
      <c r="A256" s="75">
        <v>256</v>
      </c>
      <c r="B256" s="497" t="s">
        <v>272</v>
      </c>
      <c r="C256" s="320" t="s">
        <v>273</v>
      </c>
      <c r="D256" s="353" t="s">
        <v>458</v>
      </c>
      <c r="E256" s="354" t="s">
        <v>414</v>
      </c>
      <c r="F256" s="517" t="s">
        <v>300</v>
      </c>
      <c r="G256" s="517" t="s">
        <v>499</v>
      </c>
      <c r="H256" s="72" t="s">
        <v>268</v>
      </c>
      <c r="I256" s="497" t="s">
        <v>98</v>
      </c>
      <c r="J256" s="518">
        <v>44.4</v>
      </c>
      <c r="K256" s="355">
        <f t="shared" si="18"/>
        <v>255</v>
      </c>
      <c r="L256" s="519">
        <v>255</v>
      </c>
      <c r="M256" s="519"/>
      <c r="N256" s="516" t="e">
        <f>IF(L256="nio",0,IF(L256&gt;0,L256*J256/P256,0))*VLOOKUP(B256,'2-Kosten per locatie'!$A$14:$C$23,3,FALSE)</f>
        <v>#DIV/0!</v>
      </c>
      <c r="O256" s="262">
        <f>IF(M256&gt;0,M256*J256/Q256,0)*VLOOKUP(B256,'2-Kosten per locatie'!$A$14:$C$23,3,FALSE)</f>
        <v>0</v>
      </c>
      <c r="P256" s="356">
        <f>IF(L256="nio",0,IF(L256&gt;0,VLOOKUP(G256,'3-Productie normen'!A:L,VLOOKUP(L256,'3-Productie normen'!$B$32:$C$39,2,FALSE),FALSE)))</f>
        <v>0</v>
      </c>
      <c r="Q256" s="356">
        <f t="shared" si="16"/>
        <v>0</v>
      </c>
      <c r="R256" s="357" t="str">
        <f>VLOOKUP(G256,'3-Productie normen'!A:N,14,FALSE)</f>
        <v>B</v>
      </c>
      <c r="S256" s="357"/>
      <c r="U256" s="358">
        <f t="shared" si="17"/>
        <v>11322</v>
      </c>
    </row>
    <row r="257" spans="1:21" ht="14.1" customHeight="1">
      <c r="A257" s="75">
        <v>257</v>
      </c>
      <c r="B257" s="498" t="s">
        <v>272</v>
      </c>
      <c r="C257" s="320" t="s">
        <v>273</v>
      </c>
      <c r="D257" s="353" t="s">
        <v>458</v>
      </c>
      <c r="E257" s="354" t="s">
        <v>415</v>
      </c>
      <c r="F257" s="517" t="s">
        <v>300</v>
      </c>
      <c r="G257" s="517" t="s">
        <v>499</v>
      </c>
      <c r="H257" s="72" t="s">
        <v>268</v>
      </c>
      <c r="I257" s="497" t="s">
        <v>98</v>
      </c>
      <c r="J257" s="518">
        <v>22</v>
      </c>
      <c r="K257" s="355">
        <f t="shared" si="18"/>
        <v>255</v>
      </c>
      <c r="L257" s="519">
        <v>255</v>
      </c>
      <c r="M257" s="519"/>
      <c r="N257" s="516" t="e">
        <f>IF(L257="nio",0,IF(L257&gt;0,L257*J257/P257,0))*VLOOKUP(B257,'2-Kosten per locatie'!$A$14:$C$23,3,FALSE)</f>
        <v>#DIV/0!</v>
      </c>
      <c r="O257" s="262">
        <f>IF(M257&gt;0,M257*J257/Q257,0)*VLOOKUP(B257,'2-Kosten per locatie'!$A$14:$C$23,3,FALSE)</f>
        <v>0</v>
      </c>
      <c r="P257" s="356">
        <f>IF(L257="nio",0,IF(L257&gt;0,VLOOKUP(G257,'3-Productie normen'!A:L,VLOOKUP(L257,'3-Productie normen'!$B$32:$C$39,2,FALSE),FALSE)))</f>
        <v>0</v>
      </c>
      <c r="Q257" s="356">
        <f t="shared" si="16"/>
        <v>0</v>
      </c>
      <c r="R257" s="357" t="str">
        <f>VLOOKUP(G257,'3-Productie normen'!A:N,14,FALSE)</f>
        <v>B</v>
      </c>
      <c r="S257" s="357"/>
      <c r="U257" s="358">
        <f t="shared" si="17"/>
        <v>5610</v>
      </c>
    </row>
    <row r="258" spans="1:21" ht="14.1" customHeight="1">
      <c r="A258" s="75">
        <v>258</v>
      </c>
      <c r="B258" s="497" t="s">
        <v>272</v>
      </c>
      <c r="C258" s="320" t="s">
        <v>273</v>
      </c>
      <c r="D258" s="353" t="s">
        <v>458</v>
      </c>
      <c r="E258" s="354" t="s">
        <v>416</v>
      </c>
      <c r="F258" s="517" t="s">
        <v>300</v>
      </c>
      <c r="G258" s="517" t="s">
        <v>499</v>
      </c>
      <c r="H258" s="72" t="s">
        <v>268</v>
      </c>
      <c r="I258" s="497" t="s">
        <v>98</v>
      </c>
      <c r="J258" s="518">
        <v>33.6</v>
      </c>
      <c r="K258" s="355">
        <f t="shared" si="18"/>
        <v>255</v>
      </c>
      <c r="L258" s="519">
        <v>255</v>
      </c>
      <c r="M258" s="519"/>
      <c r="N258" s="516" t="e">
        <f>IF(L258="nio",0,IF(L258&gt;0,L258*J258/P258,0))*VLOOKUP(B258,'2-Kosten per locatie'!$A$14:$C$23,3,FALSE)</f>
        <v>#DIV/0!</v>
      </c>
      <c r="O258" s="262">
        <f>IF(M258&gt;0,M258*J258/Q258,0)*VLOOKUP(B258,'2-Kosten per locatie'!$A$14:$C$23,3,FALSE)</f>
        <v>0</v>
      </c>
      <c r="P258" s="356">
        <f>IF(L258="nio",0,IF(L258&gt;0,VLOOKUP(G258,'3-Productie normen'!A:L,VLOOKUP(L258,'3-Productie normen'!$B$32:$C$39,2,FALSE),FALSE)))</f>
        <v>0</v>
      </c>
      <c r="Q258" s="356">
        <f t="shared" si="16"/>
        <v>0</v>
      </c>
      <c r="R258" s="357" t="str">
        <f>VLOOKUP(G258,'3-Productie normen'!A:N,14,FALSE)</f>
        <v>B</v>
      </c>
      <c r="S258" s="357"/>
      <c r="U258" s="358">
        <f t="shared" si="17"/>
        <v>8568</v>
      </c>
    </row>
    <row r="259" spans="1:21" ht="14.1" customHeight="1">
      <c r="A259" s="75">
        <v>259</v>
      </c>
      <c r="B259" s="498" t="s">
        <v>272</v>
      </c>
      <c r="C259" s="320" t="s">
        <v>273</v>
      </c>
      <c r="D259" s="353" t="s">
        <v>458</v>
      </c>
      <c r="E259" s="354" t="s">
        <v>417</v>
      </c>
      <c r="F259" s="517" t="s">
        <v>300</v>
      </c>
      <c r="G259" s="517" t="s">
        <v>499</v>
      </c>
      <c r="H259" s="72" t="s">
        <v>268</v>
      </c>
      <c r="I259" s="497" t="s">
        <v>98</v>
      </c>
      <c r="J259" s="518">
        <v>33.700000000000003</v>
      </c>
      <c r="K259" s="355">
        <f t="shared" si="18"/>
        <v>255</v>
      </c>
      <c r="L259" s="519">
        <v>255</v>
      </c>
      <c r="M259" s="519"/>
      <c r="N259" s="516" t="e">
        <f>IF(L259="nio",0,IF(L259&gt;0,L259*J259/P259,0))*VLOOKUP(B259,'2-Kosten per locatie'!$A$14:$C$23,3,FALSE)</f>
        <v>#DIV/0!</v>
      </c>
      <c r="O259" s="262">
        <f>IF(M259&gt;0,M259*J259/Q259,0)*VLOOKUP(B259,'2-Kosten per locatie'!$A$14:$C$23,3,FALSE)</f>
        <v>0</v>
      </c>
      <c r="P259" s="356">
        <f>IF(L259="nio",0,IF(L259&gt;0,VLOOKUP(G259,'3-Productie normen'!A:L,VLOOKUP(L259,'3-Productie normen'!$B$32:$C$39,2,FALSE),FALSE)))</f>
        <v>0</v>
      </c>
      <c r="Q259" s="356">
        <f t="shared" si="16"/>
        <v>0</v>
      </c>
      <c r="R259" s="357" t="str">
        <f>VLOOKUP(G259,'3-Productie normen'!A:N,14,FALSE)</f>
        <v>B</v>
      </c>
      <c r="S259" s="357"/>
      <c r="U259" s="358">
        <f t="shared" si="17"/>
        <v>8593.5</v>
      </c>
    </row>
    <row r="260" spans="1:21" ht="14.1" customHeight="1">
      <c r="A260" s="75">
        <v>260</v>
      </c>
      <c r="B260" s="497" t="s">
        <v>272</v>
      </c>
      <c r="C260" s="320" t="s">
        <v>273</v>
      </c>
      <c r="D260" s="353" t="s">
        <v>458</v>
      </c>
      <c r="E260" s="354" t="s">
        <v>418</v>
      </c>
      <c r="F260" s="517" t="s">
        <v>262</v>
      </c>
      <c r="G260" s="517" t="s">
        <v>63</v>
      </c>
      <c r="H260" s="72" t="s">
        <v>268</v>
      </c>
      <c r="I260" s="497" t="s">
        <v>98</v>
      </c>
      <c r="J260" s="518">
        <v>58.7</v>
      </c>
      <c r="K260" s="355">
        <f t="shared" si="18"/>
        <v>255</v>
      </c>
      <c r="L260" s="519">
        <v>255</v>
      </c>
      <c r="M260" s="519"/>
      <c r="N260" s="516" t="e">
        <f>IF(L260="nio",0,IF(L260&gt;0,L260*J260/P260,0))*VLOOKUP(B260,'2-Kosten per locatie'!$A$14:$C$23,3,FALSE)</f>
        <v>#DIV/0!</v>
      </c>
      <c r="O260" s="262">
        <f>IF(M260&gt;0,M260*J260/Q260,0)*VLOOKUP(B260,'2-Kosten per locatie'!$A$14:$C$23,3,FALSE)</f>
        <v>0</v>
      </c>
      <c r="P260" s="356">
        <f>IF(L260="nio",0,IF(L260&gt;0,VLOOKUP(G260,'3-Productie normen'!A:L,VLOOKUP(L260,'3-Productie normen'!$B$32:$C$39,2,FALSE),FALSE)))</f>
        <v>0</v>
      </c>
      <c r="Q260" s="356">
        <f t="shared" si="16"/>
        <v>0</v>
      </c>
      <c r="R260" s="357" t="str">
        <f>VLOOKUP(G260,'3-Productie normen'!A:N,14,FALSE)</f>
        <v>B</v>
      </c>
      <c r="S260" s="357"/>
      <c r="U260" s="358">
        <f t="shared" si="17"/>
        <v>14968.5</v>
      </c>
    </row>
    <row r="261" spans="1:21" ht="14.1" customHeight="1">
      <c r="A261" s="75">
        <v>261</v>
      </c>
      <c r="B261" s="498" t="s">
        <v>272</v>
      </c>
      <c r="C261" s="320" t="s">
        <v>273</v>
      </c>
      <c r="D261" s="353" t="s">
        <v>458</v>
      </c>
      <c r="E261" s="354" t="s">
        <v>419</v>
      </c>
      <c r="F261" s="517" t="s">
        <v>262</v>
      </c>
      <c r="G261" s="517" t="s">
        <v>63</v>
      </c>
      <c r="H261" s="72" t="s">
        <v>268</v>
      </c>
      <c r="I261" s="497" t="s">
        <v>98</v>
      </c>
      <c r="J261" s="518">
        <v>11.2</v>
      </c>
      <c r="K261" s="355">
        <f t="shared" si="18"/>
        <v>255</v>
      </c>
      <c r="L261" s="519">
        <v>255</v>
      </c>
      <c r="M261" s="519"/>
      <c r="N261" s="516" t="e">
        <f>IF(L261="nio",0,IF(L261&gt;0,L261*J261/P261,0))*VLOOKUP(B261,'2-Kosten per locatie'!$A$14:$C$23,3,FALSE)</f>
        <v>#DIV/0!</v>
      </c>
      <c r="O261" s="262">
        <f>IF(M261&gt;0,M261*J261/Q261,0)*VLOOKUP(B261,'2-Kosten per locatie'!$A$14:$C$23,3,FALSE)</f>
        <v>0</v>
      </c>
      <c r="P261" s="356">
        <f>IF(L261="nio",0,IF(L261&gt;0,VLOOKUP(G261,'3-Productie normen'!A:L,VLOOKUP(L261,'3-Productie normen'!$B$32:$C$39,2,FALSE),FALSE)))</f>
        <v>0</v>
      </c>
      <c r="Q261" s="356">
        <f t="shared" si="16"/>
        <v>0</v>
      </c>
      <c r="R261" s="357" t="str">
        <f>VLOOKUP(G261,'3-Productie normen'!A:N,14,FALSE)</f>
        <v>B</v>
      </c>
      <c r="S261" s="357"/>
      <c r="U261" s="358">
        <f t="shared" si="17"/>
        <v>2856</v>
      </c>
    </row>
    <row r="262" spans="1:21" ht="14.1" customHeight="1">
      <c r="A262" s="75">
        <v>262</v>
      </c>
      <c r="B262" s="497" t="s">
        <v>272</v>
      </c>
      <c r="C262" s="320" t="s">
        <v>273</v>
      </c>
      <c r="D262" s="353" t="s">
        <v>458</v>
      </c>
      <c r="E262" s="354" t="s">
        <v>420</v>
      </c>
      <c r="F262" s="517" t="s">
        <v>262</v>
      </c>
      <c r="G262" s="517" t="s">
        <v>63</v>
      </c>
      <c r="H262" s="72" t="s">
        <v>268</v>
      </c>
      <c r="I262" s="497" t="s">
        <v>98</v>
      </c>
      <c r="J262" s="518">
        <v>11.6</v>
      </c>
      <c r="K262" s="355">
        <f t="shared" si="18"/>
        <v>255</v>
      </c>
      <c r="L262" s="519">
        <v>255</v>
      </c>
      <c r="M262" s="519"/>
      <c r="N262" s="516" t="e">
        <f>IF(L262="nio",0,IF(L262&gt;0,L262*J262/P262,0))*VLOOKUP(B262,'2-Kosten per locatie'!$A$14:$C$23,3,FALSE)</f>
        <v>#DIV/0!</v>
      </c>
      <c r="O262" s="262">
        <f>IF(M262&gt;0,M262*J262/Q262,0)*VLOOKUP(B262,'2-Kosten per locatie'!$A$14:$C$23,3,FALSE)</f>
        <v>0</v>
      </c>
      <c r="P262" s="356">
        <f>IF(L262="nio",0,IF(L262&gt;0,VLOOKUP(G262,'3-Productie normen'!A:L,VLOOKUP(L262,'3-Productie normen'!$B$32:$C$39,2,FALSE),FALSE)))</f>
        <v>0</v>
      </c>
      <c r="Q262" s="356">
        <f t="shared" si="16"/>
        <v>0</v>
      </c>
      <c r="R262" s="357" t="str">
        <f>VLOOKUP(G262,'3-Productie normen'!A:N,14,FALSE)</f>
        <v>B</v>
      </c>
      <c r="S262" s="357"/>
      <c r="U262" s="358">
        <f t="shared" si="17"/>
        <v>2958</v>
      </c>
    </row>
    <row r="263" spans="1:21" ht="14.1" customHeight="1">
      <c r="A263" s="75">
        <v>263</v>
      </c>
      <c r="B263" s="498" t="s">
        <v>272</v>
      </c>
      <c r="C263" s="320" t="s">
        <v>273</v>
      </c>
      <c r="D263" s="353" t="s">
        <v>458</v>
      </c>
      <c r="E263" s="354" t="s">
        <v>421</v>
      </c>
      <c r="F263" s="517" t="s">
        <v>262</v>
      </c>
      <c r="G263" s="517" t="s">
        <v>63</v>
      </c>
      <c r="H263" s="72" t="s">
        <v>268</v>
      </c>
      <c r="I263" s="497" t="s">
        <v>98</v>
      </c>
      <c r="J263" s="518">
        <v>13.6</v>
      </c>
      <c r="K263" s="355">
        <f t="shared" si="18"/>
        <v>255</v>
      </c>
      <c r="L263" s="519">
        <v>255</v>
      </c>
      <c r="M263" s="519"/>
      <c r="N263" s="516" t="e">
        <f>IF(L263="nio",0,IF(L263&gt;0,L263*J263/P263,0))*VLOOKUP(B263,'2-Kosten per locatie'!$A$14:$C$23,3,FALSE)</f>
        <v>#DIV/0!</v>
      </c>
      <c r="O263" s="262">
        <f>IF(M263&gt;0,M263*J263/Q263,0)*VLOOKUP(B263,'2-Kosten per locatie'!$A$14:$C$23,3,FALSE)</f>
        <v>0</v>
      </c>
      <c r="P263" s="356">
        <f>IF(L263="nio",0,IF(L263&gt;0,VLOOKUP(G263,'3-Productie normen'!A:L,VLOOKUP(L263,'3-Productie normen'!$B$32:$C$39,2,FALSE),FALSE)))</f>
        <v>0</v>
      </c>
      <c r="Q263" s="356">
        <f t="shared" si="16"/>
        <v>0</v>
      </c>
      <c r="R263" s="357" t="str">
        <f>VLOOKUP(G263,'3-Productie normen'!A:N,14,FALSE)</f>
        <v>B</v>
      </c>
      <c r="S263" s="357"/>
      <c r="U263" s="358">
        <f t="shared" si="17"/>
        <v>3468</v>
      </c>
    </row>
    <row r="264" spans="1:21" ht="14.1" customHeight="1">
      <c r="A264" s="75">
        <v>264</v>
      </c>
      <c r="B264" s="497" t="s">
        <v>272</v>
      </c>
      <c r="C264" s="320" t="s">
        <v>273</v>
      </c>
      <c r="D264" s="353" t="s">
        <v>458</v>
      </c>
      <c r="E264" s="354" t="s">
        <v>422</v>
      </c>
      <c r="F264" s="517" t="s">
        <v>263</v>
      </c>
      <c r="G264" s="517" t="s">
        <v>502</v>
      </c>
      <c r="H264" s="72" t="s">
        <v>461</v>
      </c>
      <c r="I264" s="497" t="s">
        <v>95</v>
      </c>
      <c r="J264" s="518">
        <v>12.7</v>
      </c>
      <c r="K264" s="355">
        <f t="shared" si="18"/>
        <v>4</v>
      </c>
      <c r="L264" s="519">
        <v>4</v>
      </c>
      <c r="M264" s="519"/>
      <c r="N264" s="516" t="e">
        <f>IF(L264="nio",0,IF(L264&gt;0,L264*J264/P264,0))*VLOOKUP(B264,'2-Kosten per locatie'!$A$14:$C$23,3,FALSE)</f>
        <v>#DIV/0!</v>
      </c>
      <c r="O264" s="262">
        <f>IF(M264&gt;0,M264*J264/Q264,0)*VLOOKUP(B264,'2-Kosten per locatie'!$A$14:$C$23,3,FALSE)</f>
        <v>0</v>
      </c>
      <c r="P264" s="356">
        <f>IF(L264="nio",0,IF(L264&gt;0,VLOOKUP(G264,'3-Productie normen'!A:L,VLOOKUP(L264,'3-Productie normen'!$B$32:$C$39,2,FALSE),FALSE)))</f>
        <v>0</v>
      </c>
      <c r="Q264" s="356">
        <f t="shared" si="16"/>
        <v>0</v>
      </c>
      <c r="R264" s="357" t="str">
        <f>VLOOKUP(G264,'3-Productie normen'!A:N,14,FALSE)</f>
        <v>V</v>
      </c>
      <c r="S264" s="357"/>
      <c r="U264" s="358">
        <f t="shared" si="17"/>
        <v>50.8</v>
      </c>
    </row>
    <row r="265" spans="1:21" ht="14.1" customHeight="1">
      <c r="A265" s="75">
        <v>265</v>
      </c>
      <c r="B265" s="498" t="s">
        <v>272</v>
      </c>
      <c r="C265" s="320" t="s">
        <v>273</v>
      </c>
      <c r="D265" s="353" t="s">
        <v>458</v>
      </c>
      <c r="E265" s="354"/>
      <c r="F265" s="517" t="s">
        <v>257</v>
      </c>
      <c r="G265" s="517" t="s">
        <v>60</v>
      </c>
      <c r="H265" s="72" t="s">
        <v>268</v>
      </c>
      <c r="I265" s="497" t="s">
        <v>98</v>
      </c>
      <c r="J265" s="518">
        <v>165.4</v>
      </c>
      <c r="K265" s="355">
        <f t="shared" si="18"/>
        <v>255</v>
      </c>
      <c r="L265" s="519">
        <v>255</v>
      </c>
      <c r="M265" s="519"/>
      <c r="N265" s="516" t="e">
        <f>IF(L265="nio",0,IF(L265&gt;0,L265*J265/P265,0))*VLOOKUP(B265,'2-Kosten per locatie'!$A$14:$C$23,3,FALSE)</f>
        <v>#DIV/0!</v>
      </c>
      <c r="O265" s="262">
        <f>IF(M265&gt;0,M265*J265/Q265,0)*VLOOKUP(B265,'2-Kosten per locatie'!$A$14:$C$23,3,FALSE)</f>
        <v>0</v>
      </c>
      <c r="P265" s="356">
        <f>IF(L265="nio",0,IF(L265&gt;0,VLOOKUP(G265,'3-Productie normen'!A:L,VLOOKUP(L265,'3-Productie normen'!$B$32:$C$39,2,FALSE),FALSE)))</f>
        <v>0</v>
      </c>
      <c r="Q265" s="356">
        <f t="shared" si="16"/>
        <v>0</v>
      </c>
      <c r="R265" s="357" t="str">
        <f>VLOOKUP(G265,'3-Productie normen'!A:N,14,FALSE)</f>
        <v>V</v>
      </c>
      <c r="S265" s="357"/>
      <c r="U265" s="358">
        <f t="shared" si="17"/>
        <v>42177</v>
      </c>
    </row>
    <row r="266" spans="1:21" ht="14.1" customHeight="1">
      <c r="A266" s="75">
        <v>266</v>
      </c>
      <c r="B266" s="497" t="s">
        <v>272</v>
      </c>
      <c r="C266" s="320" t="s">
        <v>273</v>
      </c>
      <c r="D266" s="353" t="s">
        <v>458</v>
      </c>
      <c r="E266" s="354" t="s">
        <v>423</v>
      </c>
      <c r="F266" s="517" t="s">
        <v>264</v>
      </c>
      <c r="G266" s="517" t="s">
        <v>500</v>
      </c>
      <c r="H266" s="72" t="s">
        <v>268</v>
      </c>
      <c r="I266" s="497" t="s">
        <v>98</v>
      </c>
      <c r="J266" s="518">
        <v>5</v>
      </c>
      <c r="K266" s="355">
        <f t="shared" si="18"/>
        <v>255</v>
      </c>
      <c r="L266" s="519">
        <v>255</v>
      </c>
      <c r="M266" s="519"/>
      <c r="N266" s="516" t="e">
        <f>IF(L266="nio",0,IF(L266&gt;0,L266*J266/P266,0))*VLOOKUP(B266,'2-Kosten per locatie'!$A$14:$C$23,3,FALSE)</f>
        <v>#DIV/0!</v>
      </c>
      <c r="O266" s="262">
        <f>IF(M266&gt;0,M266*J266/Q266,0)*VLOOKUP(B266,'2-Kosten per locatie'!$A$14:$C$23,3,FALSE)</f>
        <v>0</v>
      </c>
      <c r="P266" s="356">
        <f>IF(L266="nio",0,IF(L266&gt;0,VLOOKUP(G266,'3-Productie normen'!A:L,VLOOKUP(L266,'3-Productie normen'!$B$32:$C$39,2,FALSE),FALSE)))</f>
        <v>0</v>
      </c>
      <c r="Q266" s="356">
        <f t="shared" si="16"/>
        <v>0</v>
      </c>
      <c r="R266" s="357" t="str">
        <f>VLOOKUP(G266,'3-Productie normen'!A:N,14,FALSE)</f>
        <v>V</v>
      </c>
      <c r="S266" s="357"/>
      <c r="U266" s="358">
        <f t="shared" si="17"/>
        <v>1275</v>
      </c>
    </row>
    <row r="267" spans="1:21" ht="14.1" customHeight="1">
      <c r="A267" s="75">
        <v>267</v>
      </c>
      <c r="B267" s="498" t="s">
        <v>272</v>
      </c>
      <c r="C267" s="320" t="s">
        <v>273</v>
      </c>
      <c r="D267" s="353" t="s">
        <v>458</v>
      </c>
      <c r="E267" s="354"/>
      <c r="F267" s="517" t="s">
        <v>65</v>
      </c>
      <c r="G267" s="517" t="s">
        <v>65</v>
      </c>
      <c r="H267" s="72" t="s">
        <v>268</v>
      </c>
      <c r="I267" s="497" t="s">
        <v>98</v>
      </c>
      <c r="J267" s="518">
        <v>17.5</v>
      </c>
      <c r="K267" s="355">
        <f t="shared" si="18"/>
        <v>255</v>
      </c>
      <c r="L267" s="519">
        <v>255</v>
      </c>
      <c r="M267" s="519"/>
      <c r="N267" s="516" t="e">
        <f>IF(L267="nio",0,IF(L267&gt;0,L267*J267/P267,0))*VLOOKUP(B267,'2-Kosten per locatie'!$A$14:$C$23,3,FALSE)</f>
        <v>#DIV/0!</v>
      </c>
      <c r="O267" s="262">
        <f>IF(M267&gt;0,M267*J267/Q267,0)*VLOOKUP(B267,'2-Kosten per locatie'!$A$14:$C$23,3,FALSE)</f>
        <v>0</v>
      </c>
      <c r="P267" s="356">
        <f>IF(L267="nio",0,IF(L267&gt;0,VLOOKUP(G267,'3-Productie normen'!A:L,VLOOKUP(L267,'3-Productie normen'!$B$32:$C$39,2,FALSE),FALSE)))</f>
        <v>0</v>
      </c>
      <c r="Q267" s="356">
        <f t="shared" si="16"/>
        <v>0</v>
      </c>
      <c r="R267" s="357" t="str">
        <f>VLOOKUP(G267,'3-Productie normen'!A:N,14,FALSE)</f>
        <v>V</v>
      </c>
      <c r="S267" s="357"/>
      <c r="U267" s="358">
        <f t="shared" si="17"/>
        <v>4462.5</v>
      </c>
    </row>
    <row r="268" spans="1:21" ht="14.1" customHeight="1">
      <c r="A268" s="75">
        <v>268</v>
      </c>
      <c r="B268" s="497" t="s">
        <v>272</v>
      </c>
      <c r="C268" s="320" t="s">
        <v>273</v>
      </c>
      <c r="D268" s="353" t="s">
        <v>458</v>
      </c>
      <c r="E268" s="354"/>
      <c r="F268" s="517" t="s">
        <v>66</v>
      </c>
      <c r="G268" s="517" t="s">
        <v>66</v>
      </c>
      <c r="H268" s="72" t="s">
        <v>269</v>
      </c>
      <c r="I268" s="497" t="s">
        <v>99</v>
      </c>
      <c r="J268" s="518"/>
      <c r="K268" s="355">
        <f t="shared" si="18"/>
        <v>0</v>
      </c>
      <c r="L268" s="519" t="s">
        <v>463</v>
      </c>
      <c r="M268" s="519"/>
      <c r="N268" s="516">
        <f>IF(L268="nio",0,IF(L268&gt;0,L268*J268/P268,0))*VLOOKUP(B268,'2-Kosten per locatie'!$A$14:$C$23,3,FALSE)</f>
        <v>0</v>
      </c>
      <c r="O268" s="262">
        <f>IF(M268&gt;0,M268*J268/Q268,0)*VLOOKUP(B268,'2-Kosten per locatie'!$A$14:$C$23,3,FALSE)</f>
        <v>0</v>
      </c>
      <c r="P268" s="356">
        <f>IF(L268="nio",0,IF(L268&gt;0,VLOOKUP(G268,'3-Productie normen'!A:L,VLOOKUP(L268,'3-Productie normen'!$B$32:$C$39,2,FALSE),FALSE)))</f>
        <v>0</v>
      </c>
      <c r="Q268" s="356">
        <f t="shared" si="16"/>
        <v>0</v>
      </c>
      <c r="R268" s="357" t="str">
        <f>VLOOKUP(G268,'3-Productie normen'!A:N,14,FALSE)</f>
        <v>V</v>
      </c>
      <c r="S268" s="357"/>
      <c r="U268" s="358">
        <f t="shared" si="17"/>
        <v>0</v>
      </c>
    </row>
    <row r="269" spans="1:21" ht="14.1" customHeight="1">
      <c r="A269" s="75">
        <v>269</v>
      </c>
      <c r="B269" s="498" t="s">
        <v>272</v>
      </c>
      <c r="C269" s="320" t="s">
        <v>273</v>
      </c>
      <c r="D269" s="353" t="s">
        <v>458</v>
      </c>
      <c r="E269" s="354" t="s">
        <v>424</v>
      </c>
      <c r="F269" s="517" t="s">
        <v>259</v>
      </c>
      <c r="G269" s="517" t="s">
        <v>58</v>
      </c>
      <c r="H269" s="72" t="s">
        <v>269</v>
      </c>
      <c r="I269" s="497" t="s">
        <v>96</v>
      </c>
      <c r="J269" s="518">
        <v>7.8</v>
      </c>
      <c r="K269" s="355">
        <f t="shared" si="18"/>
        <v>510</v>
      </c>
      <c r="L269" s="519">
        <v>255</v>
      </c>
      <c r="M269" s="519">
        <v>255</v>
      </c>
      <c r="N269" s="516" t="e">
        <f>IF(L269="nio",0,IF(L269&gt;0,L269*J269/P269,0))*VLOOKUP(B269,'2-Kosten per locatie'!$A$14:$C$23,3,FALSE)</f>
        <v>#DIV/0!</v>
      </c>
      <c r="O269" s="262" t="e">
        <f>IF(M269&gt;0,M269*J269/Q269,0)*VLOOKUP(B269,'2-Kosten per locatie'!$A$14:$C$23,3,FALSE)</f>
        <v>#DIV/0!</v>
      </c>
      <c r="P269" s="356">
        <f>IF(L269="nio",0,IF(L269&gt;0,VLOOKUP(G269,'3-Productie normen'!A:L,VLOOKUP(L269,'3-Productie normen'!$B$32:$C$39,2,FALSE),FALSE)))</f>
        <v>0</v>
      </c>
      <c r="Q269" s="356">
        <f t="shared" si="16"/>
        <v>0</v>
      </c>
      <c r="R269" s="357" t="str">
        <f>VLOOKUP(G269,'3-Productie normen'!A:N,14,FALSE)</f>
        <v>S</v>
      </c>
      <c r="S269" s="357"/>
      <c r="U269" s="358">
        <f t="shared" si="17"/>
        <v>3978</v>
      </c>
    </row>
    <row r="270" spans="1:21" ht="14.1" customHeight="1">
      <c r="A270" s="75">
        <v>270</v>
      </c>
      <c r="B270" s="497" t="s">
        <v>272</v>
      </c>
      <c r="C270" s="320" t="s">
        <v>273</v>
      </c>
      <c r="D270" s="353" t="s">
        <v>458</v>
      </c>
      <c r="E270" s="354" t="s">
        <v>425</v>
      </c>
      <c r="F270" s="517" t="s">
        <v>259</v>
      </c>
      <c r="G270" s="517" t="s">
        <v>58</v>
      </c>
      <c r="H270" s="72" t="s">
        <v>269</v>
      </c>
      <c r="I270" s="497" t="s">
        <v>96</v>
      </c>
      <c r="J270" s="518">
        <v>8.4</v>
      </c>
      <c r="K270" s="355">
        <f t="shared" si="18"/>
        <v>510</v>
      </c>
      <c r="L270" s="519">
        <v>255</v>
      </c>
      <c r="M270" s="519">
        <v>255</v>
      </c>
      <c r="N270" s="516" t="e">
        <f>IF(L270="nio",0,IF(L270&gt;0,L270*J270/P270,0))*VLOOKUP(B270,'2-Kosten per locatie'!$A$14:$C$23,3,FALSE)</f>
        <v>#DIV/0!</v>
      </c>
      <c r="O270" s="262" t="e">
        <f>IF(M270&gt;0,M270*J270/Q270,0)*VLOOKUP(B270,'2-Kosten per locatie'!$A$14:$C$23,3,FALSE)</f>
        <v>#DIV/0!</v>
      </c>
      <c r="P270" s="356">
        <f>IF(L270="nio",0,IF(L270&gt;0,VLOOKUP(G270,'3-Productie normen'!A:L,VLOOKUP(L270,'3-Productie normen'!$B$32:$C$39,2,FALSE),FALSE)))</f>
        <v>0</v>
      </c>
      <c r="Q270" s="356">
        <f t="shared" si="16"/>
        <v>0</v>
      </c>
      <c r="R270" s="357" t="str">
        <f>VLOOKUP(G270,'3-Productie normen'!A:N,14,FALSE)</f>
        <v>S</v>
      </c>
      <c r="S270" s="357"/>
      <c r="U270" s="358">
        <f t="shared" si="17"/>
        <v>4284</v>
      </c>
    </row>
    <row r="271" spans="1:21" ht="14.1" customHeight="1">
      <c r="A271" s="75">
        <v>271</v>
      </c>
      <c r="B271" s="498" t="s">
        <v>272</v>
      </c>
      <c r="C271" s="320" t="s">
        <v>273</v>
      </c>
      <c r="D271" s="353" t="s">
        <v>458</v>
      </c>
      <c r="E271" s="354"/>
      <c r="F271" s="517" t="s">
        <v>257</v>
      </c>
      <c r="G271" s="517" t="s">
        <v>60</v>
      </c>
      <c r="H271" s="72" t="s">
        <v>268</v>
      </c>
      <c r="I271" s="497" t="s">
        <v>98</v>
      </c>
      <c r="J271" s="518">
        <v>186.6</v>
      </c>
      <c r="K271" s="355">
        <f t="shared" si="18"/>
        <v>255</v>
      </c>
      <c r="L271" s="519">
        <v>255</v>
      </c>
      <c r="M271" s="519"/>
      <c r="N271" s="516" t="e">
        <f>IF(L271="nio",0,IF(L271&gt;0,L271*J271/P271,0))*VLOOKUP(B271,'2-Kosten per locatie'!$A$14:$C$23,3,FALSE)</f>
        <v>#DIV/0!</v>
      </c>
      <c r="O271" s="262">
        <f>IF(M271&gt;0,M271*J271/Q271,0)*VLOOKUP(B271,'2-Kosten per locatie'!$A$14:$C$23,3,FALSE)</f>
        <v>0</v>
      </c>
      <c r="P271" s="356">
        <f>IF(L271="nio",0,IF(L271&gt;0,VLOOKUP(G271,'3-Productie normen'!A:L,VLOOKUP(L271,'3-Productie normen'!$B$32:$C$39,2,FALSE),FALSE)))</f>
        <v>0</v>
      </c>
      <c r="Q271" s="356">
        <f t="shared" si="16"/>
        <v>0</v>
      </c>
      <c r="R271" s="357" t="str">
        <f>VLOOKUP(G271,'3-Productie normen'!A:N,14,FALSE)</f>
        <v>V</v>
      </c>
      <c r="S271" s="357"/>
      <c r="U271" s="358">
        <f t="shared" si="17"/>
        <v>47583</v>
      </c>
    </row>
    <row r="272" spans="1:21" ht="14.1" customHeight="1">
      <c r="A272" s="75">
        <v>272</v>
      </c>
      <c r="B272" s="497" t="s">
        <v>272</v>
      </c>
      <c r="C272" s="320" t="s">
        <v>273</v>
      </c>
      <c r="D272" s="353" t="s">
        <v>458</v>
      </c>
      <c r="E272" s="354" t="s">
        <v>426</v>
      </c>
      <c r="F272" s="517" t="s">
        <v>264</v>
      </c>
      <c r="G272" s="517" t="s">
        <v>500</v>
      </c>
      <c r="H272" s="72" t="s">
        <v>268</v>
      </c>
      <c r="I272" s="497" t="s">
        <v>98</v>
      </c>
      <c r="J272" s="518">
        <v>5</v>
      </c>
      <c r="K272" s="355">
        <f t="shared" si="18"/>
        <v>255</v>
      </c>
      <c r="L272" s="519">
        <v>255</v>
      </c>
      <c r="M272" s="519"/>
      <c r="N272" s="516" t="e">
        <f>IF(L272="nio",0,IF(L272&gt;0,L272*J272/P272,0))*VLOOKUP(B272,'2-Kosten per locatie'!$A$14:$C$23,3,FALSE)</f>
        <v>#DIV/0!</v>
      </c>
      <c r="O272" s="262">
        <f>IF(M272&gt;0,M272*J272/Q272,0)*VLOOKUP(B272,'2-Kosten per locatie'!$A$14:$C$23,3,FALSE)</f>
        <v>0</v>
      </c>
      <c r="P272" s="356">
        <f>IF(L272="nio",0,IF(L272&gt;0,VLOOKUP(G272,'3-Productie normen'!A:L,VLOOKUP(L272,'3-Productie normen'!$B$32:$C$39,2,FALSE),FALSE)))</f>
        <v>0</v>
      </c>
      <c r="Q272" s="356">
        <f t="shared" si="16"/>
        <v>0</v>
      </c>
      <c r="R272" s="357" t="str">
        <f>VLOOKUP(G272,'3-Productie normen'!A:N,14,FALSE)</f>
        <v>V</v>
      </c>
      <c r="S272" s="357"/>
      <c r="U272" s="358">
        <f t="shared" si="17"/>
        <v>1275</v>
      </c>
    </row>
    <row r="273" spans="1:21" ht="14.1" customHeight="1">
      <c r="A273" s="75">
        <v>273</v>
      </c>
      <c r="B273" s="498" t="s">
        <v>272</v>
      </c>
      <c r="C273" s="320" t="s">
        <v>273</v>
      </c>
      <c r="D273" s="353" t="s">
        <v>458</v>
      </c>
      <c r="E273" s="354" t="s">
        <v>427</v>
      </c>
      <c r="F273" s="517" t="s">
        <v>264</v>
      </c>
      <c r="G273" s="517" t="s">
        <v>500</v>
      </c>
      <c r="H273" s="72" t="s">
        <v>268</v>
      </c>
      <c r="I273" s="497" t="s">
        <v>98</v>
      </c>
      <c r="J273" s="518">
        <v>5</v>
      </c>
      <c r="K273" s="355">
        <f t="shared" si="18"/>
        <v>255</v>
      </c>
      <c r="L273" s="519">
        <v>255</v>
      </c>
      <c r="M273" s="519"/>
      <c r="N273" s="516" t="e">
        <f>IF(L273="nio",0,IF(L273&gt;0,L273*J273/P273,0))*VLOOKUP(B273,'2-Kosten per locatie'!$A$14:$C$23,3,FALSE)</f>
        <v>#DIV/0!</v>
      </c>
      <c r="O273" s="262">
        <f>IF(M273&gt;0,M273*J273/Q273,0)*VLOOKUP(B273,'2-Kosten per locatie'!$A$14:$C$23,3,FALSE)</f>
        <v>0</v>
      </c>
      <c r="P273" s="356">
        <f>IF(L273="nio",0,IF(L273&gt;0,VLOOKUP(G273,'3-Productie normen'!A:L,VLOOKUP(L273,'3-Productie normen'!$B$32:$C$39,2,FALSE),FALSE)))</f>
        <v>0</v>
      </c>
      <c r="Q273" s="356">
        <f t="shared" si="16"/>
        <v>0</v>
      </c>
      <c r="R273" s="357" t="str">
        <f>VLOOKUP(G273,'3-Productie normen'!A:N,14,FALSE)</f>
        <v>V</v>
      </c>
      <c r="S273" s="357"/>
      <c r="U273" s="358">
        <f t="shared" si="17"/>
        <v>1275</v>
      </c>
    </row>
    <row r="274" spans="1:21" ht="14.1" customHeight="1">
      <c r="A274" s="75">
        <v>274</v>
      </c>
      <c r="B274" s="497" t="s">
        <v>272</v>
      </c>
      <c r="C274" s="320" t="s">
        <v>273</v>
      </c>
      <c r="D274" s="353" t="s">
        <v>458</v>
      </c>
      <c r="E274" s="354"/>
      <c r="F274" s="517" t="s">
        <v>66</v>
      </c>
      <c r="G274" s="517" t="s">
        <v>66</v>
      </c>
      <c r="H274" s="72" t="s">
        <v>269</v>
      </c>
      <c r="I274" s="497" t="s">
        <v>99</v>
      </c>
      <c r="J274" s="518"/>
      <c r="K274" s="355">
        <f t="shared" si="18"/>
        <v>0</v>
      </c>
      <c r="L274" s="519" t="s">
        <v>463</v>
      </c>
      <c r="M274" s="519"/>
      <c r="N274" s="516">
        <f>IF(L274="nio",0,IF(L274&gt;0,L274*J274/P274,0))*VLOOKUP(B274,'2-Kosten per locatie'!$A$14:$C$23,3,FALSE)</f>
        <v>0</v>
      </c>
      <c r="O274" s="262">
        <f>IF(M274&gt;0,M274*J274/Q274,0)*VLOOKUP(B274,'2-Kosten per locatie'!$A$14:$C$23,3,FALSE)</f>
        <v>0</v>
      </c>
      <c r="P274" s="356">
        <f>IF(L274="nio",0,IF(L274&gt;0,VLOOKUP(G274,'3-Productie normen'!A:L,VLOOKUP(L274,'3-Productie normen'!$B$32:$C$39,2,FALSE),FALSE)))</f>
        <v>0</v>
      </c>
      <c r="Q274" s="356">
        <f t="shared" si="16"/>
        <v>0</v>
      </c>
      <c r="R274" s="357" t="str">
        <f>VLOOKUP(G274,'3-Productie normen'!A:N,14,FALSE)</f>
        <v>V</v>
      </c>
      <c r="S274" s="357"/>
      <c r="U274" s="358">
        <f t="shared" si="17"/>
        <v>0</v>
      </c>
    </row>
    <row r="275" spans="1:21" ht="14.1" customHeight="1">
      <c r="A275" s="75">
        <v>275</v>
      </c>
      <c r="B275" s="497" t="s">
        <v>272</v>
      </c>
      <c r="C275" s="320" t="s">
        <v>273</v>
      </c>
      <c r="D275" s="353" t="s">
        <v>459</v>
      </c>
      <c r="E275" s="354" t="s">
        <v>428</v>
      </c>
      <c r="F275" s="517" t="s">
        <v>300</v>
      </c>
      <c r="G275" s="517" t="s">
        <v>499</v>
      </c>
      <c r="H275" s="72" t="s">
        <v>268</v>
      </c>
      <c r="I275" s="497" t="s">
        <v>98</v>
      </c>
      <c r="J275" s="518">
        <v>17.899999999999999</v>
      </c>
      <c r="K275" s="355">
        <f t="shared" si="18"/>
        <v>255</v>
      </c>
      <c r="L275" s="519">
        <v>255</v>
      </c>
      <c r="M275" s="519"/>
      <c r="N275" s="516" t="e">
        <f>IF(L275="nio",0,IF(L275&gt;0,L275*J275/P275,0))*VLOOKUP(B275,'2-Kosten per locatie'!$A$14:$C$23,3,FALSE)</f>
        <v>#DIV/0!</v>
      </c>
      <c r="O275" s="262">
        <f>IF(M275&gt;0,M275*J275/Q275,0)*VLOOKUP(B275,'2-Kosten per locatie'!$A$14:$C$23,3,FALSE)</f>
        <v>0</v>
      </c>
      <c r="P275" s="356">
        <f>IF(L275="nio",0,IF(L275&gt;0,VLOOKUP(G275,'3-Productie normen'!A:L,VLOOKUP(L275,'3-Productie normen'!$B$32:$C$39,2,FALSE),FALSE)))</f>
        <v>0</v>
      </c>
      <c r="Q275" s="356">
        <f t="shared" si="16"/>
        <v>0</v>
      </c>
      <c r="R275" s="357" t="str">
        <f>VLOOKUP(G275,'3-Productie normen'!A:N,14,FALSE)</f>
        <v>B</v>
      </c>
      <c r="S275" s="357"/>
      <c r="U275" s="358">
        <f t="shared" si="17"/>
        <v>4564.5</v>
      </c>
    </row>
    <row r="276" spans="1:21" ht="14.1" customHeight="1">
      <c r="A276" s="75">
        <v>276</v>
      </c>
      <c r="B276" s="498" t="s">
        <v>272</v>
      </c>
      <c r="C276" s="320" t="s">
        <v>273</v>
      </c>
      <c r="D276" s="353" t="s">
        <v>459</v>
      </c>
      <c r="E276" s="354" t="s">
        <v>429</v>
      </c>
      <c r="F276" s="517" t="s">
        <v>300</v>
      </c>
      <c r="G276" s="517" t="s">
        <v>499</v>
      </c>
      <c r="H276" s="72" t="s">
        <v>268</v>
      </c>
      <c r="I276" s="497" t="s">
        <v>98</v>
      </c>
      <c r="J276" s="518">
        <v>10.8</v>
      </c>
      <c r="K276" s="355">
        <f t="shared" si="18"/>
        <v>255</v>
      </c>
      <c r="L276" s="519">
        <v>255</v>
      </c>
      <c r="M276" s="519"/>
      <c r="N276" s="516" t="e">
        <f>IF(L276="nio",0,IF(L276&gt;0,L276*J276/P276,0))*VLOOKUP(B276,'2-Kosten per locatie'!$A$14:$C$23,3,FALSE)</f>
        <v>#DIV/0!</v>
      </c>
      <c r="O276" s="262">
        <f>IF(M276&gt;0,M276*J276/Q276,0)*VLOOKUP(B276,'2-Kosten per locatie'!$A$14:$C$23,3,FALSE)</f>
        <v>0</v>
      </c>
      <c r="P276" s="356">
        <f>IF(L276="nio",0,IF(L276&gt;0,VLOOKUP(G276,'3-Productie normen'!A:L,VLOOKUP(L276,'3-Productie normen'!$B$32:$C$39,2,FALSE),FALSE)))</f>
        <v>0</v>
      </c>
      <c r="Q276" s="356">
        <f t="shared" si="16"/>
        <v>0</v>
      </c>
      <c r="R276" s="357" t="str">
        <f>VLOOKUP(G276,'3-Productie normen'!A:N,14,FALSE)</f>
        <v>B</v>
      </c>
      <c r="S276" s="357"/>
      <c r="U276" s="358">
        <f t="shared" si="17"/>
        <v>2754</v>
      </c>
    </row>
    <row r="277" spans="1:21" ht="14.1" customHeight="1">
      <c r="A277" s="75">
        <v>277</v>
      </c>
      <c r="B277" s="497" t="s">
        <v>272</v>
      </c>
      <c r="C277" s="320" t="s">
        <v>273</v>
      </c>
      <c r="D277" s="353" t="s">
        <v>459</v>
      </c>
      <c r="E277" s="354" t="s">
        <v>430</v>
      </c>
      <c r="F277" s="517" t="s">
        <v>263</v>
      </c>
      <c r="G277" s="517" t="s">
        <v>502</v>
      </c>
      <c r="H277" s="72" t="s">
        <v>461</v>
      </c>
      <c r="I277" s="497" t="s">
        <v>95</v>
      </c>
      <c r="J277" s="518">
        <v>6.94</v>
      </c>
      <c r="K277" s="355">
        <f t="shared" si="18"/>
        <v>4</v>
      </c>
      <c r="L277" s="519">
        <v>4</v>
      </c>
      <c r="M277" s="519"/>
      <c r="N277" s="516" t="e">
        <f>IF(L277="nio",0,IF(L277&gt;0,L277*J277/P277,0))*VLOOKUP(B277,'2-Kosten per locatie'!$A$14:$C$23,3,FALSE)</f>
        <v>#DIV/0!</v>
      </c>
      <c r="O277" s="262">
        <f>IF(M277&gt;0,M277*J277/Q277,0)*VLOOKUP(B277,'2-Kosten per locatie'!$A$14:$C$23,3,FALSE)</f>
        <v>0</v>
      </c>
      <c r="P277" s="356">
        <f>IF(L277="nio",0,IF(L277&gt;0,VLOOKUP(G277,'3-Productie normen'!A:L,VLOOKUP(L277,'3-Productie normen'!$B$32:$C$39,2,FALSE),FALSE)))</f>
        <v>0</v>
      </c>
      <c r="Q277" s="356">
        <f t="shared" si="16"/>
        <v>0</v>
      </c>
      <c r="R277" s="357" t="str">
        <f>VLOOKUP(G277,'3-Productie normen'!A:N,14,FALSE)</f>
        <v>V</v>
      </c>
      <c r="S277" s="357"/>
      <c r="U277" s="358">
        <f t="shared" si="17"/>
        <v>27.76</v>
      </c>
    </row>
    <row r="278" spans="1:21" ht="14.1" customHeight="1">
      <c r="A278" s="75">
        <v>278</v>
      </c>
      <c r="B278" s="498" t="s">
        <v>272</v>
      </c>
      <c r="C278" s="320" t="s">
        <v>273</v>
      </c>
      <c r="D278" s="353" t="s">
        <v>459</v>
      </c>
      <c r="E278" s="354" t="s">
        <v>431</v>
      </c>
      <c r="F278" s="517" t="s">
        <v>300</v>
      </c>
      <c r="G278" s="517" t="s">
        <v>499</v>
      </c>
      <c r="H278" s="72" t="s">
        <v>268</v>
      </c>
      <c r="I278" s="497" t="s">
        <v>98</v>
      </c>
      <c r="J278" s="518">
        <v>39.729999999999997</v>
      </c>
      <c r="K278" s="355">
        <f t="shared" si="18"/>
        <v>255</v>
      </c>
      <c r="L278" s="519">
        <v>255</v>
      </c>
      <c r="M278" s="519"/>
      <c r="N278" s="516" t="e">
        <f>IF(L278="nio",0,IF(L278&gt;0,L278*J278/P278,0))*VLOOKUP(B278,'2-Kosten per locatie'!$A$14:$C$23,3,FALSE)</f>
        <v>#DIV/0!</v>
      </c>
      <c r="O278" s="262">
        <f>IF(M278&gt;0,M278*J278/Q278,0)*VLOOKUP(B278,'2-Kosten per locatie'!$A$14:$C$23,3,FALSE)</f>
        <v>0</v>
      </c>
      <c r="P278" s="356">
        <f>IF(L278="nio",0,IF(L278&gt;0,VLOOKUP(G278,'3-Productie normen'!A:L,VLOOKUP(L278,'3-Productie normen'!$B$32:$C$39,2,FALSE),FALSE)))</f>
        <v>0</v>
      </c>
      <c r="Q278" s="356">
        <f t="shared" si="16"/>
        <v>0</v>
      </c>
      <c r="R278" s="357" t="str">
        <f>VLOOKUP(G278,'3-Productie normen'!A:N,14,FALSE)</f>
        <v>B</v>
      </c>
      <c r="S278" s="357"/>
      <c r="U278" s="358">
        <f t="shared" si="17"/>
        <v>10131.15</v>
      </c>
    </row>
    <row r="279" spans="1:21" ht="14.1" customHeight="1">
      <c r="A279" s="75">
        <v>279</v>
      </c>
      <c r="B279" s="497" t="s">
        <v>272</v>
      </c>
      <c r="C279" s="320" t="s">
        <v>273</v>
      </c>
      <c r="D279" s="353" t="s">
        <v>459</v>
      </c>
      <c r="E279" s="354" t="s">
        <v>432</v>
      </c>
      <c r="F279" s="517" t="s">
        <v>300</v>
      </c>
      <c r="G279" s="517" t="s">
        <v>499</v>
      </c>
      <c r="H279" s="72" t="s">
        <v>268</v>
      </c>
      <c r="I279" s="497" t="s">
        <v>98</v>
      </c>
      <c r="J279" s="518">
        <v>19.5</v>
      </c>
      <c r="K279" s="355">
        <f t="shared" si="18"/>
        <v>255</v>
      </c>
      <c r="L279" s="519">
        <v>255</v>
      </c>
      <c r="M279" s="519"/>
      <c r="N279" s="516" t="e">
        <f>IF(L279="nio",0,IF(L279&gt;0,L279*J279/P279,0))*VLOOKUP(B279,'2-Kosten per locatie'!$A$14:$C$23,3,FALSE)</f>
        <v>#DIV/0!</v>
      </c>
      <c r="O279" s="262">
        <f>IF(M279&gt;0,M279*J279/Q279,0)*VLOOKUP(B279,'2-Kosten per locatie'!$A$14:$C$23,3,FALSE)</f>
        <v>0</v>
      </c>
      <c r="P279" s="356">
        <f>IF(L279="nio",0,IF(L279&gt;0,VLOOKUP(G279,'3-Productie normen'!A:L,VLOOKUP(L279,'3-Productie normen'!$B$32:$C$39,2,FALSE),FALSE)))</f>
        <v>0</v>
      </c>
      <c r="Q279" s="356">
        <f t="shared" si="16"/>
        <v>0</v>
      </c>
      <c r="R279" s="357" t="str">
        <f>VLOOKUP(G279,'3-Productie normen'!A:N,14,FALSE)</f>
        <v>B</v>
      </c>
      <c r="S279" s="357"/>
      <c r="U279" s="358">
        <f t="shared" si="17"/>
        <v>4972.5</v>
      </c>
    </row>
    <row r="280" spans="1:21" ht="14.1" customHeight="1">
      <c r="A280" s="75">
        <v>280</v>
      </c>
      <c r="B280" s="498" t="s">
        <v>272</v>
      </c>
      <c r="C280" s="320" t="s">
        <v>273</v>
      </c>
      <c r="D280" s="353" t="s">
        <v>459</v>
      </c>
      <c r="E280" s="354" t="s">
        <v>433</v>
      </c>
      <c r="F280" s="517" t="s">
        <v>300</v>
      </c>
      <c r="G280" s="517" t="s">
        <v>499</v>
      </c>
      <c r="H280" s="72" t="s">
        <v>268</v>
      </c>
      <c r="I280" s="497" t="s">
        <v>98</v>
      </c>
      <c r="J280" s="518">
        <v>36.200000000000003</v>
      </c>
      <c r="K280" s="355">
        <f t="shared" si="18"/>
        <v>255</v>
      </c>
      <c r="L280" s="519">
        <v>255</v>
      </c>
      <c r="M280" s="519"/>
      <c r="N280" s="516" t="e">
        <f>IF(L280="nio",0,IF(L280&gt;0,L280*J280/P280,0))*VLOOKUP(B280,'2-Kosten per locatie'!$A$14:$C$23,3,FALSE)</f>
        <v>#DIV/0!</v>
      </c>
      <c r="O280" s="262">
        <f>IF(M280&gt;0,M280*J280/Q280,0)*VLOOKUP(B280,'2-Kosten per locatie'!$A$14:$C$23,3,FALSE)</f>
        <v>0</v>
      </c>
      <c r="P280" s="356">
        <f>IF(L280="nio",0,IF(L280&gt;0,VLOOKUP(G280,'3-Productie normen'!A:L,VLOOKUP(L280,'3-Productie normen'!$B$32:$C$39,2,FALSE),FALSE)))</f>
        <v>0</v>
      </c>
      <c r="Q280" s="356">
        <f t="shared" si="16"/>
        <v>0</v>
      </c>
      <c r="R280" s="357" t="str">
        <f>VLOOKUP(G280,'3-Productie normen'!A:N,14,FALSE)</f>
        <v>B</v>
      </c>
      <c r="S280" s="357"/>
      <c r="U280" s="358">
        <f t="shared" si="17"/>
        <v>9231</v>
      </c>
    </row>
    <row r="281" spans="1:21" ht="14.1" customHeight="1">
      <c r="A281" s="75">
        <v>281</v>
      </c>
      <c r="B281" s="497" t="s">
        <v>272</v>
      </c>
      <c r="C281" s="320" t="s">
        <v>273</v>
      </c>
      <c r="D281" s="353" t="s">
        <v>459</v>
      </c>
      <c r="E281" s="354" t="s">
        <v>434</v>
      </c>
      <c r="F281" s="517" t="s">
        <v>300</v>
      </c>
      <c r="G281" s="517" t="s">
        <v>499</v>
      </c>
      <c r="H281" s="72" t="s">
        <v>461</v>
      </c>
      <c r="I281" s="497" t="s">
        <v>95</v>
      </c>
      <c r="J281" s="518">
        <v>28.1</v>
      </c>
      <c r="K281" s="355">
        <f t="shared" si="18"/>
        <v>255</v>
      </c>
      <c r="L281" s="519">
        <v>255</v>
      </c>
      <c r="M281" s="519"/>
      <c r="N281" s="516" t="e">
        <f>IF(L281="nio",0,IF(L281&gt;0,L281*J281/P281,0))*VLOOKUP(B281,'2-Kosten per locatie'!$A$14:$C$23,3,FALSE)</f>
        <v>#DIV/0!</v>
      </c>
      <c r="O281" s="262">
        <f>IF(M281&gt;0,M281*J281/Q281,0)*VLOOKUP(B281,'2-Kosten per locatie'!$A$14:$C$23,3,FALSE)</f>
        <v>0</v>
      </c>
      <c r="P281" s="356">
        <f>IF(L281="nio",0,IF(L281&gt;0,VLOOKUP(G281,'3-Productie normen'!A:L,VLOOKUP(L281,'3-Productie normen'!$B$32:$C$39,2,FALSE),FALSE)))</f>
        <v>0</v>
      </c>
      <c r="Q281" s="356">
        <f t="shared" si="16"/>
        <v>0</v>
      </c>
      <c r="R281" s="357" t="str">
        <f>VLOOKUP(G281,'3-Productie normen'!A:N,14,FALSE)</f>
        <v>B</v>
      </c>
      <c r="S281" s="357"/>
      <c r="U281" s="358">
        <f t="shared" si="17"/>
        <v>7165.5</v>
      </c>
    </row>
    <row r="282" spans="1:21" ht="14.1" customHeight="1">
      <c r="A282" s="75">
        <v>282</v>
      </c>
      <c r="B282" s="498" t="s">
        <v>272</v>
      </c>
      <c r="C282" s="320" t="s">
        <v>273</v>
      </c>
      <c r="D282" s="353" t="s">
        <v>459</v>
      </c>
      <c r="E282" s="354" t="s">
        <v>435</v>
      </c>
      <c r="F282" s="517" t="s">
        <v>300</v>
      </c>
      <c r="G282" s="517" t="s">
        <v>499</v>
      </c>
      <c r="H282" s="72" t="s">
        <v>268</v>
      </c>
      <c r="I282" s="497" t="s">
        <v>98</v>
      </c>
      <c r="J282" s="518">
        <v>18.600000000000001</v>
      </c>
      <c r="K282" s="355">
        <f t="shared" si="18"/>
        <v>255</v>
      </c>
      <c r="L282" s="519">
        <v>255</v>
      </c>
      <c r="M282" s="519"/>
      <c r="N282" s="516" t="e">
        <f>IF(L282="nio",0,IF(L282&gt;0,L282*J282/P282,0))*VLOOKUP(B282,'2-Kosten per locatie'!$A$14:$C$23,3,FALSE)</f>
        <v>#DIV/0!</v>
      </c>
      <c r="O282" s="262">
        <f>IF(M282&gt;0,M282*J282/Q282,0)*VLOOKUP(B282,'2-Kosten per locatie'!$A$14:$C$23,3,FALSE)</f>
        <v>0</v>
      </c>
      <c r="P282" s="356">
        <f>IF(L282="nio",0,IF(L282&gt;0,VLOOKUP(G282,'3-Productie normen'!A:L,VLOOKUP(L282,'3-Productie normen'!$B$32:$C$39,2,FALSE),FALSE)))</f>
        <v>0</v>
      </c>
      <c r="Q282" s="356">
        <f t="shared" si="16"/>
        <v>0</v>
      </c>
      <c r="R282" s="357" t="str">
        <f>VLOOKUP(G282,'3-Productie normen'!A:N,14,FALSE)</f>
        <v>B</v>
      </c>
      <c r="S282" s="357"/>
      <c r="U282" s="358">
        <f t="shared" si="17"/>
        <v>4743</v>
      </c>
    </row>
    <row r="283" spans="1:21" ht="14.1" customHeight="1">
      <c r="A283" s="75">
        <v>283</v>
      </c>
      <c r="B283" s="497" t="s">
        <v>272</v>
      </c>
      <c r="C283" s="320" t="s">
        <v>273</v>
      </c>
      <c r="D283" s="353" t="s">
        <v>459</v>
      </c>
      <c r="E283" s="354" t="s">
        <v>436</v>
      </c>
      <c r="F283" s="517" t="s">
        <v>300</v>
      </c>
      <c r="G283" s="517" t="s">
        <v>499</v>
      </c>
      <c r="H283" s="72" t="s">
        <v>268</v>
      </c>
      <c r="I283" s="497" t="s">
        <v>98</v>
      </c>
      <c r="J283" s="518">
        <v>18.600000000000001</v>
      </c>
      <c r="K283" s="355">
        <f t="shared" si="18"/>
        <v>255</v>
      </c>
      <c r="L283" s="519">
        <v>255</v>
      </c>
      <c r="M283" s="519"/>
      <c r="N283" s="516" t="e">
        <f>IF(L283="nio",0,IF(L283&gt;0,L283*J283/P283,0))*VLOOKUP(B283,'2-Kosten per locatie'!$A$14:$C$23,3,FALSE)</f>
        <v>#DIV/0!</v>
      </c>
      <c r="O283" s="262">
        <f>IF(M283&gt;0,M283*J283/Q283,0)*VLOOKUP(B283,'2-Kosten per locatie'!$A$14:$C$23,3,FALSE)</f>
        <v>0</v>
      </c>
      <c r="P283" s="356">
        <f>IF(L283="nio",0,IF(L283&gt;0,VLOOKUP(G283,'3-Productie normen'!A:L,VLOOKUP(L283,'3-Productie normen'!$B$32:$C$39,2,FALSE),FALSE)))</f>
        <v>0</v>
      </c>
      <c r="Q283" s="356">
        <f t="shared" si="16"/>
        <v>0</v>
      </c>
      <c r="R283" s="357" t="str">
        <f>VLOOKUP(G283,'3-Productie normen'!A:N,14,FALSE)</f>
        <v>B</v>
      </c>
      <c r="S283" s="357"/>
      <c r="U283" s="358">
        <f t="shared" si="17"/>
        <v>4743</v>
      </c>
    </row>
    <row r="284" spans="1:21" ht="14.1" customHeight="1">
      <c r="A284" s="75">
        <v>284</v>
      </c>
      <c r="B284" s="498" t="s">
        <v>272</v>
      </c>
      <c r="C284" s="320" t="s">
        <v>273</v>
      </c>
      <c r="D284" s="353" t="s">
        <v>459</v>
      </c>
      <c r="E284" s="354" t="s">
        <v>437</v>
      </c>
      <c r="F284" s="517" t="s">
        <v>300</v>
      </c>
      <c r="G284" s="517" t="s">
        <v>499</v>
      </c>
      <c r="H284" s="72" t="s">
        <v>268</v>
      </c>
      <c r="I284" s="497" t="s">
        <v>98</v>
      </c>
      <c r="J284" s="518">
        <v>54.7</v>
      </c>
      <c r="K284" s="355">
        <f t="shared" si="18"/>
        <v>255</v>
      </c>
      <c r="L284" s="519">
        <v>255</v>
      </c>
      <c r="M284" s="519"/>
      <c r="N284" s="516" t="e">
        <f>IF(L284="nio",0,IF(L284&gt;0,L284*J284/P284,0))*VLOOKUP(B284,'2-Kosten per locatie'!$A$14:$C$23,3,FALSE)</f>
        <v>#DIV/0!</v>
      </c>
      <c r="O284" s="262">
        <f>IF(M284&gt;0,M284*J284/Q284,0)*VLOOKUP(B284,'2-Kosten per locatie'!$A$14:$C$23,3,FALSE)</f>
        <v>0</v>
      </c>
      <c r="P284" s="356">
        <f>IF(L284="nio",0,IF(L284&gt;0,VLOOKUP(G284,'3-Productie normen'!A:L,VLOOKUP(L284,'3-Productie normen'!$B$32:$C$39,2,FALSE),FALSE)))</f>
        <v>0</v>
      </c>
      <c r="Q284" s="356">
        <f t="shared" si="16"/>
        <v>0</v>
      </c>
      <c r="R284" s="357" t="str">
        <f>VLOOKUP(G284,'3-Productie normen'!A:N,14,FALSE)</f>
        <v>B</v>
      </c>
      <c r="S284" s="357"/>
      <c r="U284" s="358">
        <f t="shared" si="17"/>
        <v>13948.5</v>
      </c>
    </row>
    <row r="285" spans="1:21" ht="14.1" customHeight="1">
      <c r="A285" s="75">
        <v>285</v>
      </c>
      <c r="B285" s="497" t="s">
        <v>272</v>
      </c>
      <c r="C285" s="320" t="s">
        <v>273</v>
      </c>
      <c r="D285" s="353" t="s">
        <v>459</v>
      </c>
      <c r="E285" s="354" t="s">
        <v>438</v>
      </c>
      <c r="F285" s="517" t="s">
        <v>300</v>
      </c>
      <c r="G285" s="517" t="s">
        <v>499</v>
      </c>
      <c r="H285" s="72" t="s">
        <v>268</v>
      </c>
      <c r="I285" s="497" t="s">
        <v>98</v>
      </c>
      <c r="J285" s="518">
        <v>46.1</v>
      </c>
      <c r="K285" s="355">
        <f t="shared" si="18"/>
        <v>255</v>
      </c>
      <c r="L285" s="519">
        <v>255</v>
      </c>
      <c r="M285" s="519"/>
      <c r="N285" s="516" t="e">
        <f>IF(L285="nio",0,IF(L285&gt;0,L285*J285/P285,0))*VLOOKUP(B285,'2-Kosten per locatie'!$A$14:$C$23,3,FALSE)</f>
        <v>#DIV/0!</v>
      </c>
      <c r="O285" s="262">
        <f>IF(M285&gt;0,M285*J285/Q285,0)*VLOOKUP(B285,'2-Kosten per locatie'!$A$14:$C$23,3,FALSE)</f>
        <v>0</v>
      </c>
      <c r="P285" s="356">
        <f>IF(L285="nio",0,IF(L285&gt;0,VLOOKUP(G285,'3-Productie normen'!A:L,VLOOKUP(L285,'3-Productie normen'!$B$32:$C$39,2,FALSE),FALSE)))</f>
        <v>0</v>
      </c>
      <c r="Q285" s="356">
        <f t="shared" si="16"/>
        <v>0</v>
      </c>
      <c r="R285" s="357" t="str">
        <f>VLOOKUP(G285,'3-Productie normen'!A:N,14,FALSE)</f>
        <v>B</v>
      </c>
      <c r="S285" s="357"/>
      <c r="U285" s="358">
        <f t="shared" si="17"/>
        <v>11755.5</v>
      </c>
    </row>
    <row r="286" spans="1:21" ht="14.1" customHeight="1">
      <c r="A286" s="75">
        <v>286</v>
      </c>
      <c r="B286" s="498" t="s">
        <v>272</v>
      </c>
      <c r="C286" s="320" t="s">
        <v>273</v>
      </c>
      <c r="D286" s="353" t="s">
        <v>459</v>
      </c>
      <c r="E286" s="354" t="s">
        <v>439</v>
      </c>
      <c r="F286" s="517" t="s">
        <v>262</v>
      </c>
      <c r="G286" s="517" t="s">
        <v>63</v>
      </c>
      <c r="H286" s="72" t="s">
        <v>268</v>
      </c>
      <c r="I286" s="497" t="s">
        <v>98</v>
      </c>
      <c r="J286" s="518">
        <v>16.3</v>
      </c>
      <c r="K286" s="355">
        <f t="shared" si="18"/>
        <v>255</v>
      </c>
      <c r="L286" s="519">
        <v>255</v>
      </c>
      <c r="M286" s="519"/>
      <c r="N286" s="516" t="e">
        <f>IF(L286="nio",0,IF(L286&gt;0,L286*J286/P286,0))*VLOOKUP(B286,'2-Kosten per locatie'!$A$14:$C$23,3,FALSE)</f>
        <v>#DIV/0!</v>
      </c>
      <c r="O286" s="262">
        <f>IF(M286&gt;0,M286*J286/Q286,0)*VLOOKUP(B286,'2-Kosten per locatie'!$A$14:$C$23,3,FALSE)</f>
        <v>0</v>
      </c>
      <c r="P286" s="356">
        <f>IF(L286="nio",0,IF(L286&gt;0,VLOOKUP(G286,'3-Productie normen'!A:L,VLOOKUP(L286,'3-Productie normen'!$B$32:$C$39,2,FALSE),FALSE)))</f>
        <v>0</v>
      </c>
      <c r="Q286" s="356">
        <f t="shared" si="16"/>
        <v>0</v>
      </c>
      <c r="R286" s="357" t="str">
        <f>VLOOKUP(G286,'3-Productie normen'!A:N,14,FALSE)</f>
        <v>B</v>
      </c>
      <c r="S286" s="357"/>
      <c r="U286" s="358">
        <f t="shared" si="17"/>
        <v>4156.5</v>
      </c>
    </row>
    <row r="287" spans="1:21" ht="14.1" customHeight="1">
      <c r="A287" s="75">
        <v>287</v>
      </c>
      <c r="B287" s="497" t="s">
        <v>272</v>
      </c>
      <c r="C287" s="320" t="s">
        <v>273</v>
      </c>
      <c r="D287" s="353" t="s">
        <v>459</v>
      </c>
      <c r="E287" s="354" t="s">
        <v>440</v>
      </c>
      <c r="F287" s="517" t="s">
        <v>263</v>
      </c>
      <c r="G287" s="517" t="s">
        <v>502</v>
      </c>
      <c r="H287" s="72" t="s">
        <v>461</v>
      </c>
      <c r="I287" s="497" t="s">
        <v>95</v>
      </c>
      <c r="J287" s="518">
        <v>15.2</v>
      </c>
      <c r="K287" s="355">
        <f t="shared" si="18"/>
        <v>4</v>
      </c>
      <c r="L287" s="519">
        <v>4</v>
      </c>
      <c r="M287" s="519"/>
      <c r="N287" s="516" t="e">
        <f>IF(L287="nio",0,IF(L287&gt;0,L287*J287/P287,0))*VLOOKUP(B287,'2-Kosten per locatie'!$A$14:$C$23,3,FALSE)</f>
        <v>#DIV/0!</v>
      </c>
      <c r="O287" s="262">
        <f>IF(M287&gt;0,M287*J287/Q287,0)*VLOOKUP(B287,'2-Kosten per locatie'!$A$14:$C$23,3,FALSE)</f>
        <v>0</v>
      </c>
      <c r="P287" s="356">
        <f>IF(L287="nio",0,IF(L287&gt;0,VLOOKUP(G287,'3-Productie normen'!A:L,VLOOKUP(L287,'3-Productie normen'!$B$32:$C$39,2,FALSE),FALSE)))</f>
        <v>0</v>
      </c>
      <c r="Q287" s="356">
        <f t="shared" si="16"/>
        <v>0</v>
      </c>
      <c r="R287" s="357" t="str">
        <f>VLOOKUP(G287,'3-Productie normen'!A:N,14,FALSE)</f>
        <v>V</v>
      </c>
      <c r="S287" s="357"/>
      <c r="U287" s="358">
        <f t="shared" si="17"/>
        <v>60.8</v>
      </c>
    </row>
    <row r="288" spans="1:21" ht="14.1" customHeight="1">
      <c r="A288" s="75">
        <v>288</v>
      </c>
      <c r="B288" s="498" t="s">
        <v>272</v>
      </c>
      <c r="C288" s="320" t="s">
        <v>273</v>
      </c>
      <c r="D288" s="353" t="s">
        <v>459</v>
      </c>
      <c r="E288" s="354" t="s">
        <v>441</v>
      </c>
      <c r="F288" s="517" t="s">
        <v>300</v>
      </c>
      <c r="G288" s="517" t="s">
        <v>499</v>
      </c>
      <c r="H288" s="72" t="s">
        <v>268</v>
      </c>
      <c r="I288" s="497" t="s">
        <v>98</v>
      </c>
      <c r="J288" s="518">
        <v>24.9</v>
      </c>
      <c r="K288" s="355">
        <f t="shared" si="18"/>
        <v>255</v>
      </c>
      <c r="L288" s="519">
        <v>255</v>
      </c>
      <c r="M288" s="519"/>
      <c r="N288" s="516" t="e">
        <f>IF(L288="nio",0,IF(L288&gt;0,L288*J288/P288,0))*VLOOKUP(B288,'2-Kosten per locatie'!$A$14:$C$23,3,FALSE)</f>
        <v>#DIV/0!</v>
      </c>
      <c r="O288" s="262">
        <f>IF(M288&gt;0,M288*J288/Q288,0)*VLOOKUP(B288,'2-Kosten per locatie'!$A$14:$C$23,3,FALSE)</f>
        <v>0</v>
      </c>
      <c r="P288" s="356">
        <f>IF(L288="nio",0,IF(L288&gt;0,VLOOKUP(G288,'3-Productie normen'!A:L,VLOOKUP(L288,'3-Productie normen'!$B$32:$C$39,2,FALSE),FALSE)))</f>
        <v>0</v>
      </c>
      <c r="Q288" s="356">
        <f t="shared" si="16"/>
        <v>0</v>
      </c>
      <c r="R288" s="357" t="str">
        <f>VLOOKUP(G288,'3-Productie normen'!A:N,14,FALSE)</f>
        <v>B</v>
      </c>
      <c r="S288" s="357"/>
      <c r="U288" s="358">
        <f t="shared" si="17"/>
        <v>6349.5</v>
      </c>
    </row>
    <row r="289" spans="1:21" ht="14.1" customHeight="1">
      <c r="A289" s="75">
        <v>289</v>
      </c>
      <c r="B289" s="497" t="s">
        <v>272</v>
      </c>
      <c r="C289" s="320" t="s">
        <v>273</v>
      </c>
      <c r="D289" s="353" t="s">
        <v>459</v>
      </c>
      <c r="E289" s="354" t="s">
        <v>442</v>
      </c>
      <c r="F289" s="517" t="s">
        <v>300</v>
      </c>
      <c r="G289" s="517" t="s">
        <v>499</v>
      </c>
      <c r="H289" s="72" t="s">
        <v>268</v>
      </c>
      <c r="I289" s="497" t="s">
        <v>98</v>
      </c>
      <c r="J289" s="518">
        <v>18.3</v>
      </c>
      <c r="K289" s="355">
        <f t="shared" si="18"/>
        <v>255</v>
      </c>
      <c r="L289" s="519">
        <v>255</v>
      </c>
      <c r="M289" s="519"/>
      <c r="N289" s="516" t="e">
        <f>IF(L289="nio",0,IF(L289&gt;0,L289*J289/P289,0))*VLOOKUP(B289,'2-Kosten per locatie'!$A$14:$C$23,3,FALSE)</f>
        <v>#DIV/0!</v>
      </c>
      <c r="O289" s="262">
        <f>IF(M289&gt;0,M289*J289/Q289,0)*VLOOKUP(B289,'2-Kosten per locatie'!$A$14:$C$23,3,FALSE)</f>
        <v>0</v>
      </c>
      <c r="P289" s="356">
        <f>IF(L289="nio",0,IF(L289&gt;0,VLOOKUP(G289,'3-Productie normen'!A:L,VLOOKUP(L289,'3-Productie normen'!$B$32:$C$39,2,FALSE),FALSE)))</f>
        <v>0</v>
      </c>
      <c r="Q289" s="356">
        <f t="shared" si="16"/>
        <v>0</v>
      </c>
      <c r="R289" s="357" t="str">
        <f>VLOOKUP(G289,'3-Productie normen'!A:N,14,FALSE)</f>
        <v>B</v>
      </c>
      <c r="S289" s="357"/>
      <c r="U289" s="358">
        <f t="shared" si="17"/>
        <v>4666.5</v>
      </c>
    </row>
    <row r="290" spans="1:21" ht="14.1" customHeight="1">
      <c r="A290" s="75">
        <v>290</v>
      </c>
      <c r="B290" s="498" t="s">
        <v>272</v>
      </c>
      <c r="C290" s="320" t="s">
        <v>273</v>
      </c>
      <c r="D290" s="353" t="s">
        <v>459</v>
      </c>
      <c r="E290" s="354" t="s">
        <v>443</v>
      </c>
      <c r="F290" s="517" t="s">
        <v>300</v>
      </c>
      <c r="G290" s="517" t="s">
        <v>499</v>
      </c>
      <c r="H290" s="72" t="s">
        <v>268</v>
      </c>
      <c r="I290" s="497" t="s">
        <v>98</v>
      </c>
      <c r="J290" s="518">
        <v>18.3</v>
      </c>
      <c r="K290" s="355">
        <f t="shared" si="18"/>
        <v>255</v>
      </c>
      <c r="L290" s="519">
        <v>255</v>
      </c>
      <c r="M290" s="519"/>
      <c r="N290" s="516" t="e">
        <f>IF(L290="nio",0,IF(L290&gt;0,L290*J290/P290,0))*VLOOKUP(B290,'2-Kosten per locatie'!$A$14:$C$23,3,FALSE)</f>
        <v>#DIV/0!</v>
      </c>
      <c r="O290" s="262">
        <f>IF(M290&gt;0,M290*J290/Q290,0)*VLOOKUP(B290,'2-Kosten per locatie'!$A$14:$C$23,3,FALSE)</f>
        <v>0</v>
      </c>
      <c r="P290" s="356">
        <f>IF(L290="nio",0,IF(L290&gt;0,VLOOKUP(G290,'3-Productie normen'!A:L,VLOOKUP(L290,'3-Productie normen'!$B$32:$C$39,2,FALSE),FALSE)))</f>
        <v>0</v>
      </c>
      <c r="Q290" s="356">
        <f t="shared" si="16"/>
        <v>0</v>
      </c>
      <c r="R290" s="357" t="str">
        <f>VLOOKUP(G290,'3-Productie normen'!A:N,14,FALSE)</f>
        <v>B</v>
      </c>
      <c r="S290" s="357"/>
      <c r="U290" s="358">
        <f t="shared" si="17"/>
        <v>4666.5</v>
      </c>
    </row>
    <row r="291" spans="1:21" ht="14.1" customHeight="1">
      <c r="A291" s="75">
        <v>291</v>
      </c>
      <c r="B291" s="497" t="s">
        <v>272</v>
      </c>
      <c r="C291" s="320" t="s">
        <v>273</v>
      </c>
      <c r="D291" s="353" t="s">
        <v>459</v>
      </c>
      <c r="E291" s="354" t="s">
        <v>444</v>
      </c>
      <c r="F291" s="517" t="s">
        <v>300</v>
      </c>
      <c r="G291" s="517" t="s">
        <v>499</v>
      </c>
      <c r="H291" s="72" t="s">
        <v>268</v>
      </c>
      <c r="I291" s="497" t="s">
        <v>98</v>
      </c>
      <c r="J291" s="518">
        <v>53.5</v>
      </c>
      <c r="K291" s="355">
        <f t="shared" si="18"/>
        <v>255</v>
      </c>
      <c r="L291" s="519">
        <v>255</v>
      </c>
      <c r="M291" s="519"/>
      <c r="N291" s="516" t="e">
        <f>IF(L291="nio",0,IF(L291&gt;0,L291*J291/P291,0))*VLOOKUP(B291,'2-Kosten per locatie'!$A$14:$C$23,3,FALSE)</f>
        <v>#DIV/0!</v>
      </c>
      <c r="O291" s="262">
        <f>IF(M291&gt;0,M291*J291/Q291,0)*VLOOKUP(B291,'2-Kosten per locatie'!$A$14:$C$23,3,FALSE)</f>
        <v>0</v>
      </c>
      <c r="P291" s="356">
        <f>IF(L291="nio",0,IF(L291&gt;0,VLOOKUP(G291,'3-Productie normen'!A:L,VLOOKUP(L291,'3-Productie normen'!$B$32:$C$39,2,FALSE),FALSE)))</f>
        <v>0</v>
      </c>
      <c r="Q291" s="356">
        <f t="shared" si="16"/>
        <v>0</v>
      </c>
      <c r="R291" s="357" t="str">
        <f>VLOOKUP(G291,'3-Productie normen'!A:N,14,FALSE)</f>
        <v>B</v>
      </c>
      <c r="S291" s="357"/>
      <c r="U291" s="358">
        <f t="shared" si="17"/>
        <v>13642.5</v>
      </c>
    </row>
    <row r="292" spans="1:21" ht="14.1" customHeight="1">
      <c r="A292" s="75">
        <v>292</v>
      </c>
      <c r="B292" s="498" t="s">
        <v>272</v>
      </c>
      <c r="C292" s="320" t="s">
        <v>273</v>
      </c>
      <c r="D292" s="353" t="s">
        <v>459</v>
      </c>
      <c r="E292" s="354" t="s">
        <v>445</v>
      </c>
      <c r="F292" s="517" t="s">
        <v>300</v>
      </c>
      <c r="G292" s="517" t="s">
        <v>499</v>
      </c>
      <c r="H292" s="72" t="s">
        <v>268</v>
      </c>
      <c r="I292" s="497" t="s">
        <v>98</v>
      </c>
      <c r="J292" s="518">
        <v>19.8</v>
      </c>
      <c r="K292" s="355">
        <f t="shared" si="18"/>
        <v>255</v>
      </c>
      <c r="L292" s="519">
        <v>255</v>
      </c>
      <c r="M292" s="519"/>
      <c r="N292" s="516" t="e">
        <f>IF(L292="nio",0,IF(L292&gt;0,L292*J292/P292,0))*VLOOKUP(B292,'2-Kosten per locatie'!$A$14:$C$23,3,FALSE)</f>
        <v>#DIV/0!</v>
      </c>
      <c r="O292" s="262">
        <f>IF(M292&gt;0,M292*J292/Q292,0)*VLOOKUP(B292,'2-Kosten per locatie'!$A$14:$C$23,3,FALSE)</f>
        <v>0</v>
      </c>
      <c r="P292" s="356">
        <f>IF(L292="nio",0,IF(L292&gt;0,VLOOKUP(G292,'3-Productie normen'!A:L,VLOOKUP(L292,'3-Productie normen'!$B$32:$C$39,2,FALSE),FALSE)))</f>
        <v>0</v>
      </c>
      <c r="Q292" s="356">
        <f t="shared" ref="Q292:Q309" si="19">IF(M292&gt;0,P292*$Q$8,0)</f>
        <v>0</v>
      </c>
      <c r="R292" s="357" t="str">
        <f>VLOOKUP(G292,'3-Productie normen'!A:N,14,FALSE)</f>
        <v>B</v>
      </c>
      <c r="S292" s="357"/>
      <c r="U292" s="358">
        <f t="shared" ref="U292:U309" si="20">K292*J292</f>
        <v>5049</v>
      </c>
    </row>
    <row r="293" spans="1:21" ht="14.1" customHeight="1">
      <c r="A293" s="75">
        <v>293</v>
      </c>
      <c r="B293" s="497" t="s">
        <v>272</v>
      </c>
      <c r="C293" s="320" t="s">
        <v>273</v>
      </c>
      <c r="D293" s="353" t="s">
        <v>459</v>
      </c>
      <c r="E293" s="354" t="s">
        <v>446</v>
      </c>
      <c r="F293" s="517" t="s">
        <v>300</v>
      </c>
      <c r="G293" s="517" t="s">
        <v>499</v>
      </c>
      <c r="H293" s="72" t="s">
        <v>268</v>
      </c>
      <c r="I293" s="497" t="s">
        <v>98</v>
      </c>
      <c r="J293" s="518">
        <v>100</v>
      </c>
      <c r="K293" s="355">
        <f t="shared" si="18"/>
        <v>255</v>
      </c>
      <c r="L293" s="519">
        <v>255</v>
      </c>
      <c r="M293" s="519"/>
      <c r="N293" s="516" t="e">
        <f>IF(L293="nio",0,IF(L293&gt;0,L293*J293/P293,0))*VLOOKUP(B293,'2-Kosten per locatie'!$A$14:$C$23,3,FALSE)</f>
        <v>#DIV/0!</v>
      </c>
      <c r="O293" s="262">
        <f>IF(M293&gt;0,M293*J293/Q293,0)*VLOOKUP(B293,'2-Kosten per locatie'!$A$14:$C$23,3,FALSE)</f>
        <v>0</v>
      </c>
      <c r="P293" s="356">
        <f>IF(L293="nio",0,IF(L293&gt;0,VLOOKUP(G293,'3-Productie normen'!A:L,VLOOKUP(L293,'3-Productie normen'!$B$32:$C$39,2,FALSE),FALSE)))</f>
        <v>0</v>
      </c>
      <c r="Q293" s="356">
        <f t="shared" si="19"/>
        <v>0</v>
      </c>
      <c r="R293" s="357" t="str">
        <f>VLOOKUP(G293,'3-Productie normen'!A:N,14,FALSE)</f>
        <v>B</v>
      </c>
      <c r="S293" s="357"/>
      <c r="U293" s="358">
        <f t="shared" si="20"/>
        <v>25500</v>
      </c>
    </row>
    <row r="294" spans="1:21" ht="14.1" customHeight="1">
      <c r="A294" s="75">
        <v>294</v>
      </c>
      <c r="B294" s="498" t="s">
        <v>272</v>
      </c>
      <c r="C294" s="320" t="s">
        <v>273</v>
      </c>
      <c r="D294" s="353" t="s">
        <v>459</v>
      </c>
      <c r="E294" s="354" t="s">
        <v>447</v>
      </c>
      <c r="F294" s="517" t="s">
        <v>300</v>
      </c>
      <c r="G294" s="517" t="s">
        <v>499</v>
      </c>
      <c r="H294" s="72" t="s">
        <v>268</v>
      </c>
      <c r="I294" s="497" t="s">
        <v>98</v>
      </c>
      <c r="J294" s="518">
        <v>20.399999999999999</v>
      </c>
      <c r="K294" s="355">
        <f t="shared" si="18"/>
        <v>255</v>
      </c>
      <c r="L294" s="519">
        <v>255</v>
      </c>
      <c r="M294" s="519"/>
      <c r="N294" s="516" t="e">
        <f>IF(L294="nio",0,IF(L294&gt;0,L294*J294/P294,0))*VLOOKUP(B294,'2-Kosten per locatie'!$A$14:$C$23,3,FALSE)</f>
        <v>#DIV/0!</v>
      </c>
      <c r="O294" s="262">
        <f>IF(M294&gt;0,M294*J294/Q294,0)*VLOOKUP(B294,'2-Kosten per locatie'!$A$14:$C$23,3,FALSE)</f>
        <v>0</v>
      </c>
      <c r="P294" s="356">
        <f>IF(L294="nio",0,IF(L294&gt;0,VLOOKUP(G294,'3-Productie normen'!A:L,VLOOKUP(L294,'3-Productie normen'!$B$32:$C$39,2,FALSE),FALSE)))</f>
        <v>0</v>
      </c>
      <c r="Q294" s="356">
        <f t="shared" si="19"/>
        <v>0</v>
      </c>
      <c r="R294" s="357" t="str">
        <f>VLOOKUP(G294,'3-Productie normen'!A:N,14,FALSE)</f>
        <v>B</v>
      </c>
      <c r="S294" s="357"/>
      <c r="U294" s="358">
        <f t="shared" si="20"/>
        <v>5202</v>
      </c>
    </row>
    <row r="295" spans="1:21" ht="14.1" customHeight="1">
      <c r="A295" s="75">
        <v>295</v>
      </c>
      <c r="B295" s="497" t="s">
        <v>272</v>
      </c>
      <c r="C295" s="320" t="s">
        <v>273</v>
      </c>
      <c r="D295" s="353" t="s">
        <v>459</v>
      </c>
      <c r="E295" s="354" t="s">
        <v>448</v>
      </c>
      <c r="F295" s="517" t="s">
        <v>300</v>
      </c>
      <c r="G295" s="517" t="s">
        <v>499</v>
      </c>
      <c r="H295" s="72" t="s">
        <v>268</v>
      </c>
      <c r="I295" s="497" t="s">
        <v>98</v>
      </c>
      <c r="J295" s="518">
        <v>30</v>
      </c>
      <c r="K295" s="355">
        <f t="shared" si="18"/>
        <v>255</v>
      </c>
      <c r="L295" s="519">
        <v>255</v>
      </c>
      <c r="M295" s="519"/>
      <c r="N295" s="516" t="e">
        <f>IF(L295="nio",0,IF(L295&gt;0,L295*J295/P295,0))*VLOOKUP(B295,'2-Kosten per locatie'!$A$14:$C$23,3,FALSE)</f>
        <v>#DIV/0!</v>
      </c>
      <c r="O295" s="262">
        <f>IF(M295&gt;0,M295*J295/Q295,0)*VLOOKUP(B295,'2-Kosten per locatie'!$A$14:$C$23,3,FALSE)</f>
        <v>0</v>
      </c>
      <c r="P295" s="356">
        <f>IF(L295="nio",0,IF(L295&gt;0,VLOOKUP(G295,'3-Productie normen'!A:L,VLOOKUP(L295,'3-Productie normen'!$B$32:$C$39,2,FALSE),FALSE)))</f>
        <v>0</v>
      </c>
      <c r="Q295" s="356">
        <f t="shared" si="19"/>
        <v>0</v>
      </c>
      <c r="R295" s="357" t="str">
        <f>VLOOKUP(G295,'3-Productie normen'!A:N,14,FALSE)</f>
        <v>B</v>
      </c>
      <c r="S295" s="357"/>
      <c r="U295" s="358">
        <f t="shared" si="20"/>
        <v>7650</v>
      </c>
    </row>
    <row r="296" spans="1:21" ht="14.1" customHeight="1">
      <c r="A296" s="75">
        <v>296</v>
      </c>
      <c r="B296" s="498" t="s">
        <v>272</v>
      </c>
      <c r="C296" s="320" t="s">
        <v>273</v>
      </c>
      <c r="D296" s="353" t="s">
        <v>459</v>
      </c>
      <c r="E296" s="354" t="s">
        <v>449</v>
      </c>
      <c r="F296" s="517" t="s">
        <v>300</v>
      </c>
      <c r="G296" s="517" t="s">
        <v>499</v>
      </c>
      <c r="H296" s="72" t="s">
        <v>268</v>
      </c>
      <c r="I296" s="497" t="s">
        <v>98</v>
      </c>
      <c r="J296" s="518">
        <v>25</v>
      </c>
      <c r="K296" s="355">
        <f t="shared" si="18"/>
        <v>255</v>
      </c>
      <c r="L296" s="519">
        <v>255</v>
      </c>
      <c r="M296" s="519"/>
      <c r="N296" s="516" t="e">
        <f>IF(L296="nio",0,IF(L296&gt;0,L296*J296/P296,0))*VLOOKUP(B296,'2-Kosten per locatie'!$A$14:$C$23,3,FALSE)</f>
        <v>#DIV/0!</v>
      </c>
      <c r="O296" s="262">
        <f>IF(M296&gt;0,M296*J296/Q296,0)*VLOOKUP(B296,'2-Kosten per locatie'!$A$14:$C$23,3,FALSE)</f>
        <v>0</v>
      </c>
      <c r="P296" s="356">
        <f>IF(L296="nio",0,IF(L296&gt;0,VLOOKUP(G296,'3-Productie normen'!A:L,VLOOKUP(L296,'3-Productie normen'!$B$32:$C$39,2,FALSE),FALSE)))</f>
        <v>0</v>
      </c>
      <c r="Q296" s="356">
        <f t="shared" si="19"/>
        <v>0</v>
      </c>
      <c r="R296" s="357" t="str">
        <f>VLOOKUP(G296,'3-Productie normen'!A:N,14,FALSE)</f>
        <v>B</v>
      </c>
      <c r="S296" s="357"/>
      <c r="U296" s="358">
        <f t="shared" si="20"/>
        <v>6375</v>
      </c>
    </row>
    <row r="297" spans="1:21" ht="14.1" customHeight="1">
      <c r="A297" s="75">
        <v>297</v>
      </c>
      <c r="B297" s="497" t="s">
        <v>272</v>
      </c>
      <c r="C297" s="320" t="s">
        <v>273</v>
      </c>
      <c r="D297" s="353" t="s">
        <v>459</v>
      </c>
      <c r="E297" s="354" t="s">
        <v>450</v>
      </c>
      <c r="F297" s="517" t="s">
        <v>300</v>
      </c>
      <c r="G297" s="517" t="s">
        <v>499</v>
      </c>
      <c r="H297" s="72" t="s">
        <v>268</v>
      </c>
      <c r="I297" s="497" t="s">
        <v>98</v>
      </c>
      <c r="J297" s="518">
        <v>50</v>
      </c>
      <c r="K297" s="355">
        <f t="shared" si="18"/>
        <v>255</v>
      </c>
      <c r="L297" s="519">
        <v>255</v>
      </c>
      <c r="M297" s="519"/>
      <c r="N297" s="516" t="e">
        <f>IF(L297="nio",0,IF(L297&gt;0,L297*J297/P297,0))*VLOOKUP(B297,'2-Kosten per locatie'!$A$14:$C$23,3,FALSE)</f>
        <v>#DIV/0!</v>
      </c>
      <c r="O297" s="262">
        <f>IF(M297&gt;0,M297*J297/Q297,0)*VLOOKUP(B297,'2-Kosten per locatie'!$A$14:$C$23,3,FALSE)</f>
        <v>0</v>
      </c>
      <c r="P297" s="356">
        <f>IF(L297="nio",0,IF(L297&gt;0,VLOOKUP(G297,'3-Productie normen'!A:L,VLOOKUP(L297,'3-Productie normen'!$B$32:$C$39,2,FALSE),FALSE)))</f>
        <v>0</v>
      </c>
      <c r="Q297" s="356">
        <f t="shared" si="19"/>
        <v>0</v>
      </c>
      <c r="R297" s="357" t="str">
        <f>VLOOKUP(G297,'3-Productie normen'!A:N,14,FALSE)</f>
        <v>B</v>
      </c>
      <c r="S297" s="357"/>
      <c r="U297" s="358">
        <f t="shared" si="20"/>
        <v>12750</v>
      </c>
    </row>
    <row r="298" spans="1:21" ht="14.1" customHeight="1">
      <c r="A298" s="75">
        <v>298</v>
      </c>
      <c r="B298" s="498" t="s">
        <v>272</v>
      </c>
      <c r="C298" s="320" t="s">
        <v>273</v>
      </c>
      <c r="D298" s="353" t="s">
        <v>459</v>
      </c>
      <c r="E298" s="354" t="s">
        <v>451</v>
      </c>
      <c r="F298" s="517" t="s">
        <v>300</v>
      </c>
      <c r="G298" s="517" t="s">
        <v>499</v>
      </c>
      <c r="H298" s="72" t="s">
        <v>268</v>
      </c>
      <c r="I298" s="497" t="s">
        <v>98</v>
      </c>
      <c r="J298" s="518">
        <v>13.7</v>
      </c>
      <c r="K298" s="355">
        <f t="shared" si="18"/>
        <v>255</v>
      </c>
      <c r="L298" s="519">
        <v>255</v>
      </c>
      <c r="M298" s="519"/>
      <c r="N298" s="516" t="e">
        <f>IF(L298="nio",0,IF(L298&gt;0,L298*J298/P298,0))*VLOOKUP(B298,'2-Kosten per locatie'!$A$14:$C$23,3,FALSE)</f>
        <v>#DIV/0!</v>
      </c>
      <c r="O298" s="262">
        <f>IF(M298&gt;0,M298*J298/Q298,0)*VLOOKUP(B298,'2-Kosten per locatie'!$A$14:$C$23,3,FALSE)</f>
        <v>0</v>
      </c>
      <c r="P298" s="356">
        <f>IF(L298="nio",0,IF(L298&gt;0,VLOOKUP(G298,'3-Productie normen'!A:L,VLOOKUP(L298,'3-Productie normen'!$B$32:$C$39,2,FALSE),FALSE)))</f>
        <v>0</v>
      </c>
      <c r="Q298" s="356">
        <f t="shared" si="19"/>
        <v>0</v>
      </c>
      <c r="R298" s="357" t="str">
        <f>VLOOKUP(G298,'3-Productie normen'!A:N,14,FALSE)</f>
        <v>B</v>
      </c>
      <c r="S298" s="357"/>
      <c r="U298" s="358">
        <f t="shared" si="20"/>
        <v>3493.5</v>
      </c>
    </row>
    <row r="299" spans="1:21" ht="14.1" customHeight="1">
      <c r="A299" s="75">
        <v>299</v>
      </c>
      <c r="B299" s="497" t="s">
        <v>272</v>
      </c>
      <c r="C299" s="320" t="s">
        <v>273</v>
      </c>
      <c r="D299" s="353" t="s">
        <v>459</v>
      </c>
      <c r="E299" s="354"/>
      <c r="F299" s="517" t="s">
        <v>257</v>
      </c>
      <c r="G299" s="517" t="s">
        <v>60</v>
      </c>
      <c r="H299" s="72" t="s">
        <v>268</v>
      </c>
      <c r="I299" s="497" t="s">
        <v>98</v>
      </c>
      <c r="J299" s="518">
        <v>186.4</v>
      </c>
      <c r="K299" s="355">
        <f t="shared" si="18"/>
        <v>255</v>
      </c>
      <c r="L299" s="519">
        <v>255</v>
      </c>
      <c r="M299" s="519"/>
      <c r="N299" s="516" t="e">
        <f>IF(L299="nio",0,IF(L299&gt;0,L299*J299/P299,0))*VLOOKUP(B299,'2-Kosten per locatie'!$A$14:$C$23,3,FALSE)</f>
        <v>#DIV/0!</v>
      </c>
      <c r="O299" s="262">
        <f>IF(M299&gt;0,M299*J299/Q299,0)*VLOOKUP(B299,'2-Kosten per locatie'!$A$14:$C$23,3,FALSE)</f>
        <v>0</v>
      </c>
      <c r="P299" s="356">
        <f>IF(L299="nio",0,IF(L299&gt;0,VLOOKUP(G299,'3-Productie normen'!A:L,VLOOKUP(L299,'3-Productie normen'!$B$32:$C$39,2,FALSE),FALSE)))</f>
        <v>0</v>
      </c>
      <c r="Q299" s="356">
        <f t="shared" si="19"/>
        <v>0</v>
      </c>
      <c r="R299" s="357" t="str">
        <f>VLOOKUP(G299,'3-Productie normen'!A:N,14,FALSE)</f>
        <v>V</v>
      </c>
      <c r="S299" s="357"/>
      <c r="U299" s="358">
        <f t="shared" si="20"/>
        <v>47532</v>
      </c>
    </row>
    <row r="300" spans="1:21" ht="14.1" customHeight="1">
      <c r="A300" s="75">
        <v>300</v>
      </c>
      <c r="B300" s="498" t="s">
        <v>272</v>
      </c>
      <c r="C300" s="320" t="s">
        <v>273</v>
      </c>
      <c r="D300" s="353" t="s">
        <v>459</v>
      </c>
      <c r="E300" s="354"/>
      <c r="F300" s="517" t="s">
        <v>65</v>
      </c>
      <c r="G300" s="517" t="s">
        <v>65</v>
      </c>
      <c r="H300" s="72" t="s">
        <v>268</v>
      </c>
      <c r="I300" s="497" t="s">
        <v>98</v>
      </c>
      <c r="J300" s="518">
        <v>18.100000000000001</v>
      </c>
      <c r="K300" s="355">
        <f t="shared" si="18"/>
        <v>255</v>
      </c>
      <c r="L300" s="519">
        <v>255</v>
      </c>
      <c r="M300" s="519"/>
      <c r="N300" s="516" t="e">
        <f>IF(L300="nio",0,IF(L300&gt;0,L300*J300/P300,0))*VLOOKUP(B300,'2-Kosten per locatie'!$A$14:$C$23,3,FALSE)</f>
        <v>#DIV/0!</v>
      </c>
      <c r="O300" s="262">
        <f>IF(M300&gt;0,M300*J300/Q300,0)*VLOOKUP(B300,'2-Kosten per locatie'!$A$14:$C$23,3,FALSE)</f>
        <v>0</v>
      </c>
      <c r="P300" s="356">
        <f>IF(L300="nio",0,IF(L300&gt;0,VLOOKUP(G300,'3-Productie normen'!A:L,VLOOKUP(L300,'3-Productie normen'!$B$32:$C$39,2,FALSE),FALSE)))</f>
        <v>0</v>
      </c>
      <c r="Q300" s="356">
        <f t="shared" si="19"/>
        <v>0</v>
      </c>
      <c r="R300" s="357" t="str">
        <f>VLOOKUP(G300,'3-Productie normen'!A:N,14,FALSE)</f>
        <v>V</v>
      </c>
      <c r="S300" s="357"/>
      <c r="U300" s="358">
        <f t="shared" si="20"/>
        <v>4615.5</v>
      </c>
    </row>
    <row r="301" spans="1:21" ht="14.1" customHeight="1">
      <c r="A301" s="75">
        <v>301</v>
      </c>
      <c r="B301" s="497" t="s">
        <v>272</v>
      </c>
      <c r="C301" s="320" t="s">
        <v>273</v>
      </c>
      <c r="D301" s="353" t="s">
        <v>459</v>
      </c>
      <c r="E301" s="354" t="s">
        <v>452</v>
      </c>
      <c r="F301" s="517" t="s">
        <v>264</v>
      </c>
      <c r="G301" s="517" t="s">
        <v>500</v>
      </c>
      <c r="H301" s="72" t="s">
        <v>268</v>
      </c>
      <c r="I301" s="497" t="s">
        <v>98</v>
      </c>
      <c r="J301" s="518">
        <v>5</v>
      </c>
      <c r="K301" s="355">
        <f t="shared" si="18"/>
        <v>255</v>
      </c>
      <c r="L301" s="519">
        <v>255</v>
      </c>
      <c r="M301" s="519"/>
      <c r="N301" s="516" t="e">
        <f>IF(L301="nio",0,IF(L301&gt;0,L301*J301/P301,0))*VLOOKUP(B301,'2-Kosten per locatie'!$A$14:$C$23,3,FALSE)</f>
        <v>#DIV/0!</v>
      </c>
      <c r="O301" s="262">
        <f>IF(M301&gt;0,M301*J301/Q301,0)*VLOOKUP(B301,'2-Kosten per locatie'!$A$14:$C$23,3,FALSE)</f>
        <v>0</v>
      </c>
      <c r="P301" s="356">
        <f>IF(L301="nio",0,IF(L301&gt;0,VLOOKUP(G301,'3-Productie normen'!A:L,VLOOKUP(L301,'3-Productie normen'!$B$32:$C$39,2,FALSE),FALSE)))</f>
        <v>0</v>
      </c>
      <c r="Q301" s="356">
        <f t="shared" si="19"/>
        <v>0</v>
      </c>
      <c r="R301" s="357" t="str">
        <f>VLOOKUP(G301,'3-Productie normen'!A:N,14,FALSE)</f>
        <v>V</v>
      </c>
      <c r="S301" s="357"/>
      <c r="U301" s="358">
        <f t="shared" si="20"/>
        <v>1275</v>
      </c>
    </row>
    <row r="302" spans="1:21" ht="14.1" customHeight="1">
      <c r="A302" s="75">
        <v>302</v>
      </c>
      <c r="B302" s="498" t="s">
        <v>272</v>
      </c>
      <c r="C302" s="320" t="s">
        <v>273</v>
      </c>
      <c r="D302" s="353" t="s">
        <v>459</v>
      </c>
      <c r="E302" s="354" t="s">
        <v>453</v>
      </c>
      <c r="F302" s="517" t="s">
        <v>259</v>
      </c>
      <c r="G302" s="517" t="s">
        <v>58</v>
      </c>
      <c r="H302" s="72" t="s">
        <v>269</v>
      </c>
      <c r="I302" s="497" t="s">
        <v>96</v>
      </c>
      <c r="J302" s="518">
        <v>4.7</v>
      </c>
      <c r="K302" s="355">
        <f t="shared" si="18"/>
        <v>510</v>
      </c>
      <c r="L302" s="519">
        <v>255</v>
      </c>
      <c r="M302" s="519">
        <v>255</v>
      </c>
      <c r="N302" s="516" t="e">
        <f>IF(L302="nio",0,IF(L302&gt;0,L302*J302/P302,0))*VLOOKUP(B302,'2-Kosten per locatie'!$A$14:$C$23,3,FALSE)</f>
        <v>#DIV/0!</v>
      </c>
      <c r="O302" s="262" t="e">
        <f>IF(M302&gt;0,M302*J302/Q302,0)*VLOOKUP(B302,'2-Kosten per locatie'!$A$14:$C$23,3,FALSE)</f>
        <v>#DIV/0!</v>
      </c>
      <c r="P302" s="356">
        <f>IF(L302="nio",0,IF(L302&gt;0,VLOOKUP(G302,'3-Productie normen'!A:L,VLOOKUP(L302,'3-Productie normen'!$B$32:$C$39,2,FALSE),FALSE)))</f>
        <v>0</v>
      </c>
      <c r="Q302" s="356">
        <f t="shared" si="19"/>
        <v>0</v>
      </c>
      <c r="R302" s="357" t="str">
        <f>VLOOKUP(G302,'3-Productie normen'!A:N,14,FALSE)</f>
        <v>S</v>
      </c>
      <c r="S302" s="357"/>
      <c r="U302" s="358">
        <f t="shared" si="20"/>
        <v>2397</v>
      </c>
    </row>
    <row r="303" spans="1:21" ht="14.1" customHeight="1">
      <c r="A303" s="75">
        <v>303</v>
      </c>
      <c r="B303" s="497" t="s">
        <v>272</v>
      </c>
      <c r="C303" s="320" t="s">
        <v>273</v>
      </c>
      <c r="D303" s="353" t="s">
        <v>459</v>
      </c>
      <c r="E303" s="354" t="s">
        <v>454</v>
      </c>
      <c r="F303" s="517" t="s">
        <v>259</v>
      </c>
      <c r="G303" s="517" t="s">
        <v>58</v>
      </c>
      <c r="H303" s="72" t="s">
        <v>269</v>
      </c>
      <c r="I303" s="497" t="s">
        <v>96</v>
      </c>
      <c r="J303" s="518">
        <v>8.8000000000000007</v>
      </c>
      <c r="K303" s="355">
        <f t="shared" si="18"/>
        <v>510</v>
      </c>
      <c r="L303" s="519">
        <v>255</v>
      </c>
      <c r="M303" s="519">
        <v>255</v>
      </c>
      <c r="N303" s="516" t="e">
        <f>IF(L303="nio",0,IF(L303&gt;0,L303*J303/P303,0))*VLOOKUP(B303,'2-Kosten per locatie'!$A$14:$C$23,3,FALSE)</f>
        <v>#DIV/0!</v>
      </c>
      <c r="O303" s="262" t="e">
        <f>IF(M303&gt;0,M303*J303/Q303,0)*VLOOKUP(B303,'2-Kosten per locatie'!$A$14:$C$23,3,FALSE)</f>
        <v>#DIV/0!</v>
      </c>
      <c r="P303" s="356">
        <f>IF(L303="nio",0,IF(L303&gt;0,VLOOKUP(G303,'3-Productie normen'!A:L,VLOOKUP(L303,'3-Productie normen'!$B$32:$C$39,2,FALSE),FALSE)))</f>
        <v>0</v>
      </c>
      <c r="Q303" s="356">
        <f t="shared" si="19"/>
        <v>0</v>
      </c>
      <c r="R303" s="357" t="str">
        <f>VLOOKUP(G303,'3-Productie normen'!A:N,14,FALSE)</f>
        <v>S</v>
      </c>
      <c r="S303" s="357"/>
      <c r="U303" s="358">
        <f t="shared" si="20"/>
        <v>4488</v>
      </c>
    </row>
    <row r="304" spans="1:21" ht="14.1" customHeight="1">
      <c r="A304" s="75">
        <v>304</v>
      </c>
      <c r="B304" s="498" t="s">
        <v>272</v>
      </c>
      <c r="C304" s="320" t="s">
        <v>273</v>
      </c>
      <c r="D304" s="353" t="s">
        <v>459</v>
      </c>
      <c r="E304" s="354" t="s">
        <v>455</v>
      </c>
      <c r="F304" s="517" t="s">
        <v>259</v>
      </c>
      <c r="G304" s="517" t="s">
        <v>58</v>
      </c>
      <c r="H304" s="72" t="s">
        <v>269</v>
      </c>
      <c r="I304" s="497" t="s">
        <v>96</v>
      </c>
      <c r="J304" s="518">
        <v>4.7</v>
      </c>
      <c r="K304" s="355">
        <f t="shared" si="18"/>
        <v>510</v>
      </c>
      <c r="L304" s="519">
        <v>255</v>
      </c>
      <c r="M304" s="519">
        <v>255</v>
      </c>
      <c r="N304" s="516" t="e">
        <f>IF(L304="nio",0,IF(L304&gt;0,L304*J304/P304,0))*VLOOKUP(B304,'2-Kosten per locatie'!$A$14:$C$23,3,FALSE)</f>
        <v>#DIV/0!</v>
      </c>
      <c r="O304" s="262" t="e">
        <f>IF(M304&gt;0,M304*J304/Q304,0)*VLOOKUP(B304,'2-Kosten per locatie'!$A$14:$C$23,3,FALSE)</f>
        <v>#DIV/0!</v>
      </c>
      <c r="P304" s="356">
        <f>IF(L304="nio",0,IF(L304&gt;0,VLOOKUP(G304,'3-Productie normen'!A:L,VLOOKUP(L304,'3-Productie normen'!$B$32:$C$39,2,FALSE),FALSE)))</f>
        <v>0</v>
      </c>
      <c r="Q304" s="356">
        <f t="shared" si="19"/>
        <v>0</v>
      </c>
      <c r="R304" s="357" t="str">
        <f>VLOOKUP(G304,'3-Productie normen'!A:N,14,FALSE)</f>
        <v>S</v>
      </c>
      <c r="S304" s="357"/>
      <c r="U304" s="358">
        <f t="shared" si="20"/>
        <v>2397</v>
      </c>
    </row>
    <row r="305" spans="1:21" ht="14.1" customHeight="1">
      <c r="A305" s="75">
        <v>305</v>
      </c>
      <c r="B305" s="497" t="s">
        <v>272</v>
      </c>
      <c r="C305" s="320" t="s">
        <v>273</v>
      </c>
      <c r="D305" s="353" t="s">
        <v>459</v>
      </c>
      <c r="E305" s="354" t="s">
        <v>456</v>
      </c>
      <c r="F305" s="517" t="s">
        <v>259</v>
      </c>
      <c r="G305" s="517" t="s">
        <v>58</v>
      </c>
      <c r="H305" s="72" t="s">
        <v>269</v>
      </c>
      <c r="I305" s="497" t="s">
        <v>96</v>
      </c>
      <c r="J305" s="518">
        <v>8.3000000000000007</v>
      </c>
      <c r="K305" s="355">
        <f t="shared" si="18"/>
        <v>510</v>
      </c>
      <c r="L305" s="519">
        <v>255</v>
      </c>
      <c r="M305" s="519">
        <v>255</v>
      </c>
      <c r="N305" s="516" t="e">
        <f>IF(L305="nio",0,IF(L305&gt;0,L305*J305/P305,0))*VLOOKUP(B305,'2-Kosten per locatie'!$A$14:$C$23,3,FALSE)</f>
        <v>#DIV/0!</v>
      </c>
      <c r="O305" s="262" t="e">
        <f>IF(M305&gt;0,M305*J305/Q305,0)*VLOOKUP(B305,'2-Kosten per locatie'!$A$14:$C$23,3,FALSE)</f>
        <v>#DIV/0!</v>
      </c>
      <c r="P305" s="356">
        <f>IF(L305="nio",0,IF(L305&gt;0,VLOOKUP(G305,'3-Productie normen'!A:L,VLOOKUP(L305,'3-Productie normen'!$B$32:$C$39,2,FALSE),FALSE)))</f>
        <v>0</v>
      </c>
      <c r="Q305" s="356">
        <f t="shared" si="19"/>
        <v>0</v>
      </c>
      <c r="R305" s="357" t="str">
        <f>VLOOKUP(G305,'3-Productie normen'!A:N,14,FALSE)</f>
        <v>S</v>
      </c>
      <c r="S305" s="357"/>
      <c r="U305" s="358">
        <f t="shared" si="20"/>
        <v>4233</v>
      </c>
    </row>
    <row r="306" spans="1:21" ht="14.1" customHeight="1">
      <c r="A306" s="75">
        <v>306</v>
      </c>
      <c r="B306" s="498" t="s">
        <v>272</v>
      </c>
      <c r="C306" s="320" t="s">
        <v>273</v>
      </c>
      <c r="D306" s="353" t="s">
        <v>459</v>
      </c>
      <c r="E306" s="354"/>
      <c r="F306" s="517" t="s">
        <v>257</v>
      </c>
      <c r="G306" s="517" t="s">
        <v>60</v>
      </c>
      <c r="H306" s="72" t="s">
        <v>268</v>
      </c>
      <c r="I306" s="497" t="s">
        <v>98</v>
      </c>
      <c r="J306" s="518">
        <v>71.400000000000006</v>
      </c>
      <c r="K306" s="355">
        <f t="shared" si="18"/>
        <v>255</v>
      </c>
      <c r="L306" s="519">
        <v>255</v>
      </c>
      <c r="M306" s="519"/>
      <c r="N306" s="516" t="e">
        <f>IF(L306="nio",0,IF(L306&gt;0,L306*J306/P306,0))*VLOOKUP(B306,'2-Kosten per locatie'!$A$14:$C$23,3,FALSE)</f>
        <v>#DIV/0!</v>
      </c>
      <c r="O306" s="262">
        <f>IF(M306&gt;0,M306*J306/Q306,0)*VLOOKUP(B306,'2-Kosten per locatie'!$A$14:$C$23,3,FALSE)</f>
        <v>0</v>
      </c>
      <c r="P306" s="356">
        <f>IF(L306="nio",0,IF(L306&gt;0,VLOOKUP(G306,'3-Productie normen'!A:L,VLOOKUP(L306,'3-Productie normen'!$B$32:$C$39,2,FALSE),FALSE)))</f>
        <v>0</v>
      </c>
      <c r="Q306" s="356">
        <f t="shared" si="19"/>
        <v>0</v>
      </c>
      <c r="R306" s="357" t="str">
        <f>VLOOKUP(G306,'3-Productie normen'!A:N,14,FALSE)</f>
        <v>V</v>
      </c>
      <c r="S306" s="357"/>
      <c r="U306" s="358">
        <f t="shared" si="20"/>
        <v>18207</v>
      </c>
    </row>
    <row r="307" spans="1:21" ht="14.1" customHeight="1">
      <c r="A307" s="75">
        <v>307</v>
      </c>
      <c r="B307" s="497" t="s">
        <v>272</v>
      </c>
      <c r="C307" s="320" t="s">
        <v>273</v>
      </c>
      <c r="D307" s="353" t="s">
        <v>459</v>
      </c>
      <c r="E307" s="354" t="s">
        <v>457</v>
      </c>
      <c r="F307" s="517" t="s">
        <v>264</v>
      </c>
      <c r="G307" s="517" t="s">
        <v>500</v>
      </c>
      <c r="H307" s="72" t="s">
        <v>268</v>
      </c>
      <c r="I307" s="497" t="s">
        <v>98</v>
      </c>
      <c r="J307" s="518">
        <v>5</v>
      </c>
      <c r="K307" s="355">
        <f t="shared" si="18"/>
        <v>255</v>
      </c>
      <c r="L307" s="519">
        <v>255</v>
      </c>
      <c r="M307" s="519"/>
      <c r="N307" s="516" t="e">
        <f>IF(L307="nio",0,IF(L307&gt;0,L307*J307/P307,0))*VLOOKUP(B307,'2-Kosten per locatie'!$A$14:$C$23,3,FALSE)</f>
        <v>#DIV/0!</v>
      </c>
      <c r="O307" s="262">
        <f>IF(M307&gt;0,M307*J307/Q307,0)*VLOOKUP(B307,'2-Kosten per locatie'!$A$14:$C$23,3,FALSE)</f>
        <v>0</v>
      </c>
      <c r="P307" s="356">
        <f>IF(L307="nio",0,IF(L307&gt;0,VLOOKUP(G307,'3-Productie normen'!A:L,VLOOKUP(L307,'3-Productie normen'!$B$32:$C$39,2,FALSE),FALSE)))</f>
        <v>0</v>
      </c>
      <c r="Q307" s="356">
        <f t="shared" si="19"/>
        <v>0</v>
      </c>
      <c r="R307" s="357" t="str">
        <f>VLOOKUP(G307,'3-Productie normen'!A:N,14,FALSE)</f>
        <v>V</v>
      </c>
      <c r="S307" s="357"/>
      <c r="U307" s="358">
        <f t="shared" si="20"/>
        <v>1275</v>
      </c>
    </row>
    <row r="308" spans="1:21" ht="14.1" customHeight="1">
      <c r="A308" s="75">
        <v>308</v>
      </c>
      <c r="B308" s="498" t="s">
        <v>272</v>
      </c>
      <c r="C308" s="320" t="s">
        <v>273</v>
      </c>
      <c r="D308" s="353" t="s">
        <v>459</v>
      </c>
      <c r="E308" s="354"/>
      <c r="F308" s="517" t="s">
        <v>66</v>
      </c>
      <c r="G308" s="517" t="s">
        <v>66</v>
      </c>
      <c r="H308" s="72" t="s">
        <v>269</v>
      </c>
      <c r="I308" s="497" t="s">
        <v>99</v>
      </c>
      <c r="J308" s="518"/>
      <c r="K308" s="355">
        <f t="shared" si="18"/>
        <v>0</v>
      </c>
      <c r="L308" s="519" t="s">
        <v>463</v>
      </c>
      <c r="M308" s="519"/>
      <c r="N308" s="516">
        <f>IF(L308="nio",0,IF(L308&gt;0,L308*J308/P308,0))*VLOOKUP(B308,'2-Kosten per locatie'!$A$14:$C$23,3,FALSE)</f>
        <v>0</v>
      </c>
      <c r="O308" s="262">
        <f>IF(M308&gt;0,M308*J308/Q308,0)*VLOOKUP(B308,'2-Kosten per locatie'!$A$14:$C$23,3,FALSE)</f>
        <v>0</v>
      </c>
      <c r="P308" s="356">
        <f>IF(L308="nio",0,IF(L308&gt;0,VLOOKUP(G308,'3-Productie normen'!A:L,VLOOKUP(L308,'3-Productie normen'!$B$32:$C$39,2,FALSE),FALSE)))</f>
        <v>0</v>
      </c>
      <c r="Q308" s="356">
        <f t="shared" si="19"/>
        <v>0</v>
      </c>
      <c r="R308" s="357" t="str">
        <f>VLOOKUP(G308,'3-Productie normen'!A:N,14,FALSE)</f>
        <v>V</v>
      </c>
      <c r="S308" s="357"/>
      <c r="U308" s="358">
        <f t="shared" si="20"/>
        <v>0</v>
      </c>
    </row>
    <row r="309" spans="1:21" ht="14.1" customHeight="1">
      <c r="A309" s="75">
        <v>309</v>
      </c>
      <c r="B309" s="497" t="s">
        <v>272</v>
      </c>
      <c r="C309" s="320" t="s">
        <v>273</v>
      </c>
      <c r="D309" s="353" t="s">
        <v>459</v>
      </c>
      <c r="E309" s="354"/>
      <c r="F309" s="517" t="s">
        <v>65</v>
      </c>
      <c r="G309" s="517" t="s">
        <v>65</v>
      </c>
      <c r="H309" s="72" t="s">
        <v>268</v>
      </c>
      <c r="I309" s="497" t="s">
        <v>98</v>
      </c>
      <c r="J309" s="518">
        <v>16.399999999999999</v>
      </c>
      <c r="K309" s="355">
        <f t="shared" si="18"/>
        <v>255</v>
      </c>
      <c r="L309" s="519">
        <v>255</v>
      </c>
      <c r="M309" s="519"/>
      <c r="N309" s="516" t="e">
        <f>IF(L309="nio",0,IF(L309&gt;0,L309*J309/P309,0))*VLOOKUP(B309,'2-Kosten per locatie'!$A$14:$C$23,3,FALSE)</f>
        <v>#DIV/0!</v>
      </c>
      <c r="O309" s="262">
        <f>IF(M309&gt;0,M309*J309/Q309,0)*VLOOKUP(B309,'2-Kosten per locatie'!$A$14:$C$23,3,FALSE)</f>
        <v>0</v>
      </c>
      <c r="P309" s="356">
        <f>IF(L309="nio",0,IF(L309&gt;0,VLOOKUP(G309,'3-Productie normen'!A:L,VLOOKUP(L309,'3-Productie normen'!$B$32:$C$39,2,FALSE),FALSE)))</f>
        <v>0</v>
      </c>
      <c r="Q309" s="356">
        <f t="shared" si="19"/>
        <v>0</v>
      </c>
      <c r="R309" s="357" t="str">
        <f>VLOOKUP(G309,'3-Productie normen'!A:N,14,FALSE)</f>
        <v>V</v>
      </c>
      <c r="S309" s="357"/>
      <c r="U309" s="358">
        <f t="shared" si="20"/>
        <v>4182</v>
      </c>
    </row>
    <row r="310" spans="1:21" ht="14.1" customHeight="1">
      <c r="A310" s="75">
        <v>310</v>
      </c>
      <c r="B310" s="497" t="s">
        <v>498</v>
      </c>
      <c r="C310" s="320" t="s">
        <v>523</v>
      </c>
      <c r="D310" s="353" t="s">
        <v>94</v>
      </c>
      <c r="E310" s="354"/>
      <c r="F310" s="517" t="s">
        <v>64</v>
      </c>
      <c r="G310" s="517" t="s">
        <v>64</v>
      </c>
      <c r="H310" s="72" t="s">
        <v>461</v>
      </c>
      <c r="I310" s="497" t="s">
        <v>567</v>
      </c>
      <c r="J310" s="518">
        <v>14.399999999999999</v>
      </c>
      <c r="K310" s="355">
        <f t="shared" si="18"/>
        <v>156</v>
      </c>
      <c r="L310" s="519">
        <v>156</v>
      </c>
      <c r="M310" s="519"/>
      <c r="N310" s="516" t="e">
        <f>IF(L310="nio",0,IF(L310&gt;0,L310*J310/P310,0))*VLOOKUP(B310,'2-Kosten per locatie'!$A$14:$C$23,3,FALSE)</f>
        <v>#DIV/0!</v>
      </c>
      <c r="O310" s="262">
        <f>IF(M310&gt;0,M310*J310/Q310,0)*VLOOKUP(B310,'2-Kosten per locatie'!$A$14:$C$23,3,FALSE)</f>
        <v>0</v>
      </c>
      <c r="P310" s="356">
        <f>IF(L310="nio",0,IF(L310&gt;0,VLOOKUP(G310,'3-Productie normen'!A:L,VLOOKUP(L310,'3-Productie normen'!$B$32:$C$39,2,FALSE),FALSE)))</f>
        <v>0</v>
      </c>
      <c r="Q310" s="356">
        <f t="shared" ref="Q310:Q316" si="21">IF(M310&gt;0,P310*$Q$8,0)</f>
        <v>0</v>
      </c>
      <c r="R310" s="357" t="str">
        <f>VLOOKUP(G310,'3-Productie normen'!A:N,14,FALSE)</f>
        <v>V</v>
      </c>
      <c r="S310" s="357"/>
      <c r="U310" s="358">
        <f t="shared" ref="U310:U316" si="22">K310*J310</f>
        <v>2246.3999999999996</v>
      </c>
    </row>
    <row r="311" spans="1:21" ht="14.1" customHeight="1">
      <c r="A311" s="75">
        <v>311</v>
      </c>
      <c r="B311" s="497" t="s">
        <v>498</v>
      </c>
      <c r="C311" s="320" t="s">
        <v>523</v>
      </c>
      <c r="D311" s="353" t="s">
        <v>94</v>
      </c>
      <c r="E311" s="354"/>
      <c r="F311" s="517" t="s">
        <v>259</v>
      </c>
      <c r="G311" s="517" t="s">
        <v>58</v>
      </c>
      <c r="H311" s="72" t="s">
        <v>461</v>
      </c>
      <c r="I311" s="497" t="s">
        <v>567</v>
      </c>
      <c r="J311" s="518">
        <v>1.8</v>
      </c>
      <c r="K311" s="355">
        <f t="shared" si="18"/>
        <v>156</v>
      </c>
      <c r="L311" s="519">
        <v>156</v>
      </c>
      <c r="M311" s="519"/>
      <c r="N311" s="516" t="e">
        <f>IF(L311="nio",0,IF(L311&gt;0,L311*J311/P311,0))*VLOOKUP(B311,'2-Kosten per locatie'!$A$14:$C$23,3,FALSE)</f>
        <v>#DIV/0!</v>
      </c>
      <c r="O311" s="262">
        <f>IF(M311&gt;0,M311*J311/Q311,0)*VLOOKUP(B311,'2-Kosten per locatie'!$A$14:$C$23,3,FALSE)</f>
        <v>0</v>
      </c>
      <c r="P311" s="356">
        <f>IF(L311="nio",0,IF(L311&gt;0,VLOOKUP(G311,'3-Productie normen'!A:L,VLOOKUP(L311,'3-Productie normen'!$B$32:$C$39,2,FALSE),FALSE)))</f>
        <v>0</v>
      </c>
      <c r="Q311" s="356">
        <f t="shared" si="21"/>
        <v>0</v>
      </c>
      <c r="R311" s="357" t="str">
        <f>VLOOKUP(G311,'3-Productie normen'!A:N,14,FALSE)</f>
        <v>S</v>
      </c>
      <c r="S311" s="357"/>
      <c r="U311" s="358">
        <f t="shared" si="22"/>
        <v>280.8</v>
      </c>
    </row>
    <row r="312" spans="1:21" ht="14.1" customHeight="1">
      <c r="A312" s="75">
        <v>312</v>
      </c>
      <c r="B312" s="497" t="s">
        <v>498</v>
      </c>
      <c r="C312" s="320" t="s">
        <v>523</v>
      </c>
      <c r="D312" s="353" t="s">
        <v>94</v>
      </c>
      <c r="E312" s="354"/>
      <c r="F312" s="517" t="s">
        <v>259</v>
      </c>
      <c r="G312" s="517" t="s">
        <v>58</v>
      </c>
      <c r="H312" s="72" t="s">
        <v>461</v>
      </c>
      <c r="I312" s="497" t="s">
        <v>567</v>
      </c>
      <c r="J312" s="518">
        <v>1.8</v>
      </c>
      <c r="K312" s="355">
        <f t="shared" ref="K312:K345" si="23">SUM(L312:M312)</f>
        <v>156</v>
      </c>
      <c r="L312" s="519">
        <v>156</v>
      </c>
      <c r="M312" s="519"/>
      <c r="N312" s="516" t="e">
        <f>IF(L312="nio",0,IF(L312&gt;0,L312*J312/P312,0))*VLOOKUP(B312,'2-Kosten per locatie'!$A$14:$C$23,3,FALSE)</f>
        <v>#DIV/0!</v>
      </c>
      <c r="O312" s="262">
        <f>IF(M312&gt;0,M312*J312/Q312,0)*VLOOKUP(B312,'2-Kosten per locatie'!$A$14:$C$23,3,FALSE)</f>
        <v>0</v>
      </c>
      <c r="P312" s="356">
        <f>IF(L312="nio",0,IF(L312&gt;0,VLOOKUP(G312,'3-Productie normen'!A:L,VLOOKUP(L312,'3-Productie normen'!$B$32:$C$39,2,FALSE),FALSE)))</f>
        <v>0</v>
      </c>
      <c r="Q312" s="356">
        <f t="shared" si="21"/>
        <v>0</v>
      </c>
      <c r="R312" s="357" t="str">
        <f>VLOOKUP(G312,'3-Productie normen'!A:N,14,FALSE)</f>
        <v>S</v>
      </c>
      <c r="S312" s="357"/>
      <c r="U312" s="358">
        <f t="shared" si="22"/>
        <v>280.8</v>
      </c>
    </row>
    <row r="313" spans="1:21" ht="14.1" customHeight="1">
      <c r="A313" s="75">
        <v>313</v>
      </c>
      <c r="B313" s="497" t="s">
        <v>498</v>
      </c>
      <c r="C313" s="320" t="s">
        <v>523</v>
      </c>
      <c r="D313" s="353" t="s">
        <v>94</v>
      </c>
      <c r="E313" s="354"/>
      <c r="F313" s="517" t="s">
        <v>262</v>
      </c>
      <c r="G313" s="517" t="s">
        <v>63</v>
      </c>
      <c r="H313" s="72" t="s">
        <v>461</v>
      </c>
      <c r="I313" s="497" t="s">
        <v>567</v>
      </c>
      <c r="J313" s="518">
        <v>18</v>
      </c>
      <c r="K313" s="355">
        <f t="shared" si="23"/>
        <v>156</v>
      </c>
      <c r="L313" s="519">
        <v>156</v>
      </c>
      <c r="M313" s="519"/>
      <c r="N313" s="516" t="e">
        <f>IF(L313="nio",0,IF(L313&gt;0,L313*J313/P313,0))*VLOOKUP(B313,'2-Kosten per locatie'!$A$14:$C$23,3,FALSE)</f>
        <v>#DIV/0!</v>
      </c>
      <c r="O313" s="262">
        <f>IF(M313&gt;0,M313*J313/Q313,0)*VLOOKUP(B313,'2-Kosten per locatie'!$A$14:$C$23,3,FALSE)</f>
        <v>0</v>
      </c>
      <c r="P313" s="356">
        <f>IF(L313="nio",0,IF(L313&gt;0,VLOOKUP(G313,'3-Productie normen'!A:L,VLOOKUP(L313,'3-Productie normen'!$B$32:$C$39,2,FALSE),FALSE)))</f>
        <v>0</v>
      </c>
      <c r="Q313" s="356">
        <f t="shared" si="21"/>
        <v>0</v>
      </c>
      <c r="R313" s="357" t="str">
        <f>VLOOKUP(G313,'3-Productie normen'!A:N,14,FALSE)</f>
        <v>B</v>
      </c>
      <c r="S313" s="357"/>
      <c r="U313" s="358">
        <f t="shared" si="22"/>
        <v>2808</v>
      </c>
    </row>
    <row r="314" spans="1:21" ht="14.1" customHeight="1">
      <c r="A314" s="75">
        <v>314</v>
      </c>
      <c r="B314" s="497" t="s">
        <v>498</v>
      </c>
      <c r="C314" s="320" t="s">
        <v>523</v>
      </c>
      <c r="D314" s="353" t="s">
        <v>94</v>
      </c>
      <c r="E314" s="354"/>
      <c r="F314" s="517" t="s">
        <v>262</v>
      </c>
      <c r="G314" s="517" t="s">
        <v>63</v>
      </c>
      <c r="H314" s="72" t="s">
        <v>461</v>
      </c>
      <c r="I314" s="497" t="s">
        <v>567</v>
      </c>
      <c r="J314" s="518">
        <v>18</v>
      </c>
      <c r="K314" s="355">
        <f t="shared" si="23"/>
        <v>156</v>
      </c>
      <c r="L314" s="519">
        <v>156</v>
      </c>
      <c r="M314" s="519"/>
      <c r="N314" s="516" t="e">
        <f>IF(L314="nio",0,IF(L314&gt;0,L314*J314/P314,0))*VLOOKUP(B314,'2-Kosten per locatie'!$A$14:$C$23,3,FALSE)</f>
        <v>#DIV/0!</v>
      </c>
      <c r="O314" s="262">
        <f>IF(M314&gt;0,M314*J314/Q314,0)*VLOOKUP(B314,'2-Kosten per locatie'!$A$14:$C$23,3,FALSE)</f>
        <v>0</v>
      </c>
      <c r="P314" s="356">
        <f>IF(L314="nio",0,IF(L314&gt;0,VLOOKUP(G314,'3-Productie normen'!A:L,VLOOKUP(L314,'3-Productie normen'!$B$32:$C$39,2,FALSE),FALSE)))</f>
        <v>0</v>
      </c>
      <c r="Q314" s="356">
        <f t="shared" si="21"/>
        <v>0</v>
      </c>
      <c r="R314" s="357" t="str">
        <f>VLOOKUP(G314,'3-Productie normen'!A:N,14,FALSE)</f>
        <v>B</v>
      </c>
      <c r="S314" s="357"/>
      <c r="U314" s="358">
        <f t="shared" si="22"/>
        <v>2808</v>
      </c>
    </row>
    <row r="315" spans="1:21" ht="14.1" customHeight="1">
      <c r="A315" s="75">
        <v>315</v>
      </c>
      <c r="B315" s="497" t="s">
        <v>498</v>
      </c>
      <c r="C315" s="320" t="s">
        <v>523</v>
      </c>
      <c r="D315" s="353" t="s">
        <v>94</v>
      </c>
      <c r="E315" s="354"/>
      <c r="F315" s="517" t="s">
        <v>262</v>
      </c>
      <c r="G315" s="517" t="s">
        <v>63</v>
      </c>
      <c r="H315" s="72" t="s">
        <v>461</v>
      </c>
      <c r="I315" s="497" t="s">
        <v>567</v>
      </c>
      <c r="J315" s="518">
        <v>27</v>
      </c>
      <c r="K315" s="355">
        <f t="shared" si="23"/>
        <v>156</v>
      </c>
      <c r="L315" s="519">
        <v>156</v>
      </c>
      <c r="M315" s="519"/>
      <c r="N315" s="516" t="e">
        <f>IF(L315="nio",0,IF(L315&gt;0,L315*J315/P315,0))*VLOOKUP(B315,'2-Kosten per locatie'!$A$14:$C$23,3,FALSE)</f>
        <v>#DIV/0!</v>
      </c>
      <c r="O315" s="262">
        <f>IF(M315&gt;0,M315*J315/Q315,0)*VLOOKUP(B315,'2-Kosten per locatie'!$A$14:$C$23,3,FALSE)</f>
        <v>0</v>
      </c>
      <c r="P315" s="356">
        <f>IF(L315="nio",0,IF(L315&gt;0,VLOOKUP(G315,'3-Productie normen'!A:L,VLOOKUP(L315,'3-Productie normen'!$B$32:$C$39,2,FALSE),FALSE)))</f>
        <v>0</v>
      </c>
      <c r="Q315" s="356">
        <f t="shared" si="21"/>
        <v>0</v>
      </c>
      <c r="R315" s="357" t="str">
        <f>VLOOKUP(G315,'3-Productie normen'!A:N,14,FALSE)</f>
        <v>B</v>
      </c>
      <c r="S315" s="357"/>
      <c r="U315" s="358">
        <f t="shared" si="22"/>
        <v>4212</v>
      </c>
    </row>
    <row r="316" spans="1:21" ht="14.1" customHeight="1">
      <c r="A316" s="75">
        <v>316</v>
      </c>
      <c r="B316" s="497" t="s">
        <v>498</v>
      </c>
      <c r="C316" s="320" t="s">
        <v>523</v>
      </c>
      <c r="D316" s="353" t="s">
        <v>94</v>
      </c>
      <c r="E316" s="354"/>
      <c r="F316" s="517" t="s">
        <v>262</v>
      </c>
      <c r="G316" s="517" t="s">
        <v>63</v>
      </c>
      <c r="H316" s="72" t="s">
        <v>461</v>
      </c>
      <c r="I316" s="497" t="s">
        <v>567</v>
      </c>
      <c r="J316" s="518">
        <v>27</v>
      </c>
      <c r="K316" s="355">
        <f t="shared" si="23"/>
        <v>156</v>
      </c>
      <c r="L316" s="519">
        <v>156</v>
      </c>
      <c r="M316" s="519"/>
      <c r="N316" s="516" t="e">
        <f>IF(L316="nio",0,IF(L316&gt;0,L316*J316/P316,0))*VLOOKUP(B316,'2-Kosten per locatie'!$A$14:$C$23,3,FALSE)</f>
        <v>#DIV/0!</v>
      </c>
      <c r="O316" s="262">
        <f>IF(M316&gt;0,M316*J316/Q316,0)*VLOOKUP(B316,'2-Kosten per locatie'!$A$14:$C$23,3,FALSE)</f>
        <v>0</v>
      </c>
      <c r="P316" s="356">
        <f>IF(L316="nio",0,IF(L316&gt;0,VLOOKUP(G316,'3-Productie normen'!A:L,VLOOKUP(L316,'3-Productie normen'!$B$32:$C$39,2,FALSE),FALSE)))</f>
        <v>0</v>
      </c>
      <c r="Q316" s="356">
        <f t="shared" si="21"/>
        <v>0</v>
      </c>
      <c r="R316" s="357" t="str">
        <f>VLOOKUP(G316,'3-Productie normen'!A:N,14,FALSE)</f>
        <v>B</v>
      </c>
      <c r="S316" s="357"/>
      <c r="U316" s="358">
        <f t="shared" si="22"/>
        <v>4212</v>
      </c>
    </row>
    <row r="317" spans="1:21" ht="14.1" customHeight="1">
      <c r="A317" s="75">
        <v>317</v>
      </c>
      <c r="B317" s="497" t="s">
        <v>497</v>
      </c>
      <c r="C317" s="320"/>
      <c r="D317" s="353" t="s">
        <v>94</v>
      </c>
      <c r="E317" s="354" t="s">
        <v>483</v>
      </c>
      <c r="F317" s="517" t="s">
        <v>531</v>
      </c>
      <c r="G317" s="517" t="s">
        <v>64</v>
      </c>
      <c r="H317" s="72" t="s">
        <v>557</v>
      </c>
      <c r="I317" s="497" t="s">
        <v>99</v>
      </c>
      <c r="J317" s="518">
        <v>17.100000000000001</v>
      </c>
      <c r="K317" s="355">
        <f t="shared" si="23"/>
        <v>255</v>
      </c>
      <c r="L317" s="519">
        <v>255</v>
      </c>
      <c r="M317" s="519"/>
      <c r="N317" s="516" t="e">
        <f>IF(L317="nio",0,IF(L317&gt;0,L317*J317/P317,0))*VLOOKUP(B317,'2-Kosten per locatie'!$A$14:$C$23,3,FALSE)</f>
        <v>#DIV/0!</v>
      </c>
      <c r="O317" s="262">
        <f>IF(M317&gt;0,M317*J317/Q317,0)*VLOOKUP(B317,'2-Kosten per locatie'!$A$14:$C$23,3,FALSE)</f>
        <v>0</v>
      </c>
      <c r="P317" s="356">
        <f>IF(L317="nio",0,IF(L317&gt;0,VLOOKUP(G317,'3-Productie normen'!A:L,VLOOKUP(L317,'3-Productie normen'!$B$32:$C$39,2,FALSE),FALSE)))</f>
        <v>0</v>
      </c>
      <c r="Q317" s="356">
        <f t="shared" ref="Q317:Q345" si="24">IF(M317&gt;0,P317*$Q$8,0)</f>
        <v>0</v>
      </c>
      <c r="R317" s="357" t="str">
        <f>VLOOKUP(G317,'3-Productie normen'!A:N,14,FALSE)</f>
        <v>V</v>
      </c>
      <c r="S317" s="357"/>
      <c r="U317" s="358">
        <f t="shared" ref="U317:U345" si="25">K317*J317</f>
        <v>4360.5</v>
      </c>
    </row>
    <row r="318" spans="1:21" ht="14.1" customHeight="1">
      <c r="A318" s="75">
        <v>318</v>
      </c>
      <c r="B318" s="497" t="s">
        <v>497</v>
      </c>
      <c r="C318" s="320"/>
      <c r="D318" s="353" t="s">
        <v>94</v>
      </c>
      <c r="E318" s="354" t="s">
        <v>318</v>
      </c>
      <c r="F318" s="517" t="s">
        <v>532</v>
      </c>
      <c r="G318" s="517" t="s">
        <v>60</v>
      </c>
      <c r="H318" s="72" t="s">
        <v>557</v>
      </c>
      <c r="I318" s="497" t="s">
        <v>99</v>
      </c>
      <c r="J318" s="518">
        <v>26.6</v>
      </c>
      <c r="K318" s="355">
        <f t="shared" si="23"/>
        <v>255</v>
      </c>
      <c r="L318" s="519">
        <v>255</v>
      </c>
      <c r="M318" s="519"/>
      <c r="N318" s="516" t="e">
        <f>IF(L318="nio",0,IF(L318&gt;0,L318*J318/P318,0))*VLOOKUP(B318,'2-Kosten per locatie'!$A$14:$C$23,3,FALSE)</f>
        <v>#DIV/0!</v>
      </c>
      <c r="O318" s="262">
        <f>IF(M318&gt;0,M318*J318/Q318,0)*VLOOKUP(B318,'2-Kosten per locatie'!$A$14:$C$23,3,FALSE)</f>
        <v>0</v>
      </c>
      <c r="P318" s="356">
        <f>IF(L318="nio",0,IF(L318&gt;0,VLOOKUP(G318,'3-Productie normen'!A:L,VLOOKUP(L318,'3-Productie normen'!$B$32:$C$39,2,FALSE),FALSE)))</f>
        <v>0</v>
      </c>
      <c r="Q318" s="356">
        <f t="shared" si="24"/>
        <v>0</v>
      </c>
      <c r="R318" s="357" t="str">
        <f>VLOOKUP(G318,'3-Productie normen'!A:N,14,FALSE)</f>
        <v>V</v>
      </c>
      <c r="S318" s="357"/>
      <c r="U318" s="358">
        <f t="shared" si="25"/>
        <v>6783</v>
      </c>
    </row>
    <row r="319" spans="1:21" ht="14.1" customHeight="1">
      <c r="A319" s="75">
        <v>319</v>
      </c>
      <c r="B319" s="497" t="s">
        <v>497</v>
      </c>
      <c r="C319" s="320"/>
      <c r="D319" s="353" t="s">
        <v>94</v>
      </c>
      <c r="E319" s="354" t="s">
        <v>484</v>
      </c>
      <c r="F319" s="517" t="s">
        <v>533</v>
      </c>
      <c r="G319" s="517" t="s">
        <v>58</v>
      </c>
      <c r="H319" s="72" t="s">
        <v>557</v>
      </c>
      <c r="I319" s="497" t="s">
        <v>96</v>
      </c>
      <c r="J319" s="518">
        <v>4.3</v>
      </c>
      <c r="K319" s="355">
        <f t="shared" si="23"/>
        <v>255</v>
      </c>
      <c r="L319" s="519">
        <v>255</v>
      </c>
      <c r="M319" s="519"/>
      <c r="N319" s="516" t="e">
        <f>IF(L319="nio",0,IF(L319&gt;0,L319*J319/P319,0))*VLOOKUP(B319,'2-Kosten per locatie'!$A$14:$C$23,3,FALSE)</f>
        <v>#DIV/0!</v>
      </c>
      <c r="O319" s="262">
        <f>IF(M319&gt;0,M319*J319/Q319,0)*VLOOKUP(B319,'2-Kosten per locatie'!$A$14:$C$23,3,FALSE)</f>
        <v>0</v>
      </c>
      <c r="P319" s="356">
        <f>IF(L319="nio",0,IF(L319&gt;0,VLOOKUP(G319,'3-Productie normen'!A:L,VLOOKUP(L319,'3-Productie normen'!$B$32:$C$39,2,FALSE),FALSE)))</f>
        <v>0</v>
      </c>
      <c r="Q319" s="356">
        <f t="shared" si="24"/>
        <v>0</v>
      </c>
      <c r="R319" s="357" t="str">
        <f>VLOOKUP(G319,'3-Productie normen'!A:N,14,FALSE)</f>
        <v>S</v>
      </c>
      <c r="S319" s="357"/>
      <c r="U319" s="358">
        <f t="shared" si="25"/>
        <v>1096.5</v>
      </c>
    </row>
    <row r="320" spans="1:21" ht="14.1" customHeight="1">
      <c r="A320" s="75">
        <v>320</v>
      </c>
      <c r="B320" s="497" t="s">
        <v>497</v>
      </c>
      <c r="C320" s="320"/>
      <c r="D320" s="353" t="s">
        <v>94</v>
      </c>
      <c r="E320" s="354" t="s">
        <v>317</v>
      </c>
      <c r="F320" s="517" t="s">
        <v>534</v>
      </c>
      <c r="G320" s="517" t="s">
        <v>564</v>
      </c>
      <c r="H320" s="72" t="s">
        <v>557</v>
      </c>
      <c r="I320" s="497" t="s">
        <v>99</v>
      </c>
      <c r="J320" s="518">
        <v>51.9</v>
      </c>
      <c r="K320" s="355">
        <f t="shared" si="23"/>
        <v>255</v>
      </c>
      <c r="L320" s="519">
        <v>255</v>
      </c>
      <c r="M320" s="519"/>
      <c r="N320" s="516" t="e">
        <f>IF(L320="nio",0,IF(L320&gt;0,L320*J320/P320,0))*VLOOKUP(B320,'2-Kosten per locatie'!$A$14:$C$23,3,FALSE)</f>
        <v>#DIV/0!</v>
      </c>
      <c r="O320" s="262">
        <f>IF(M320&gt;0,M320*J320/Q320,0)*VLOOKUP(B320,'2-Kosten per locatie'!$A$14:$C$23,3,FALSE)</f>
        <v>0</v>
      </c>
      <c r="P320" s="356">
        <f>IF(L320="nio",0,IF(L320&gt;0,VLOOKUP(G320,'3-Productie normen'!A:L,VLOOKUP(L320,'3-Productie normen'!$B$32:$C$39,2,FALSE),FALSE)))</f>
        <v>0</v>
      </c>
      <c r="Q320" s="356">
        <f t="shared" si="24"/>
        <v>0</v>
      </c>
      <c r="R320" s="357" t="str">
        <f>VLOOKUP(G320,'3-Productie normen'!A:N,14,FALSE)</f>
        <v>V</v>
      </c>
      <c r="S320" s="357"/>
      <c r="U320" s="358">
        <f t="shared" si="25"/>
        <v>13234.5</v>
      </c>
    </row>
    <row r="321" spans="1:21" ht="14.1" customHeight="1">
      <c r="A321" s="75">
        <v>321</v>
      </c>
      <c r="B321" s="497" t="s">
        <v>497</v>
      </c>
      <c r="C321" s="320"/>
      <c r="D321" s="353" t="s">
        <v>94</v>
      </c>
      <c r="E321" s="354" t="s">
        <v>473</v>
      </c>
      <c r="F321" s="517" t="s">
        <v>535</v>
      </c>
      <c r="G321" s="517" t="s">
        <v>60</v>
      </c>
      <c r="H321" s="72" t="s">
        <v>557</v>
      </c>
      <c r="I321" s="497" t="s">
        <v>99</v>
      </c>
      <c r="J321" s="518">
        <v>8.1</v>
      </c>
      <c r="K321" s="355">
        <f t="shared" si="23"/>
        <v>255</v>
      </c>
      <c r="L321" s="519">
        <v>255</v>
      </c>
      <c r="M321" s="519"/>
      <c r="N321" s="516" t="e">
        <f>IF(L321="nio",0,IF(L321&gt;0,L321*J321/P321,0))*VLOOKUP(B321,'2-Kosten per locatie'!$A$14:$C$23,3,FALSE)</f>
        <v>#DIV/0!</v>
      </c>
      <c r="O321" s="262">
        <f>IF(M321&gt;0,M321*J321/Q321,0)*VLOOKUP(B321,'2-Kosten per locatie'!$A$14:$C$23,3,FALSE)</f>
        <v>0</v>
      </c>
      <c r="P321" s="356">
        <f>IF(L321="nio",0,IF(L321&gt;0,VLOOKUP(G321,'3-Productie normen'!A:L,VLOOKUP(L321,'3-Productie normen'!$B$32:$C$39,2,FALSE),FALSE)))</f>
        <v>0</v>
      </c>
      <c r="Q321" s="356">
        <f t="shared" si="24"/>
        <v>0</v>
      </c>
      <c r="R321" s="357" t="str">
        <f>VLOOKUP(G321,'3-Productie normen'!A:N,14,FALSE)</f>
        <v>V</v>
      </c>
      <c r="S321" s="357"/>
      <c r="U321" s="358">
        <f t="shared" si="25"/>
        <v>2065.5</v>
      </c>
    </row>
    <row r="322" spans="1:21" ht="14.1" customHeight="1">
      <c r="A322" s="75">
        <v>322</v>
      </c>
      <c r="B322" s="497" t="s">
        <v>497</v>
      </c>
      <c r="C322" s="320"/>
      <c r="D322" s="353" t="s">
        <v>94</v>
      </c>
      <c r="E322" s="354" t="s">
        <v>315</v>
      </c>
      <c r="F322" s="517" t="s">
        <v>536</v>
      </c>
      <c r="G322" s="517" t="s">
        <v>564</v>
      </c>
      <c r="H322" s="72" t="s">
        <v>557</v>
      </c>
      <c r="I322" s="497" t="s">
        <v>99</v>
      </c>
      <c r="J322" s="518">
        <v>15.1</v>
      </c>
      <c r="K322" s="355">
        <f t="shared" si="23"/>
        <v>255</v>
      </c>
      <c r="L322" s="519">
        <v>255</v>
      </c>
      <c r="M322" s="519"/>
      <c r="N322" s="516" t="e">
        <f>IF(L322="nio",0,IF(L322&gt;0,L322*J322/P322,0))*VLOOKUP(B322,'2-Kosten per locatie'!$A$14:$C$23,3,FALSE)</f>
        <v>#DIV/0!</v>
      </c>
      <c r="O322" s="262">
        <f>IF(M322&gt;0,M322*J322/Q322,0)*VLOOKUP(B322,'2-Kosten per locatie'!$A$14:$C$23,3,FALSE)</f>
        <v>0</v>
      </c>
      <c r="P322" s="356">
        <f>IF(L322="nio",0,IF(L322&gt;0,VLOOKUP(G322,'3-Productie normen'!A:L,VLOOKUP(L322,'3-Productie normen'!$B$32:$C$39,2,FALSE),FALSE)))</f>
        <v>0</v>
      </c>
      <c r="Q322" s="356">
        <f t="shared" si="24"/>
        <v>0</v>
      </c>
      <c r="R322" s="357" t="str">
        <f>VLOOKUP(G322,'3-Productie normen'!A:N,14,FALSE)</f>
        <v>V</v>
      </c>
      <c r="S322" s="357"/>
      <c r="U322" s="358">
        <f t="shared" si="25"/>
        <v>3850.5</v>
      </c>
    </row>
    <row r="323" spans="1:21" ht="14.1" customHeight="1">
      <c r="A323" s="75">
        <v>323</v>
      </c>
      <c r="B323" s="497" t="s">
        <v>497</v>
      </c>
      <c r="C323" s="320"/>
      <c r="D323" s="353" t="s">
        <v>94</v>
      </c>
      <c r="E323" s="354" t="s">
        <v>316</v>
      </c>
      <c r="F323" s="517" t="s">
        <v>535</v>
      </c>
      <c r="G323" s="517" t="s">
        <v>60</v>
      </c>
      <c r="H323" s="72" t="s">
        <v>557</v>
      </c>
      <c r="I323" s="497" t="s">
        <v>99</v>
      </c>
      <c r="J323" s="518">
        <v>1.7</v>
      </c>
      <c r="K323" s="355">
        <f t="shared" si="23"/>
        <v>255</v>
      </c>
      <c r="L323" s="519">
        <v>255</v>
      </c>
      <c r="M323" s="519"/>
      <c r="N323" s="516" t="e">
        <f>IF(L323="nio",0,IF(L323&gt;0,L323*J323/P323,0))*VLOOKUP(B323,'2-Kosten per locatie'!$A$14:$C$23,3,FALSE)</f>
        <v>#DIV/0!</v>
      </c>
      <c r="O323" s="262">
        <f>IF(M323&gt;0,M323*J323/Q323,0)*VLOOKUP(B323,'2-Kosten per locatie'!$A$14:$C$23,3,FALSE)</f>
        <v>0</v>
      </c>
      <c r="P323" s="356">
        <f>IF(L323="nio",0,IF(L323&gt;0,VLOOKUP(G323,'3-Productie normen'!A:L,VLOOKUP(L323,'3-Productie normen'!$B$32:$C$39,2,FALSE),FALSE)))</f>
        <v>0</v>
      </c>
      <c r="Q323" s="356">
        <f t="shared" si="24"/>
        <v>0</v>
      </c>
      <c r="R323" s="357" t="str">
        <f>VLOOKUP(G323,'3-Productie normen'!A:N,14,FALSE)</f>
        <v>V</v>
      </c>
      <c r="S323" s="357"/>
      <c r="U323" s="358">
        <f t="shared" si="25"/>
        <v>433.5</v>
      </c>
    </row>
    <row r="324" spans="1:21" ht="14.1" customHeight="1">
      <c r="A324" s="75">
        <v>324</v>
      </c>
      <c r="B324" s="497" t="s">
        <v>497</v>
      </c>
      <c r="C324" s="320"/>
      <c r="D324" s="353" t="s">
        <v>94</v>
      </c>
      <c r="E324" s="354" t="s">
        <v>539</v>
      </c>
      <c r="F324" s="517" t="s">
        <v>259</v>
      </c>
      <c r="G324" s="517" t="s">
        <v>58</v>
      </c>
      <c r="H324" s="72" t="s">
        <v>557</v>
      </c>
      <c r="I324" s="497" t="s">
        <v>96</v>
      </c>
      <c r="J324" s="518">
        <v>1.7</v>
      </c>
      <c r="K324" s="355">
        <f t="shared" si="23"/>
        <v>255</v>
      </c>
      <c r="L324" s="519">
        <v>255</v>
      </c>
      <c r="M324" s="519"/>
      <c r="N324" s="516" t="e">
        <f>IF(L324="nio",0,IF(L324&gt;0,L324*J324/P324,0))*VLOOKUP(B324,'2-Kosten per locatie'!$A$14:$C$23,3,FALSE)</f>
        <v>#DIV/0!</v>
      </c>
      <c r="O324" s="262">
        <f>IF(M324&gt;0,M324*J324/Q324,0)*VLOOKUP(B324,'2-Kosten per locatie'!$A$14:$C$23,3,FALSE)</f>
        <v>0</v>
      </c>
      <c r="P324" s="356">
        <f>IF(L324="nio",0,IF(L324&gt;0,VLOOKUP(G324,'3-Productie normen'!A:L,VLOOKUP(L324,'3-Productie normen'!$B$32:$C$39,2,FALSE),FALSE)))</f>
        <v>0</v>
      </c>
      <c r="Q324" s="356">
        <f t="shared" si="24"/>
        <v>0</v>
      </c>
      <c r="R324" s="357" t="str">
        <f>VLOOKUP(G324,'3-Productie normen'!A:N,14,FALSE)</f>
        <v>S</v>
      </c>
      <c r="S324" s="357"/>
      <c r="U324" s="358">
        <f t="shared" si="25"/>
        <v>433.5</v>
      </c>
    </row>
    <row r="325" spans="1:21" ht="14.1" customHeight="1">
      <c r="A325" s="75">
        <v>325</v>
      </c>
      <c r="B325" s="497" t="s">
        <v>497</v>
      </c>
      <c r="C325" s="320"/>
      <c r="D325" s="353" t="s">
        <v>94</v>
      </c>
      <c r="E325" s="354" t="s">
        <v>314</v>
      </c>
      <c r="F325" s="517" t="s">
        <v>537</v>
      </c>
      <c r="G325" s="517" t="s">
        <v>564</v>
      </c>
      <c r="H325" s="72" t="s">
        <v>557</v>
      </c>
      <c r="I325" s="497" t="s">
        <v>99</v>
      </c>
      <c r="J325" s="518">
        <v>6.8</v>
      </c>
      <c r="K325" s="355">
        <f t="shared" si="23"/>
        <v>255</v>
      </c>
      <c r="L325" s="519">
        <v>255</v>
      </c>
      <c r="M325" s="519"/>
      <c r="N325" s="516" t="e">
        <f>IF(L325="nio",0,IF(L325&gt;0,L325*J325/P325,0))*VLOOKUP(B325,'2-Kosten per locatie'!$A$14:$C$23,3,FALSE)</f>
        <v>#DIV/0!</v>
      </c>
      <c r="O325" s="262">
        <f>IF(M325&gt;0,M325*J325/Q325,0)*VLOOKUP(B325,'2-Kosten per locatie'!$A$14:$C$23,3,FALSE)</f>
        <v>0</v>
      </c>
      <c r="P325" s="356">
        <f>IF(L325="nio",0,IF(L325&gt;0,VLOOKUP(G325,'3-Productie normen'!A:L,VLOOKUP(L325,'3-Productie normen'!$B$32:$C$39,2,FALSE),FALSE)))</f>
        <v>0</v>
      </c>
      <c r="Q325" s="356">
        <f t="shared" si="24"/>
        <v>0</v>
      </c>
      <c r="R325" s="357" t="str">
        <f>VLOOKUP(G325,'3-Productie normen'!A:N,14,FALSE)</f>
        <v>V</v>
      </c>
      <c r="S325" s="357"/>
      <c r="U325" s="358">
        <f t="shared" si="25"/>
        <v>1734</v>
      </c>
    </row>
    <row r="326" spans="1:21" ht="14.1" customHeight="1">
      <c r="A326" s="75">
        <v>326</v>
      </c>
      <c r="B326" s="497" t="s">
        <v>497</v>
      </c>
      <c r="C326" s="320"/>
      <c r="D326" s="353" t="s">
        <v>94</v>
      </c>
      <c r="E326" s="354" t="s">
        <v>313</v>
      </c>
      <c r="F326" s="517" t="s">
        <v>540</v>
      </c>
      <c r="G326" s="517" t="s">
        <v>564</v>
      </c>
      <c r="H326" s="72" t="s">
        <v>557</v>
      </c>
      <c r="I326" s="497" t="s">
        <v>99</v>
      </c>
      <c r="J326" s="518">
        <v>38</v>
      </c>
      <c r="K326" s="355">
        <f t="shared" si="23"/>
        <v>255</v>
      </c>
      <c r="L326" s="519">
        <v>255</v>
      </c>
      <c r="M326" s="519"/>
      <c r="N326" s="516" t="e">
        <f>IF(L326="nio",0,IF(L326&gt;0,L326*J326/P326,0))*VLOOKUP(B326,'2-Kosten per locatie'!$A$14:$C$23,3,FALSE)</f>
        <v>#DIV/0!</v>
      </c>
      <c r="O326" s="262">
        <f>IF(M326&gt;0,M326*J326/Q326,0)*VLOOKUP(B326,'2-Kosten per locatie'!$A$14:$C$23,3,FALSE)</f>
        <v>0</v>
      </c>
      <c r="P326" s="356">
        <f>IF(L326="nio",0,IF(L326&gt;0,VLOOKUP(G326,'3-Productie normen'!A:L,VLOOKUP(L326,'3-Productie normen'!$B$32:$C$39,2,FALSE),FALSE)))</f>
        <v>0</v>
      </c>
      <c r="Q326" s="356">
        <f t="shared" si="24"/>
        <v>0</v>
      </c>
      <c r="R326" s="357" t="str">
        <f>VLOOKUP(G326,'3-Productie normen'!A:N,14,FALSE)</f>
        <v>V</v>
      </c>
      <c r="S326" s="357"/>
      <c r="U326" s="358">
        <f t="shared" si="25"/>
        <v>9690</v>
      </c>
    </row>
    <row r="327" spans="1:21" ht="14.1" customHeight="1">
      <c r="A327" s="75">
        <v>327</v>
      </c>
      <c r="B327" s="497" t="s">
        <v>497</v>
      </c>
      <c r="C327" s="320"/>
      <c r="D327" s="353" t="s">
        <v>94</v>
      </c>
      <c r="E327" s="354" t="s">
        <v>472</v>
      </c>
      <c r="F327" s="517" t="s">
        <v>541</v>
      </c>
      <c r="G327" s="517" t="s">
        <v>564</v>
      </c>
      <c r="H327" s="72" t="s">
        <v>557</v>
      </c>
      <c r="I327" s="497" t="s">
        <v>99</v>
      </c>
      <c r="J327" s="518">
        <v>148.19999999999999</v>
      </c>
      <c r="K327" s="355">
        <f t="shared" si="23"/>
        <v>255</v>
      </c>
      <c r="L327" s="519">
        <v>255</v>
      </c>
      <c r="M327" s="519"/>
      <c r="N327" s="516" t="e">
        <f>IF(L327="nio",0,IF(L327&gt;0,L327*J327/P327,0))*VLOOKUP(B327,'2-Kosten per locatie'!$A$14:$C$23,3,FALSE)</f>
        <v>#DIV/0!</v>
      </c>
      <c r="O327" s="262">
        <f>IF(M327&gt;0,M327*J327/Q327,0)*VLOOKUP(B327,'2-Kosten per locatie'!$A$14:$C$23,3,FALSE)</f>
        <v>0</v>
      </c>
      <c r="P327" s="356">
        <f>IF(L327="nio",0,IF(L327&gt;0,VLOOKUP(G327,'3-Productie normen'!A:L,VLOOKUP(L327,'3-Productie normen'!$B$32:$C$39,2,FALSE),FALSE)))</f>
        <v>0</v>
      </c>
      <c r="Q327" s="356">
        <f t="shared" si="24"/>
        <v>0</v>
      </c>
      <c r="R327" s="357" t="str">
        <f>VLOOKUP(G327,'3-Productie normen'!A:N,14,FALSE)</f>
        <v>V</v>
      </c>
      <c r="S327" s="357"/>
      <c r="U327" s="358">
        <f t="shared" si="25"/>
        <v>37791</v>
      </c>
    </row>
    <row r="328" spans="1:21" ht="14.1" customHeight="1">
      <c r="A328" s="75">
        <v>328</v>
      </c>
      <c r="B328" s="497" t="s">
        <v>497</v>
      </c>
      <c r="C328" s="320"/>
      <c r="D328" s="353" t="s">
        <v>94</v>
      </c>
      <c r="E328" s="354" t="s">
        <v>311</v>
      </c>
      <c r="F328" s="517" t="s">
        <v>542</v>
      </c>
      <c r="G328" s="517" t="s">
        <v>564</v>
      </c>
      <c r="H328" s="72" t="s">
        <v>557</v>
      </c>
      <c r="I328" s="497" t="s">
        <v>99</v>
      </c>
      <c r="J328" s="518">
        <v>10.3</v>
      </c>
      <c r="K328" s="355">
        <f t="shared" si="23"/>
        <v>255</v>
      </c>
      <c r="L328" s="519">
        <v>255</v>
      </c>
      <c r="M328" s="519"/>
      <c r="N328" s="516" t="e">
        <f>IF(L328="nio",0,IF(L328&gt;0,L328*J328/P328,0))*VLOOKUP(B328,'2-Kosten per locatie'!$A$14:$C$23,3,FALSE)</f>
        <v>#DIV/0!</v>
      </c>
      <c r="O328" s="262">
        <f>IF(M328&gt;0,M328*J328/Q328,0)*VLOOKUP(B328,'2-Kosten per locatie'!$A$14:$C$23,3,FALSE)</f>
        <v>0</v>
      </c>
      <c r="P328" s="356">
        <f>IF(L328="nio",0,IF(L328&gt;0,VLOOKUP(G328,'3-Productie normen'!A:L,VLOOKUP(L328,'3-Productie normen'!$B$32:$C$39,2,FALSE),FALSE)))</f>
        <v>0</v>
      </c>
      <c r="Q328" s="356">
        <f t="shared" si="24"/>
        <v>0</v>
      </c>
      <c r="R328" s="357" t="str">
        <f>VLOOKUP(G328,'3-Productie normen'!A:N,14,FALSE)</f>
        <v>V</v>
      </c>
      <c r="S328" s="357"/>
      <c r="U328" s="358">
        <f t="shared" si="25"/>
        <v>2626.5</v>
      </c>
    </row>
    <row r="329" spans="1:21" ht="14.1" customHeight="1">
      <c r="A329" s="75">
        <v>329</v>
      </c>
      <c r="B329" s="497" t="s">
        <v>497</v>
      </c>
      <c r="C329" s="320"/>
      <c r="D329" s="353" t="s">
        <v>94</v>
      </c>
      <c r="E329" s="354" t="s">
        <v>310</v>
      </c>
      <c r="F329" s="517" t="s">
        <v>543</v>
      </c>
      <c r="G329" s="517" t="s">
        <v>564</v>
      </c>
      <c r="H329" s="72" t="s">
        <v>557</v>
      </c>
      <c r="I329" s="497" t="s">
        <v>99</v>
      </c>
      <c r="J329" s="518">
        <v>5.6</v>
      </c>
      <c r="K329" s="355">
        <f t="shared" si="23"/>
        <v>255</v>
      </c>
      <c r="L329" s="519">
        <v>255</v>
      </c>
      <c r="M329" s="519"/>
      <c r="N329" s="516" t="e">
        <f>IF(L329="nio",0,IF(L329&gt;0,L329*J329/P329,0))*VLOOKUP(B329,'2-Kosten per locatie'!$A$14:$C$23,3,FALSE)</f>
        <v>#DIV/0!</v>
      </c>
      <c r="O329" s="262">
        <f>IF(M329&gt;0,M329*J329/Q329,0)*VLOOKUP(B329,'2-Kosten per locatie'!$A$14:$C$23,3,FALSE)</f>
        <v>0</v>
      </c>
      <c r="P329" s="356">
        <f>IF(L329="nio",0,IF(L329&gt;0,VLOOKUP(G329,'3-Productie normen'!A:L,VLOOKUP(L329,'3-Productie normen'!$B$32:$C$39,2,FALSE),FALSE)))</f>
        <v>0</v>
      </c>
      <c r="Q329" s="356">
        <f t="shared" si="24"/>
        <v>0</v>
      </c>
      <c r="R329" s="357" t="str">
        <f>VLOOKUP(G329,'3-Productie normen'!A:N,14,FALSE)</f>
        <v>V</v>
      </c>
      <c r="S329" s="357"/>
      <c r="U329" s="358">
        <f t="shared" si="25"/>
        <v>1428</v>
      </c>
    </row>
    <row r="330" spans="1:21" ht="14.1" customHeight="1">
      <c r="A330" s="75">
        <v>330</v>
      </c>
      <c r="B330" s="497" t="s">
        <v>497</v>
      </c>
      <c r="C330" s="320"/>
      <c r="D330" s="353" t="s">
        <v>94</v>
      </c>
      <c r="E330" s="354" t="s">
        <v>544</v>
      </c>
      <c r="F330" s="517" t="s">
        <v>545</v>
      </c>
      <c r="G330" s="517" t="s">
        <v>60</v>
      </c>
      <c r="H330" s="72" t="s">
        <v>557</v>
      </c>
      <c r="I330" s="497" t="s">
        <v>99</v>
      </c>
      <c r="J330" s="518">
        <v>13.6</v>
      </c>
      <c r="K330" s="355">
        <f t="shared" si="23"/>
        <v>255</v>
      </c>
      <c r="L330" s="519">
        <v>255</v>
      </c>
      <c r="M330" s="519"/>
      <c r="N330" s="516" t="e">
        <f>IF(L330="nio",0,IF(L330&gt;0,L330*J330/P330,0))*VLOOKUP(B330,'2-Kosten per locatie'!$A$14:$C$23,3,FALSE)</f>
        <v>#DIV/0!</v>
      </c>
      <c r="O330" s="262">
        <f>IF(M330&gt;0,M330*J330/Q330,0)*VLOOKUP(B330,'2-Kosten per locatie'!$A$14:$C$23,3,FALSE)</f>
        <v>0</v>
      </c>
      <c r="P330" s="356">
        <f>IF(L330="nio",0,IF(L330&gt;0,VLOOKUP(G330,'3-Productie normen'!A:L,VLOOKUP(L330,'3-Productie normen'!$B$32:$C$39,2,FALSE),FALSE)))</f>
        <v>0</v>
      </c>
      <c r="Q330" s="356">
        <f t="shared" si="24"/>
        <v>0</v>
      </c>
      <c r="R330" s="357" t="str">
        <f>VLOOKUP(G330,'3-Productie normen'!A:N,14,FALSE)</f>
        <v>V</v>
      </c>
      <c r="S330" s="357"/>
      <c r="U330" s="358">
        <f t="shared" si="25"/>
        <v>3468</v>
      </c>
    </row>
    <row r="331" spans="1:21" ht="14.1" customHeight="1">
      <c r="A331" s="75">
        <v>331</v>
      </c>
      <c r="B331" s="497" t="s">
        <v>497</v>
      </c>
      <c r="C331" s="320"/>
      <c r="D331" s="353" t="s">
        <v>94</v>
      </c>
      <c r="E331" s="354" t="s">
        <v>309</v>
      </c>
      <c r="F331" s="517" t="s">
        <v>537</v>
      </c>
      <c r="G331" s="517" t="s">
        <v>564</v>
      </c>
      <c r="H331" s="72" t="s">
        <v>557</v>
      </c>
      <c r="I331" s="497" t="s">
        <v>99</v>
      </c>
      <c r="J331" s="518">
        <v>5.6</v>
      </c>
      <c r="K331" s="355">
        <f t="shared" si="23"/>
        <v>255</v>
      </c>
      <c r="L331" s="519">
        <v>255</v>
      </c>
      <c r="M331" s="519"/>
      <c r="N331" s="516" t="e">
        <f>IF(L331="nio",0,IF(L331&gt;0,L331*J331/P331,0))*VLOOKUP(B331,'2-Kosten per locatie'!$A$14:$C$23,3,FALSE)</f>
        <v>#DIV/0!</v>
      </c>
      <c r="O331" s="262">
        <f>IF(M331&gt;0,M331*J331/Q331,0)*VLOOKUP(B331,'2-Kosten per locatie'!$A$14:$C$23,3,FALSE)</f>
        <v>0</v>
      </c>
      <c r="P331" s="356">
        <f>IF(L331="nio",0,IF(L331&gt;0,VLOOKUP(G331,'3-Productie normen'!A:L,VLOOKUP(L331,'3-Productie normen'!$B$32:$C$39,2,FALSE),FALSE)))</f>
        <v>0</v>
      </c>
      <c r="Q331" s="356">
        <f t="shared" si="24"/>
        <v>0</v>
      </c>
      <c r="R331" s="357" t="str">
        <f>VLOOKUP(G331,'3-Productie normen'!A:N,14,FALSE)</f>
        <v>V</v>
      </c>
      <c r="S331" s="357"/>
      <c r="U331" s="358">
        <f t="shared" si="25"/>
        <v>1428</v>
      </c>
    </row>
    <row r="332" spans="1:21" ht="14.1" customHeight="1">
      <c r="A332" s="75">
        <v>332</v>
      </c>
      <c r="B332" s="497" t="s">
        <v>497</v>
      </c>
      <c r="C332" s="320"/>
      <c r="D332" s="353" t="s">
        <v>94</v>
      </c>
      <c r="E332" s="354" t="s">
        <v>308</v>
      </c>
      <c r="F332" s="517" t="s">
        <v>546</v>
      </c>
      <c r="G332" s="517" t="s">
        <v>502</v>
      </c>
      <c r="H332" s="72" t="s">
        <v>557</v>
      </c>
      <c r="I332" s="497" t="s">
        <v>99</v>
      </c>
      <c r="J332" s="518">
        <v>2.6</v>
      </c>
      <c r="K332" s="355">
        <f t="shared" si="23"/>
        <v>4</v>
      </c>
      <c r="L332" s="519">
        <v>4</v>
      </c>
      <c r="M332" s="519"/>
      <c r="N332" s="516" t="e">
        <f>IF(L332="nio",0,IF(L332&gt;0,L332*J332/P332,0))*VLOOKUP(B332,'2-Kosten per locatie'!$A$14:$C$23,3,FALSE)</f>
        <v>#DIV/0!</v>
      </c>
      <c r="O332" s="262">
        <f>IF(M332&gt;0,M332*J332/Q332,0)*VLOOKUP(B332,'2-Kosten per locatie'!$A$14:$C$23,3,FALSE)</f>
        <v>0</v>
      </c>
      <c r="P332" s="356">
        <f>IF(L332="nio",0,IF(L332&gt;0,VLOOKUP(G332,'3-Productie normen'!A:L,VLOOKUP(L332,'3-Productie normen'!$B$32:$C$39,2,FALSE),FALSE)))</f>
        <v>0</v>
      </c>
      <c r="Q332" s="356">
        <f t="shared" si="24"/>
        <v>0</v>
      </c>
      <c r="R332" s="357" t="str">
        <f>VLOOKUP(G332,'3-Productie normen'!A:N,14,FALSE)</f>
        <v>V</v>
      </c>
      <c r="S332" s="357"/>
      <c r="U332" s="358">
        <f t="shared" si="25"/>
        <v>10.4</v>
      </c>
    </row>
    <row r="333" spans="1:21" ht="14.1" customHeight="1">
      <c r="A333" s="75">
        <v>333</v>
      </c>
      <c r="B333" s="497" t="s">
        <v>497</v>
      </c>
      <c r="C333" s="320"/>
      <c r="D333" s="353" t="s">
        <v>94</v>
      </c>
      <c r="E333" s="354" t="s">
        <v>307</v>
      </c>
      <c r="F333" s="517" t="s">
        <v>547</v>
      </c>
      <c r="G333" s="517" t="s">
        <v>502</v>
      </c>
      <c r="H333" s="72" t="s">
        <v>557</v>
      </c>
      <c r="I333" s="497" t="s">
        <v>99</v>
      </c>
      <c r="J333" s="518">
        <v>10.9</v>
      </c>
      <c r="K333" s="355">
        <f t="shared" si="23"/>
        <v>4</v>
      </c>
      <c r="L333" s="519">
        <v>4</v>
      </c>
      <c r="M333" s="519"/>
      <c r="N333" s="516" t="e">
        <f>IF(L333="nio",0,IF(L333&gt;0,L333*J333/P333,0))*VLOOKUP(B333,'2-Kosten per locatie'!$A$14:$C$23,3,FALSE)</f>
        <v>#DIV/0!</v>
      </c>
      <c r="O333" s="262">
        <f>IF(M333&gt;0,M333*J333/Q333,0)*VLOOKUP(B333,'2-Kosten per locatie'!$A$14:$C$23,3,FALSE)</f>
        <v>0</v>
      </c>
      <c r="P333" s="356">
        <f>IF(L333="nio",0,IF(L333&gt;0,VLOOKUP(G333,'3-Productie normen'!A:L,VLOOKUP(L333,'3-Productie normen'!$B$32:$C$39,2,FALSE),FALSE)))</f>
        <v>0</v>
      </c>
      <c r="Q333" s="356">
        <f t="shared" si="24"/>
        <v>0</v>
      </c>
      <c r="R333" s="357" t="str">
        <f>VLOOKUP(G333,'3-Productie normen'!A:N,14,FALSE)</f>
        <v>V</v>
      </c>
      <c r="S333" s="357"/>
      <c r="U333" s="358">
        <f t="shared" si="25"/>
        <v>43.6</v>
      </c>
    </row>
    <row r="334" spans="1:21" ht="14.1" customHeight="1">
      <c r="A334" s="75">
        <v>334</v>
      </c>
      <c r="B334" s="497" t="s">
        <v>497</v>
      </c>
      <c r="C334" s="320"/>
      <c r="D334" s="353" t="s">
        <v>94</v>
      </c>
      <c r="E334" s="354" t="s">
        <v>538</v>
      </c>
      <c r="F334" s="517" t="s">
        <v>548</v>
      </c>
      <c r="G334" s="517" t="s">
        <v>564</v>
      </c>
      <c r="H334" s="72" t="s">
        <v>557</v>
      </c>
      <c r="I334" s="497" t="s">
        <v>99</v>
      </c>
      <c r="J334" s="518">
        <v>65.5</v>
      </c>
      <c r="K334" s="355">
        <f t="shared" si="23"/>
        <v>255</v>
      </c>
      <c r="L334" s="519">
        <v>255</v>
      </c>
      <c r="M334" s="519"/>
      <c r="N334" s="516" t="e">
        <f>IF(L334="nio",0,IF(L334&gt;0,L334*J334/P334,0))*VLOOKUP(B334,'2-Kosten per locatie'!$A$14:$C$23,3,FALSE)</f>
        <v>#DIV/0!</v>
      </c>
      <c r="O334" s="262">
        <f>IF(M334&gt;0,M334*J334/Q334,0)*VLOOKUP(B334,'2-Kosten per locatie'!$A$14:$C$23,3,FALSE)</f>
        <v>0</v>
      </c>
      <c r="P334" s="356">
        <f>IF(L334="nio",0,IF(L334&gt;0,VLOOKUP(G334,'3-Productie normen'!A:L,VLOOKUP(L334,'3-Productie normen'!$B$32:$C$39,2,FALSE),FALSE)))</f>
        <v>0</v>
      </c>
      <c r="Q334" s="356">
        <f t="shared" si="24"/>
        <v>0</v>
      </c>
      <c r="R334" s="357" t="str">
        <f>VLOOKUP(G334,'3-Productie normen'!A:N,14,FALSE)</f>
        <v>V</v>
      </c>
      <c r="S334" s="357"/>
      <c r="U334" s="358">
        <f t="shared" si="25"/>
        <v>16702.5</v>
      </c>
    </row>
    <row r="335" spans="1:21" ht="14.1" customHeight="1">
      <c r="A335" s="75">
        <v>335</v>
      </c>
      <c r="B335" s="497" t="s">
        <v>497</v>
      </c>
      <c r="C335" s="320"/>
      <c r="D335" s="353" t="s">
        <v>94</v>
      </c>
      <c r="E335" s="354" t="s">
        <v>488</v>
      </c>
      <c r="F335" s="517" t="s">
        <v>549</v>
      </c>
      <c r="G335" s="517" t="s">
        <v>60</v>
      </c>
      <c r="H335" s="72" t="s">
        <v>557</v>
      </c>
      <c r="I335" s="497" t="s">
        <v>99</v>
      </c>
      <c r="J335" s="518">
        <v>36.200000000000003</v>
      </c>
      <c r="K335" s="355">
        <f t="shared" si="23"/>
        <v>255</v>
      </c>
      <c r="L335" s="519">
        <v>255</v>
      </c>
      <c r="M335" s="519"/>
      <c r="N335" s="516" t="e">
        <f>IF(L335="nio",0,IF(L335&gt;0,L335*J335/P335,0))*VLOOKUP(B335,'2-Kosten per locatie'!$A$14:$C$23,3,FALSE)</f>
        <v>#DIV/0!</v>
      </c>
      <c r="O335" s="262">
        <f>IF(M335&gt;0,M335*J335/Q335,0)*VLOOKUP(B335,'2-Kosten per locatie'!$A$14:$C$23,3,FALSE)</f>
        <v>0</v>
      </c>
      <c r="P335" s="356">
        <f>IF(L335="nio",0,IF(L335&gt;0,VLOOKUP(G335,'3-Productie normen'!A:L,VLOOKUP(L335,'3-Productie normen'!$B$32:$C$39,2,FALSE),FALSE)))</f>
        <v>0</v>
      </c>
      <c r="Q335" s="356">
        <f t="shared" si="24"/>
        <v>0</v>
      </c>
      <c r="R335" s="357" t="str">
        <f>VLOOKUP(G335,'3-Productie normen'!A:N,14,FALSE)</f>
        <v>V</v>
      </c>
      <c r="S335" s="357"/>
      <c r="U335" s="358">
        <f t="shared" si="25"/>
        <v>9231</v>
      </c>
    </row>
    <row r="336" spans="1:21" ht="14.1" customHeight="1">
      <c r="A336" s="75">
        <v>336</v>
      </c>
      <c r="B336" s="497" t="s">
        <v>497</v>
      </c>
      <c r="C336" s="320"/>
      <c r="D336" s="353" t="s">
        <v>94</v>
      </c>
      <c r="E336" s="354" t="s">
        <v>487</v>
      </c>
      <c r="F336" s="517" t="s">
        <v>547</v>
      </c>
      <c r="G336" s="517" t="s">
        <v>502</v>
      </c>
      <c r="H336" s="72" t="s">
        <v>557</v>
      </c>
      <c r="I336" s="497" t="s">
        <v>99</v>
      </c>
      <c r="J336" s="518">
        <v>10.3</v>
      </c>
      <c r="K336" s="355">
        <f t="shared" si="23"/>
        <v>4</v>
      </c>
      <c r="L336" s="519">
        <v>4</v>
      </c>
      <c r="M336" s="519"/>
      <c r="N336" s="516" t="e">
        <f>IF(L336="nio",0,IF(L336&gt;0,L336*J336/P336,0))*VLOOKUP(B336,'2-Kosten per locatie'!$A$14:$C$23,3,FALSE)</f>
        <v>#DIV/0!</v>
      </c>
      <c r="O336" s="262">
        <f>IF(M336&gt;0,M336*J336/Q336,0)*VLOOKUP(B336,'2-Kosten per locatie'!$A$14:$C$23,3,FALSE)</f>
        <v>0</v>
      </c>
      <c r="P336" s="356">
        <f>IF(L336="nio",0,IF(L336&gt;0,VLOOKUP(G336,'3-Productie normen'!A:L,VLOOKUP(L336,'3-Productie normen'!$B$32:$C$39,2,FALSE),FALSE)))</f>
        <v>0</v>
      </c>
      <c r="Q336" s="356">
        <f t="shared" si="24"/>
        <v>0</v>
      </c>
      <c r="R336" s="357" t="str">
        <f>VLOOKUP(G336,'3-Productie normen'!A:N,14,FALSE)</f>
        <v>V</v>
      </c>
      <c r="S336" s="357"/>
      <c r="U336" s="358">
        <f t="shared" si="25"/>
        <v>41.2</v>
      </c>
    </row>
    <row r="337" spans="1:21" ht="14.1" customHeight="1">
      <c r="A337" s="75">
        <v>337</v>
      </c>
      <c r="B337" s="497" t="s">
        <v>497</v>
      </c>
      <c r="C337" s="320"/>
      <c r="D337" s="353" t="s">
        <v>94</v>
      </c>
      <c r="E337" s="354" t="s">
        <v>486</v>
      </c>
      <c r="F337" s="517" t="s">
        <v>550</v>
      </c>
      <c r="G337" s="517" t="s">
        <v>500</v>
      </c>
      <c r="H337" s="72" t="s">
        <v>557</v>
      </c>
      <c r="I337" s="497" t="s">
        <v>99</v>
      </c>
      <c r="J337" s="518">
        <v>20.100000000000001</v>
      </c>
      <c r="K337" s="355">
        <f t="shared" si="23"/>
        <v>255</v>
      </c>
      <c r="L337" s="519">
        <v>255</v>
      </c>
      <c r="M337" s="519"/>
      <c r="N337" s="516" t="e">
        <f>IF(L337="nio",0,IF(L337&gt;0,L337*J337/P337,0))*VLOOKUP(B337,'2-Kosten per locatie'!$A$14:$C$23,3,FALSE)</f>
        <v>#DIV/0!</v>
      </c>
      <c r="O337" s="262">
        <f>IF(M337&gt;0,M337*J337/Q337,0)*VLOOKUP(B337,'2-Kosten per locatie'!$A$14:$C$23,3,FALSE)</f>
        <v>0</v>
      </c>
      <c r="P337" s="356">
        <f>IF(L337="nio",0,IF(L337&gt;0,VLOOKUP(G337,'3-Productie normen'!A:L,VLOOKUP(L337,'3-Productie normen'!$B$32:$C$39,2,FALSE),FALSE)))</f>
        <v>0</v>
      </c>
      <c r="Q337" s="356">
        <f t="shared" si="24"/>
        <v>0</v>
      </c>
      <c r="R337" s="357" t="str">
        <f>VLOOKUP(G337,'3-Productie normen'!A:N,14,FALSE)</f>
        <v>V</v>
      </c>
      <c r="S337" s="357"/>
      <c r="U337" s="358">
        <f t="shared" si="25"/>
        <v>5125.5</v>
      </c>
    </row>
    <row r="338" spans="1:21" ht="14.1" customHeight="1">
      <c r="A338" s="75">
        <v>338</v>
      </c>
      <c r="B338" s="497" t="s">
        <v>497</v>
      </c>
      <c r="C338" s="320"/>
      <c r="D338" s="353" t="s">
        <v>94</v>
      </c>
      <c r="E338" s="354" t="s">
        <v>551</v>
      </c>
      <c r="F338" s="517" t="s">
        <v>259</v>
      </c>
      <c r="G338" s="517" t="s">
        <v>58</v>
      </c>
      <c r="H338" s="72" t="s">
        <v>557</v>
      </c>
      <c r="I338" s="497" t="s">
        <v>96</v>
      </c>
      <c r="J338" s="518">
        <v>2</v>
      </c>
      <c r="K338" s="355">
        <f t="shared" si="23"/>
        <v>255</v>
      </c>
      <c r="L338" s="519">
        <v>255</v>
      </c>
      <c r="M338" s="519"/>
      <c r="N338" s="516" t="e">
        <f>IF(L338="nio",0,IF(L338&gt;0,L338*J338/P338,0))*VLOOKUP(B338,'2-Kosten per locatie'!$A$14:$C$23,3,FALSE)</f>
        <v>#DIV/0!</v>
      </c>
      <c r="O338" s="262">
        <f>IF(M338&gt;0,M338*J338/Q338,0)*VLOOKUP(B338,'2-Kosten per locatie'!$A$14:$C$23,3,FALSE)</f>
        <v>0</v>
      </c>
      <c r="P338" s="356">
        <f>IF(L338="nio",0,IF(L338&gt;0,VLOOKUP(G338,'3-Productie normen'!A:L,VLOOKUP(L338,'3-Productie normen'!$B$32:$C$39,2,FALSE),FALSE)))</f>
        <v>0</v>
      </c>
      <c r="Q338" s="356">
        <f t="shared" si="24"/>
        <v>0</v>
      </c>
      <c r="R338" s="357" t="str">
        <f>VLOOKUP(G338,'3-Productie normen'!A:N,14,FALSE)</f>
        <v>S</v>
      </c>
      <c r="S338" s="357"/>
      <c r="U338" s="358">
        <f t="shared" si="25"/>
        <v>510</v>
      </c>
    </row>
    <row r="339" spans="1:21" ht="14.1" customHeight="1">
      <c r="A339" s="75">
        <v>339</v>
      </c>
      <c r="B339" s="497" t="s">
        <v>497</v>
      </c>
      <c r="C339" s="320"/>
      <c r="D339" s="353" t="s">
        <v>94</v>
      </c>
      <c r="E339" s="354" t="s">
        <v>552</v>
      </c>
      <c r="F339" s="517" t="s">
        <v>259</v>
      </c>
      <c r="G339" s="517" t="s">
        <v>58</v>
      </c>
      <c r="H339" s="72" t="s">
        <v>557</v>
      </c>
      <c r="I339" s="497" t="s">
        <v>96</v>
      </c>
      <c r="J339" s="518">
        <v>2.1</v>
      </c>
      <c r="K339" s="355">
        <f t="shared" si="23"/>
        <v>255</v>
      </c>
      <c r="L339" s="519">
        <v>255</v>
      </c>
      <c r="M339" s="519"/>
      <c r="N339" s="516" t="e">
        <f>IF(L339="nio",0,IF(L339&gt;0,L339*J339/P339,0))*VLOOKUP(B339,'2-Kosten per locatie'!$A$14:$C$23,3,FALSE)</f>
        <v>#DIV/0!</v>
      </c>
      <c r="O339" s="262">
        <f>IF(M339&gt;0,M339*J339/Q339,0)*VLOOKUP(B339,'2-Kosten per locatie'!$A$14:$C$23,3,FALSE)</f>
        <v>0</v>
      </c>
      <c r="P339" s="356">
        <f>IF(L339="nio",0,IF(L339&gt;0,VLOOKUP(G339,'3-Productie normen'!A:L,VLOOKUP(L339,'3-Productie normen'!$B$32:$C$39,2,FALSE),FALSE)))</f>
        <v>0</v>
      </c>
      <c r="Q339" s="356">
        <f t="shared" si="24"/>
        <v>0</v>
      </c>
      <c r="R339" s="357" t="str">
        <f>VLOOKUP(G339,'3-Productie normen'!A:N,14,FALSE)</f>
        <v>S</v>
      </c>
      <c r="S339" s="357"/>
      <c r="U339" s="358">
        <f t="shared" si="25"/>
        <v>535.5</v>
      </c>
    </row>
    <row r="340" spans="1:21" ht="14.1" customHeight="1">
      <c r="A340" s="75">
        <v>340</v>
      </c>
      <c r="B340" s="497" t="s">
        <v>497</v>
      </c>
      <c r="C340" s="320"/>
      <c r="D340" s="353" t="s">
        <v>94</v>
      </c>
      <c r="E340" s="354" t="s">
        <v>553</v>
      </c>
      <c r="F340" s="517" t="s">
        <v>259</v>
      </c>
      <c r="G340" s="517" t="s">
        <v>58</v>
      </c>
      <c r="H340" s="72" t="s">
        <v>557</v>
      </c>
      <c r="I340" s="497" t="s">
        <v>96</v>
      </c>
      <c r="J340" s="518">
        <v>1.3</v>
      </c>
      <c r="K340" s="355">
        <f t="shared" si="23"/>
        <v>255</v>
      </c>
      <c r="L340" s="519">
        <v>255</v>
      </c>
      <c r="M340" s="519"/>
      <c r="N340" s="516" t="e">
        <f>IF(L340="nio",0,IF(L340&gt;0,L340*J340/P340,0))*VLOOKUP(B340,'2-Kosten per locatie'!$A$14:$C$23,3,FALSE)</f>
        <v>#DIV/0!</v>
      </c>
      <c r="O340" s="262">
        <f>IF(M340&gt;0,M340*J340/Q340,0)*VLOOKUP(B340,'2-Kosten per locatie'!$A$14:$C$23,3,FALSE)</f>
        <v>0</v>
      </c>
      <c r="P340" s="356">
        <f>IF(L340="nio",0,IF(L340&gt;0,VLOOKUP(G340,'3-Productie normen'!A:L,VLOOKUP(L340,'3-Productie normen'!$B$32:$C$39,2,FALSE),FALSE)))</f>
        <v>0</v>
      </c>
      <c r="Q340" s="356">
        <f t="shared" si="24"/>
        <v>0</v>
      </c>
      <c r="R340" s="357" t="str">
        <f>VLOOKUP(G340,'3-Productie normen'!A:N,14,FALSE)</f>
        <v>S</v>
      </c>
      <c r="S340" s="357"/>
      <c r="U340" s="358">
        <f t="shared" si="25"/>
        <v>331.5</v>
      </c>
    </row>
    <row r="341" spans="1:21" ht="14.1" customHeight="1">
      <c r="A341" s="75">
        <v>341</v>
      </c>
      <c r="B341" s="497" t="s">
        <v>497</v>
      </c>
      <c r="C341" s="320"/>
      <c r="D341" s="353" t="s">
        <v>94</v>
      </c>
      <c r="E341" s="354" t="s">
        <v>554</v>
      </c>
      <c r="F341" s="517" t="s">
        <v>259</v>
      </c>
      <c r="G341" s="517" t="s">
        <v>58</v>
      </c>
      <c r="H341" s="72" t="s">
        <v>557</v>
      </c>
      <c r="I341" s="497" t="s">
        <v>96</v>
      </c>
      <c r="J341" s="518">
        <v>1.3</v>
      </c>
      <c r="K341" s="355">
        <f t="shared" si="23"/>
        <v>255</v>
      </c>
      <c r="L341" s="519">
        <v>255</v>
      </c>
      <c r="M341" s="519"/>
      <c r="N341" s="516" t="e">
        <f>IF(L341="nio",0,IF(L341&gt;0,L341*J341/P341,0))*VLOOKUP(B341,'2-Kosten per locatie'!$A$14:$C$23,3,FALSE)</f>
        <v>#DIV/0!</v>
      </c>
      <c r="O341" s="262">
        <f>IF(M341&gt;0,M341*J341/Q341,0)*VLOOKUP(B341,'2-Kosten per locatie'!$A$14:$C$23,3,FALSE)</f>
        <v>0</v>
      </c>
      <c r="P341" s="356">
        <f>IF(L341="nio",0,IF(L341&gt;0,VLOOKUP(G341,'3-Productie normen'!A:L,VLOOKUP(L341,'3-Productie normen'!$B$32:$C$39,2,FALSE),FALSE)))</f>
        <v>0</v>
      </c>
      <c r="Q341" s="356">
        <f t="shared" si="24"/>
        <v>0</v>
      </c>
      <c r="R341" s="357" t="str">
        <f>VLOOKUP(G341,'3-Productie normen'!A:N,14,FALSE)</f>
        <v>S</v>
      </c>
      <c r="S341" s="357"/>
      <c r="U341" s="358">
        <f t="shared" si="25"/>
        <v>331.5</v>
      </c>
    </row>
    <row r="342" spans="1:21" ht="14.1" customHeight="1">
      <c r="A342" s="75">
        <v>342</v>
      </c>
      <c r="B342" s="497" t="s">
        <v>497</v>
      </c>
      <c r="C342" s="320"/>
      <c r="D342" s="353" t="s">
        <v>94</v>
      </c>
      <c r="E342" s="354" t="s">
        <v>489</v>
      </c>
      <c r="F342" s="517" t="s">
        <v>535</v>
      </c>
      <c r="G342" s="517" t="s">
        <v>58</v>
      </c>
      <c r="H342" s="72" t="s">
        <v>557</v>
      </c>
      <c r="I342" s="497" t="s">
        <v>96</v>
      </c>
      <c r="J342" s="518">
        <v>6.2</v>
      </c>
      <c r="K342" s="355">
        <f t="shared" si="23"/>
        <v>255</v>
      </c>
      <c r="L342" s="519">
        <v>255</v>
      </c>
      <c r="M342" s="519"/>
      <c r="N342" s="516" t="e">
        <f>IF(L342="nio",0,IF(L342&gt;0,L342*J342/P342,0))*VLOOKUP(B342,'2-Kosten per locatie'!$A$14:$C$23,3,FALSE)</f>
        <v>#DIV/0!</v>
      </c>
      <c r="O342" s="262">
        <f>IF(M342&gt;0,M342*J342/Q342,0)*VLOOKUP(B342,'2-Kosten per locatie'!$A$14:$C$23,3,FALSE)</f>
        <v>0</v>
      </c>
      <c r="P342" s="356">
        <f>IF(L342="nio",0,IF(L342&gt;0,VLOOKUP(G342,'3-Productie normen'!A:L,VLOOKUP(L342,'3-Productie normen'!$B$32:$C$39,2,FALSE),FALSE)))</f>
        <v>0</v>
      </c>
      <c r="Q342" s="356">
        <f t="shared" si="24"/>
        <v>0</v>
      </c>
      <c r="R342" s="357" t="str">
        <f>VLOOKUP(G342,'3-Productie normen'!A:N,14,FALSE)</f>
        <v>S</v>
      </c>
      <c r="S342" s="357"/>
      <c r="U342" s="358">
        <f t="shared" si="25"/>
        <v>1581</v>
      </c>
    </row>
    <row r="343" spans="1:21" ht="14.1" customHeight="1">
      <c r="A343" s="75">
        <v>343</v>
      </c>
      <c r="B343" s="497" t="s">
        <v>497</v>
      </c>
      <c r="C343" s="320"/>
      <c r="D343" s="353" t="s">
        <v>94</v>
      </c>
      <c r="E343" s="354" t="s">
        <v>485</v>
      </c>
      <c r="F343" s="517" t="s">
        <v>535</v>
      </c>
      <c r="G343" s="517" t="s">
        <v>58</v>
      </c>
      <c r="H343" s="72" t="s">
        <v>557</v>
      </c>
      <c r="I343" s="497" t="s">
        <v>96</v>
      </c>
      <c r="J343" s="518">
        <v>5.8</v>
      </c>
      <c r="K343" s="355">
        <f t="shared" si="23"/>
        <v>255</v>
      </c>
      <c r="L343" s="519">
        <v>255</v>
      </c>
      <c r="M343" s="519"/>
      <c r="N343" s="516" t="e">
        <f>IF(L343="nio",0,IF(L343&gt;0,L343*J343/P343,0))*VLOOKUP(B343,'2-Kosten per locatie'!$A$14:$C$23,3,FALSE)</f>
        <v>#DIV/0!</v>
      </c>
      <c r="O343" s="262">
        <f>IF(M343&gt;0,M343*J343/Q343,0)*VLOOKUP(B343,'2-Kosten per locatie'!$A$14:$C$23,3,FALSE)</f>
        <v>0</v>
      </c>
      <c r="P343" s="356">
        <f>IF(L343="nio",0,IF(L343&gt;0,VLOOKUP(G343,'3-Productie normen'!A:L,VLOOKUP(L343,'3-Productie normen'!$B$32:$C$39,2,FALSE),FALSE)))</f>
        <v>0</v>
      </c>
      <c r="Q343" s="356">
        <f t="shared" si="24"/>
        <v>0</v>
      </c>
      <c r="R343" s="357" t="str">
        <f>VLOOKUP(G343,'3-Productie normen'!A:N,14,FALSE)</f>
        <v>S</v>
      </c>
      <c r="S343" s="357"/>
      <c r="U343" s="358">
        <f t="shared" si="25"/>
        <v>1479</v>
      </c>
    </row>
    <row r="344" spans="1:21" ht="14.1" customHeight="1">
      <c r="A344" s="75">
        <v>344</v>
      </c>
      <c r="B344" s="497" t="s">
        <v>497</v>
      </c>
      <c r="C344" s="320"/>
      <c r="D344" s="353" t="s">
        <v>94</v>
      </c>
      <c r="E344" s="354" t="s">
        <v>555</v>
      </c>
      <c r="F344" s="517" t="s">
        <v>259</v>
      </c>
      <c r="G344" s="517" t="s">
        <v>58</v>
      </c>
      <c r="H344" s="72" t="s">
        <v>557</v>
      </c>
      <c r="I344" s="497" t="s">
        <v>96</v>
      </c>
      <c r="J344" s="518">
        <v>1.3</v>
      </c>
      <c r="K344" s="355">
        <f t="shared" si="23"/>
        <v>255</v>
      </c>
      <c r="L344" s="519">
        <v>255</v>
      </c>
      <c r="M344" s="519"/>
      <c r="N344" s="516" t="e">
        <f>IF(L344="nio",0,IF(L344&gt;0,L344*J344/P344,0))*VLOOKUP(B344,'2-Kosten per locatie'!$A$14:$C$23,3,FALSE)</f>
        <v>#DIV/0!</v>
      </c>
      <c r="O344" s="262">
        <f>IF(M344&gt;0,M344*J344/Q344,0)*VLOOKUP(B344,'2-Kosten per locatie'!$A$14:$C$23,3,FALSE)</f>
        <v>0</v>
      </c>
      <c r="P344" s="356">
        <f>IF(L344="nio",0,IF(L344&gt;0,VLOOKUP(G344,'3-Productie normen'!A:L,VLOOKUP(L344,'3-Productie normen'!$B$32:$C$39,2,FALSE),FALSE)))</f>
        <v>0</v>
      </c>
      <c r="Q344" s="356">
        <f t="shared" si="24"/>
        <v>0</v>
      </c>
      <c r="R344" s="357" t="str">
        <f>VLOOKUP(G344,'3-Productie normen'!A:N,14,FALSE)</f>
        <v>S</v>
      </c>
      <c r="S344" s="357"/>
      <c r="U344" s="358">
        <f t="shared" si="25"/>
        <v>331.5</v>
      </c>
    </row>
    <row r="345" spans="1:21" ht="14.1" customHeight="1">
      <c r="A345" s="75">
        <v>345</v>
      </c>
      <c r="B345" s="497" t="s">
        <v>497</v>
      </c>
      <c r="C345" s="320"/>
      <c r="D345" s="353" t="s">
        <v>94</v>
      </c>
      <c r="E345" s="354" t="s">
        <v>556</v>
      </c>
      <c r="F345" s="517" t="s">
        <v>259</v>
      </c>
      <c r="G345" s="517" t="s">
        <v>58</v>
      </c>
      <c r="H345" s="72" t="s">
        <v>557</v>
      </c>
      <c r="I345" s="497" t="s">
        <v>96</v>
      </c>
      <c r="J345" s="518">
        <v>1.3</v>
      </c>
      <c r="K345" s="355">
        <f t="shared" si="23"/>
        <v>255</v>
      </c>
      <c r="L345" s="519">
        <v>255</v>
      </c>
      <c r="M345" s="519"/>
      <c r="N345" s="516" t="e">
        <f>IF(L345="nio",0,IF(L345&gt;0,L345*J345/P345,0))*VLOOKUP(B345,'2-Kosten per locatie'!$A$14:$C$23,3,FALSE)</f>
        <v>#DIV/0!</v>
      </c>
      <c r="O345" s="262">
        <f>IF(M345&gt;0,M345*J345/Q345,0)*VLOOKUP(B345,'2-Kosten per locatie'!$A$14:$C$23,3,FALSE)</f>
        <v>0</v>
      </c>
      <c r="P345" s="356">
        <f>IF(L345="nio",0,IF(L345&gt;0,VLOOKUP(G345,'3-Productie normen'!A:L,VLOOKUP(L345,'3-Productie normen'!$B$32:$C$39,2,FALSE),FALSE)))</f>
        <v>0</v>
      </c>
      <c r="Q345" s="356">
        <f t="shared" si="24"/>
        <v>0</v>
      </c>
      <c r="R345" s="357" t="str">
        <f>VLOOKUP(G345,'3-Productie normen'!A:N,14,FALSE)</f>
        <v>S</v>
      </c>
      <c r="S345" s="357"/>
      <c r="U345" s="358">
        <f t="shared" si="25"/>
        <v>331.5</v>
      </c>
    </row>
    <row r="346" spans="1:21" ht="14.1" customHeight="1">
      <c r="C346" s="87"/>
      <c r="D346" s="88"/>
      <c r="E346" s="261"/>
      <c r="F346" s="89"/>
      <c r="G346" s="89"/>
      <c r="J346" s="90"/>
      <c r="K346" s="91"/>
      <c r="L346" s="92"/>
      <c r="M346" s="92"/>
      <c r="N346" s="93"/>
      <c r="O346" s="93"/>
      <c r="P346" s="85"/>
      <c r="Q346" s="85"/>
      <c r="R346" s="86"/>
      <c r="S346" s="86"/>
    </row>
    <row r="347" spans="1:21" ht="14.1" customHeight="1">
      <c r="C347" s="87"/>
      <c r="D347" s="88"/>
      <c r="E347" s="261"/>
      <c r="F347" s="89"/>
      <c r="G347" s="89"/>
      <c r="J347" s="90"/>
      <c r="K347" s="91"/>
      <c r="L347" s="92"/>
      <c r="M347" s="92"/>
      <c r="N347" s="93"/>
      <c r="O347" s="93"/>
      <c r="P347" s="85"/>
      <c r="Q347" s="85"/>
      <c r="R347" s="86"/>
      <c r="S347" s="86"/>
    </row>
    <row r="348" spans="1:21" ht="14.1" customHeight="1">
      <c r="C348" s="87"/>
      <c r="D348" s="88"/>
      <c r="E348" s="261"/>
      <c r="F348" s="89"/>
      <c r="G348" s="89"/>
      <c r="J348" s="90"/>
      <c r="K348" s="91"/>
      <c r="L348" s="92"/>
      <c r="M348" s="92"/>
      <c r="N348" s="93"/>
      <c r="O348" s="93"/>
      <c r="P348" s="85"/>
      <c r="Q348" s="85"/>
      <c r="R348" s="86"/>
      <c r="S348" s="86"/>
    </row>
    <row r="349" spans="1:21" ht="14.1" customHeight="1">
      <c r="C349" s="87"/>
      <c r="D349" s="88"/>
      <c r="E349" s="261"/>
      <c r="F349" s="89"/>
      <c r="G349" s="89"/>
      <c r="J349" s="90"/>
      <c r="K349" s="91"/>
      <c r="L349" s="92"/>
      <c r="M349" s="92"/>
      <c r="N349" s="93"/>
      <c r="O349" s="93"/>
      <c r="P349" s="85"/>
      <c r="Q349" s="85"/>
      <c r="R349" s="86"/>
      <c r="S349" s="86"/>
    </row>
    <row r="350" spans="1:21" ht="14.1" customHeight="1">
      <c r="C350" s="87"/>
      <c r="D350" s="88"/>
      <c r="E350" s="261"/>
      <c r="F350" s="89"/>
      <c r="G350" s="89"/>
      <c r="J350" s="90"/>
      <c r="K350" s="91"/>
      <c r="L350" s="92"/>
      <c r="M350" s="92"/>
      <c r="N350" s="93"/>
      <c r="O350" s="93"/>
      <c r="P350" s="85"/>
      <c r="Q350" s="85"/>
      <c r="R350" s="86"/>
      <c r="S350" s="86"/>
    </row>
    <row r="351" spans="1:21" ht="14.1" customHeight="1">
      <c r="C351" s="87"/>
      <c r="D351" s="88"/>
      <c r="E351" s="261"/>
      <c r="F351" s="89"/>
      <c r="G351" s="89"/>
      <c r="J351" s="90"/>
      <c r="K351" s="91"/>
      <c r="L351" s="92"/>
      <c r="M351" s="92"/>
      <c r="N351" s="93"/>
      <c r="O351" s="93"/>
      <c r="P351" s="85"/>
      <c r="Q351" s="85"/>
      <c r="R351" s="86"/>
      <c r="S351" s="86"/>
    </row>
    <row r="352" spans="1:21" ht="14.1" customHeight="1">
      <c r="C352" s="87"/>
      <c r="D352" s="88"/>
      <c r="E352" s="261"/>
      <c r="F352" s="89"/>
      <c r="G352" s="89"/>
      <c r="J352" s="90"/>
      <c r="K352" s="91"/>
      <c r="L352" s="92"/>
      <c r="M352" s="92"/>
      <c r="N352" s="93"/>
      <c r="O352" s="93"/>
      <c r="P352" s="85"/>
      <c r="Q352" s="85"/>
      <c r="R352" s="86"/>
      <c r="S352" s="86"/>
    </row>
    <row r="353" spans="3:19" ht="14.1" customHeight="1">
      <c r="C353" s="87"/>
      <c r="D353" s="88"/>
      <c r="E353" s="261"/>
      <c r="F353" s="89"/>
      <c r="G353" s="89"/>
      <c r="J353" s="90"/>
      <c r="K353" s="91"/>
      <c r="L353" s="92"/>
      <c r="M353" s="92"/>
      <c r="N353" s="93"/>
      <c r="O353" s="93"/>
      <c r="P353" s="85"/>
      <c r="Q353" s="85"/>
      <c r="R353" s="86"/>
      <c r="S353" s="86"/>
    </row>
    <row r="354" spans="3:19" ht="14.1" customHeight="1">
      <c r="C354" s="87"/>
      <c r="D354" s="88"/>
      <c r="E354" s="261"/>
      <c r="F354" s="89"/>
      <c r="G354" s="89"/>
      <c r="J354" s="90"/>
      <c r="K354" s="91"/>
      <c r="L354" s="92"/>
      <c r="M354" s="92"/>
      <c r="N354" s="93"/>
      <c r="O354" s="93"/>
      <c r="P354" s="85"/>
      <c r="Q354" s="85"/>
      <c r="R354" s="86"/>
      <c r="S354" s="86"/>
    </row>
    <row r="355" spans="3:19" ht="14.1" customHeight="1">
      <c r="C355" s="87"/>
      <c r="D355" s="88"/>
      <c r="E355" s="261"/>
      <c r="F355" s="89"/>
      <c r="G355" s="89"/>
      <c r="J355" s="90"/>
      <c r="K355" s="91"/>
      <c r="L355" s="92"/>
      <c r="M355" s="92"/>
      <c r="N355" s="93"/>
      <c r="O355" s="93"/>
      <c r="P355" s="85"/>
      <c r="Q355" s="85"/>
      <c r="R355" s="86"/>
      <c r="S355" s="86"/>
    </row>
    <row r="356" spans="3:19" ht="14.1" customHeight="1">
      <c r="C356" s="87"/>
      <c r="D356" s="88"/>
      <c r="E356" s="261"/>
      <c r="F356" s="89"/>
      <c r="G356" s="89"/>
      <c r="J356" s="90"/>
      <c r="K356" s="91"/>
      <c r="L356" s="92"/>
      <c r="M356" s="92"/>
      <c r="N356" s="93"/>
      <c r="O356" s="93"/>
      <c r="P356" s="85"/>
      <c r="Q356" s="85"/>
      <c r="R356" s="86"/>
      <c r="S356" s="86"/>
    </row>
    <row r="357" spans="3:19" ht="14.1" customHeight="1">
      <c r="C357" s="87"/>
      <c r="D357" s="88"/>
      <c r="E357" s="261"/>
      <c r="F357" s="89"/>
      <c r="G357" s="89"/>
      <c r="J357" s="90"/>
      <c r="K357" s="91"/>
      <c r="L357" s="92"/>
      <c r="M357" s="92"/>
      <c r="N357" s="93"/>
      <c r="O357" s="93"/>
      <c r="P357" s="85"/>
      <c r="Q357" s="85"/>
      <c r="R357" s="86"/>
      <c r="S357" s="86"/>
    </row>
    <row r="358" spans="3:19" ht="14.1" customHeight="1">
      <c r="C358" s="87"/>
      <c r="D358" s="88"/>
      <c r="E358" s="261"/>
      <c r="F358" s="89"/>
      <c r="G358" s="89"/>
      <c r="J358" s="90"/>
      <c r="K358" s="91"/>
      <c r="L358" s="92"/>
      <c r="M358" s="92"/>
      <c r="N358" s="93"/>
      <c r="O358" s="93"/>
      <c r="P358" s="85"/>
      <c r="Q358" s="85"/>
      <c r="R358" s="86"/>
      <c r="S358" s="86"/>
    </row>
    <row r="359" spans="3:19" ht="14.1" customHeight="1">
      <c r="C359" s="87"/>
      <c r="D359" s="88"/>
      <c r="E359" s="261"/>
      <c r="F359" s="89"/>
      <c r="G359" s="89"/>
      <c r="J359" s="90"/>
      <c r="K359" s="91"/>
      <c r="L359" s="92"/>
      <c r="M359" s="92"/>
      <c r="N359" s="93"/>
      <c r="O359" s="93"/>
      <c r="P359" s="85"/>
      <c r="Q359" s="85"/>
      <c r="R359" s="86"/>
      <c r="S359" s="86"/>
    </row>
    <row r="360" spans="3:19" ht="14.1" customHeight="1">
      <c r="C360" s="87"/>
      <c r="D360" s="88"/>
      <c r="E360" s="261"/>
      <c r="F360" s="89"/>
      <c r="G360" s="89"/>
      <c r="J360" s="90"/>
      <c r="K360" s="91"/>
      <c r="L360" s="92"/>
      <c r="M360" s="92"/>
      <c r="N360" s="93"/>
      <c r="O360" s="93"/>
      <c r="P360" s="85"/>
      <c r="Q360" s="85"/>
      <c r="R360" s="86"/>
      <c r="S360" s="86"/>
    </row>
    <row r="361" spans="3:19" ht="14.1" customHeight="1">
      <c r="C361" s="87"/>
      <c r="D361" s="88"/>
      <c r="E361" s="261"/>
      <c r="F361" s="89"/>
      <c r="G361" s="89"/>
      <c r="J361" s="90"/>
      <c r="K361" s="91"/>
      <c r="L361" s="92"/>
      <c r="M361" s="92"/>
      <c r="N361" s="93"/>
      <c r="O361" s="93"/>
      <c r="P361" s="85"/>
      <c r="Q361" s="85"/>
      <c r="R361" s="86"/>
      <c r="S361" s="86"/>
    </row>
    <row r="362" spans="3:19" ht="14.1" customHeight="1">
      <c r="C362" s="87"/>
      <c r="D362" s="88"/>
      <c r="E362" s="261"/>
      <c r="F362" s="89"/>
      <c r="G362" s="89"/>
      <c r="J362" s="90"/>
      <c r="K362" s="91"/>
      <c r="L362" s="92"/>
      <c r="M362" s="92"/>
      <c r="N362" s="93"/>
      <c r="O362" s="93"/>
      <c r="P362" s="85"/>
      <c r="Q362" s="85"/>
      <c r="R362" s="86"/>
      <c r="S362" s="86"/>
    </row>
    <row r="363" spans="3:19" ht="14.1" customHeight="1">
      <c r="C363" s="87"/>
      <c r="D363" s="88"/>
      <c r="E363" s="261"/>
      <c r="F363" s="89"/>
      <c r="G363" s="89"/>
      <c r="J363" s="90"/>
      <c r="K363" s="91"/>
      <c r="L363" s="92"/>
      <c r="M363" s="92"/>
      <c r="N363" s="93"/>
      <c r="O363" s="93"/>
      <c r="P363" s="85"/>
      <c r="Q363" s="85"/>
      <c r="R363" s="86"/>
      <c r="S363" s="86"/>
    </row>
    <row r="364" spans="3:19" ht="14.1" customHeight="1">
      <c r="C364" s="87"/>
      <c r="D364" s="88"/>
      <c r="E364" s="261"/>
      <c r="F364" s="89"/>
      <c r="G364" s="89"/>
      <c r="J364" s="90"/>
      <c r="K364" s="91"/>
      <c r="L364" s="92"/>
      <c r="M364" s="92"/>
      <c r="N364" s="93"/>
      <c r="O364" s="93"/>
      <c r="P364" s="85"/>
      <c r="Q364" s="85"/>
      <c r="R364" s="86"/>
      <c r="S364" s="86"/>
    </row>
    <row r="365" spans="3:19" ht="14.1" customHeight="1">
      <c r="C365" s="87"/>
      <c r="D365" s="88"/>
      <c r="E365" s="261"/>
      <c r="F365" s="89"/>
      <c r="G365" s="89"/>
      <c r="J365" s="90"/>
      <c r="K365" s="91"/>
      <c r="L365" s="92"/>
      <c r="M365" s="92"/>
      <c r="N365" s="93"/>
      <c r="O365" s="93"/>
      <c r="P365" s="85"/>
      <c r="Q365" s="85"/>
      <c r="R365" s="86"/>
      <c r="S365" s="86"/>
    </row>
    <row r="366" spans="3:19" ht="14.1" customHeight="1">
      <c r="C366" s="87"/>
      <c r="D366" s="88"/>
      <c r="E366" s="261"/>
      <c r="F366" s="89"/>
      <c r="G366" s="89"/>
      <c r="J366" s="90"/>
      <c r="K366" s="91"/>
      <c r="L366" s="92"/>
      <c r="M366" s="92"/>
      <c r="N366" s="93"/>
      <c r="O366" s="93"/>
      <c r="P366" s="85"/>
      <c r="Q366" s="85"/>
      <c r="R366" s="86"/>
      <c r="S366" s="86"/>
    </row>
    <row r="367" spans="3:19" ht="14.1" customHeight="1">
      <c r="C367" s="87"/>
      <c r="D367" s="88"/>
      <c r="E367" s="261"/>
      <c r="F367" s="89"/>
      <c r="G367" s="89"/>
      <c r="J367" s="90"/>
      <c r="K367" s="91"/>
      <c r="L367" s="92"/>
      <c r="M367" s="92"/>
      <c r="N367" s="93"/>
      <c r="O367" s="93"/>
      <c r="P367" s="85"/>
      <c r="Q367" s="85"/>
      <c r="R367" s="86"/>
      <c r="S367" s="86"/>
    </row>
    <row r="368" spans="3:19" ht="14.1" customHeight="1">
      <c r="C368" s="87"/>
      <c r="D368" s="88"/>
      <c r="E368" s="261"/>
      <c r="F368" s="89"/>
      <c r="G368" s="89"/>
      <c r="J368" s="90"/>
      <c r="K368" s="91"/>
      <c r="L368" s="92"/>
      <c r="M368" s="92"/>
      <c r="N368" s="93"/>
      <c r="O368" s="93"/>
      <c r="P368" s="85"/>
      <c r="Q368" s="85"/>
      <c r="R368" s="86"/>
      <c r="S368" s="86"/>
    </row>
    <row r="369" spans="3:19" ht="14.1" customHeight="1">
      <c r="C369" s="87"/>
      <c r="D369" s="88"/>
      <c r="E369" s="261"/>
      <c r="F369" s="89"/>
      <c r="G369" s="89"/>
      <c r="J369" s="90"/>
      <c r="K369" s="91"/>
      <c r="L369" s="92"/>
      <c r="M369" s="92"/>
      <c r="N369" s="93"/>
      <c r="O369" s="93"/>
      <c r="P369" s="85"/>
      <c r="Q369" s="85"/>
      <c r="R369" s="86"/>
      <c r="S369" s="86"/>
    </row>
    <row r="370" spans="3:19" ht="14.1" customHeight="1">
      <c r="C370" s="87"/>
      <c r="D370" s="88"/>
      <c r="E370" s="261"/>
      <c r="F370" s="89"/>
      <c r="G370" s="89"/>
      <c r="J370" s="90"/>
      <c r="K370" s="91"/>
      <c r="L370" s="92"/>
      <c r="M370" s="92"/>
      <c r="N370" s="93"/>
      <c r="O370" s="93"/>
      <c r="P370" s="85"/>
      <c r="Q370" s="85"/>
      <c r="R370" s="86"/>
      <c r="S370" s="86"/>
    </row>
    <row r="371" spans="3:19" ht="14.1" customHeight="1">
      <c r="C371" s="87"/>
      <c r="D371" s="88"/>
      <c r="E371" s="261"/>
      <c r="F371" s="89"/>
      <c r="G371" s="89"/>
      <c r="J371" s="90"/>
      <c r="K371" s="91"/>
      <c r="L371" s="92"/>
      <c r="M371" s="92"/>
      <c r="N371" s="93"/>
      <c r="O371" s="93"/>
      <c r="P371" s="85"/>
      <c r="Q371" s="85"/>
      <c r="R371" s="86"/>
      <c r="S371" s="86"/>
    </row>
    <row r="372" spans="3:19" ht="14.1" customHeight="1">
      <c r="C372" s="87"/>
      <c r="D372" s="88"/>
      <c r="E372" s="261"/>
      <c r="F372" s="89"/>
      <c r="G372" s="89"/>
      <c r="J372" s="90"/>
      <c r="K372" s="91"/>
      <c r="L372" s="92"/>
      <c r="M372" s="92"/>
      <c r="N372" s="93"/>
      <c r="O372" s="93"/>
      <c r="P372" s="85"/>
      <c r="Q372" s="85"/>
      <c r="R372" s="86"/>
      <c r="S372" s="86"/>
    </row>
    <row r="373" spans="3:19" ht="14.1" customHeight="1">
      <c r="C373" s="87"/>
      <c r="D373" s="88"/>
      <c r="E373" s="261"/>
      <c r="F373" s="89"/>
      <c r="G373" s="89"/>
      <c r="J373" s="90"/>
      <c r="K373" s="91"/>
      <c r="L373" s="92"/>
      <c r="M373" s="92"/>
      <c r="N373" s="93"/>
      <c r="O373" s="93"/>
      <c r="P373" s="85"/>
      <c r="Q373" s="85"/>
      <c r="R373" s="86"/>
      <c r="S373" s="86"/>
    </row>
    <row r="374" spans="3:19" ht="14.1" customHeight="1">
      <c r="C374" s="87"/>
      <c r="D374" s="88"/>
      <c r="E374" s="261"/>
      <c r="F374" s="89"/>
      <c r="G374" s="89"/>
      <c r="J374" s="90"/>
      <c r="K374" s="91"/>
      <c r="L374" s="92"/>
      <c r="M374" s="92"/>
      <c r="N374" s="93"/>
      <c r="O374" s="93"/>
      <c r="P374" s="85"/>
      <c r="Q374" s="85"/>
      <c r="R374" s="86"/>
      <c r="S374" s="86"/>
    </row>
    <row r="375" spans="3:19" ht="14.1" customHeight="1">
      <c r="C375" s="87"/>
      <c r="D375" s="88"/>
      <c r="E375" s="261"/>
      <c r="F375" s="89"/>
      <c r="G375" s="89"/>
      <c r="J375" s="90"/>
      <c r="K375" s="91"/>
      <c r="L375" s="92"/>
      <c r="M375" s="92"/>
      <c r="N375" s="93"/>
      <c r="O375" s="93"/>
      <c r="P375" s="85"/>
      <c r="Q375" s="85"/>
      <c r="R375" s="86"/>
      <c r="S375" s="86"/>
    </row>
    <row r="376" spans="3:19" ht="14.1" customHeight="1">
      <c r="C376" s="87"/>
      <c r="D376" s="88"/>
      <c r="E376" s="261"/>
      <c r="F376" s="89"/>
      <c r="G376" s="89"/>
      <c r="J376" s="90"/>
      <c r="K376" s="91"/>
      <c r="L376" s="92"/>
      <c r="M376" s="92"/>
      <c r="N376" s="93"/>
      <c r="O376" s="93"/>
      <c r="P376" s="85"/>
      <c r="Q376" s="85"/>
      <c r="R376" s="86"/>
      <c r="S376" s="86"/>
    </row>
  </sheetData>
  <mergeCells count="1">
    <mergeCell ref="Q6:Q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1" manualBreakCount="1">
    <brk id="57"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sheetView>
  </sheetViews>
  <sheetFormatPr defaultColWidth="9.33203125" defaultRowHeight="13.2"/>
  <cols>
    <col min="1" max="1" width="45.5546875" style="58" customWidth="1"/>
    <col min="2" max="2" width="18.33203125" style="58" customWidth="1"/>
    <col min="3" max="3" width="18.44140625" style="58"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c r="A1" s="485" t="s">
        <v>5</v>
      </c>
      <c r="B1" s="95"/>
      <c r="C1" s="96"/>
      <c r="D1" s="1"/>
      <c r="E1" s="1"/>
      <c r="F1" s="1"/>
      <c r="G1" s="1"/>
    </row>
    <row r="2" spans="1:8">
      <c r="A2" s="96"/>
      <c r="B2" s="96"/>
      <c r="C2" s="96"/>
      <c r="D2" s="1"/>
      <c r="E2" s="1"/>
      <c r="F2" s="1"/>
      <c r="G2" s="1"/>
    </row>
    <row r="3" spans="1:8" ht="15.6">
      <c r="A3" s="40" t="str">
        <f>'2-Kosten per locatie'!A3</f>
        <v>Naam opdrachtgever</v>
      </c>
      <c r="B3" s="49" t="str">
        <f>'2-Kosten per locatie'!B3</f>
        <v>Gemeente Barneveld</v>
      </c>
      <c r="C3" s="96"/>
      <c r="D3" s="1"/>
      <c r="E3" s="31"/>
      <c r="F3" s="1"/>
      <c r="G3" s="1"/>
    </row>
    <row r="4" spans="1:8" ht="15.6">
      <c r="A4" s="40" t="str">
        <f>'2-Kosten per locatie'!A4</f>
        <v>Calculatie onderdeel</v>
      </c>
      <c r="B4" s="49" t="str">
        <f ca="1">MID(CELL("bestandsnaam",$C$9),SEARCH("]",CELL("bestandsnaam",$C$9),1)+1,256)</f>
        <v>5-Premies en opslagen</v>
      </c>
      <c r="C4" s="97"/>
      <c r="D4" s="16"/>
      <c r="E4" s="4"/>
      <c r="F4" s="4"/>
      <c r="G4" s="4"/>
    </row>
    <row r="5" spans="1:8" ht="15.6">
      <c r="A5" s="40" t="str">
        <f>'2-Kosten per locatie'!A5</f>
        <v>Gebouw/plaats</v>
      </c>
      <c r="B5" s="49" t="str">
        <f>'2-Kosten per locatie'!B5</f>
        <v>Divers</v>
      </c>
      <c r="C5" s="40"/>
      <c r="D5" s="8"/>
      <c r="E5" s="17"/>
      <c r="F5" s="5"/>
      <c r="G5" s="4"/>
    </row>
    <row r="6" spans="1:8" ht="15.6">
      <c r="A6" s="40" t="str">
        <f>'2-Kosten per locatie'!A6</f>
        <v>Referentie nummer</v>
      </c>
      <c r="B6" s="49">
        <f>'2-Kosten per locatie'!B6</f>
        <v>0</v>
      </c>
      <c r="C6" s="77"/>
      <c r="D6" s="8"/>
      <c r="E6" s="33"/>
      <c r="F6" s="32"/>
      <c r="G6" s="34"/>
      <c r="H6" s="35"/>
    </row>
    <row r="7" spans="1:8" ht="15.6">
      <c r="A7" s="40" t="str">
        <f>'2-Kosten per locatie'!A7</f>
        <v>Naam dienstverlener</v>
      </c>
      <c r="B7" s="49">
        <f>'2-Kosten per locatie'!B7</f>
        <v>0</v>
      </c>
      <c r="C7" s="77"/>
      <c r="D7" s="8"/>
      <c r="E7" s="17"/>
      <c r="F7" s="5"/>
      <c r="G7" s="4"/>
    </row>
    <row r="8" spans="1:8" ht="15.6">
      <c r="A8" s="40" t="str">
        <f>'2-Kosten per locatie'!A8</f>
        <v>Prijspeil</v>
      </c>
      <c r="B8" s="264">
        <f>'2-Kosten per locatie'!B8</f>
        <v>46388</v>
      </c>
      <c r="C8" s="98"/>
      <c r="D8" s="17"/>
      <c r="E8" s="17"/>
      <c r="F8" s="5"/>
      <c r="G8" s="4"/>
    </row>
    <row r="9" spans="1:8" ht="18.600000000000001">
      <c r="A9" s="209"/>
      <c r="B9" s="98"/>
      <c r="C9" s="98"/>
      <c r="D9" s="17"/>
      <c r="E9" s="17"/>
      <c r="F9" s="5"/>
      <c r="G9" s="4"/>
    </row>
    <row r="10" spans="1:8" ht="21">
      <c r="A10" s="361" t="s">
        <v>100</v>
      </c>
      <c r="B10" s="362"/>
      <c r="C10" s="363"/>
      <c r="D10" s="17"/>
      <c r="E10" s="17"/>
      <c r="F10" s="5"/>
      <c r="G10" s="4"/>
    </row>
    <row r="11" spans="1:8">
      <c r="A11" s="99"/>
      <c r="B11" s="100"/>
      <c r="C11" s="100"/>
      <c r="D11" s="17"/>
      <c r="E11" s="17"/>
      <c r="F11" s="4"/>
      <c r="G11" s="4"/>
    </row>
    <row r="12" spans="1:8">
      <c r="A12" s="364"/>
      <c r="B12" s="359"/>
      <c r="C12" s="365" t="s">
        <v>101</v>
      </c>
      <c r="D12" s="17"/>
      <c r="E12" s="17"/>
      <c r="F12" s="5"/>
      <c r="G12" s="4"/>
    </row>
    <row r="13" spans="1:8">
      <c r="A13" s="101" t="s">
        <v>102</v>
      </c>
      <c r="B13" s="359"/>
      <c r="C13" s="265"/>
      <c r="D13" s="17"/>
      <c r="E13" s="17"/>
      <c r="F13" s="18"/>
      <c r="G13" s="4"/>
    </row>
    <row r="14" spans="1:8">
      <c r="A14" s="101" t="s">
        <v>103</v>
      </c>
      <c r="B14" s="359"/>
      <c r="C14" s="265"/>
      <c r="D14" s="17"/>
      <c r="E14" s="17"/>
      <c r="F14" s="18"/>
      <c r="G14" s="4"/>
    </row>
    <row r="15" spans="1:8">
      <c r="A15" s="101" t="s">
        <v>104</v>
      </c>
      <c r="B15" s="359"/>
      <c r="C15" s="265"/>
      <c r="D15" s="17"/>
      <c r="E15" s="17"/>
      <c r="F15" s="18"/>
      <c r="G15" s="4"/>
    </row>
    <row r="16" spans="1:8">
      <c r="A16" s="366" t="s">
        <v>36</v>
      </c>
      <c r="B16" s="367"/>
      <c r="C16" s="368">
        <f>SUM(C13:C15)</f>
        <v>0</v>
      </c>
      <c r="D16" s="17"/>
      <c r="E16" s="17"/>
      <c r="F16" s="4"/>
    </row>
    <row r="17" spans="1:7">
      <c r="A17" s="366"/>
      <c r="B17" s="367"/>
      <c r="C17" s="368"/>
      <c r="D17" s="17"/>
      <c r="E17" s="17"/>
      <c r="F17" s="4"/>
    </row>
    <row r="18" spans="1:7">
      <c r="A18" s="536" t="s">
        <v>105</v>
      </c>
      <c r="B18" s="537"/>
      <c r="C18" s="265"/>
      <c r="D18" s="17"/>
      <c r="E18" s="17"/>
      <c r="F18" s="4"/>
    </row>
    <row r="19" spans="1:7">
      <c r="A19" s="101" t="s">
        <v>106</v>
      </c>
      <c r="B19" s="102"/>
      <c r="C19" s="265"/>
      <c r="D19" s="17"/>
      <c r="E19" s="17"/>
      <c r="F19" s="4"/>
    </row>
    <row r="20" spans="1:7">
      <c r="A20" s="536" t="s">
        <v>107</v>
      </c>
      <c r="B20" s="537"/>
      <c r="C20" s="265"/>
      <c r="D20" s="17"/>
      <c r="E20" s="17"/>
      <c r="F20" s="4"/>
    </row>
    <row r="21" spans="1:7">
      <c r="A21" s="536" t="s">
        <v>108</v>
      </c>
      <c r="B21" s="537"/>
      <c r="C21" s="369" t="e">
        <f>C34</f>
        <v>#DIV/0!</v>
      </c>
      <c r="D21" s="17"/>
      <c r="E21" s="17"/>
      <c r="F21" s="4"/>
    </row>
    <row r="22" spans="1:7">
      <c r="A22" s="536" t="s">
        <v>109</v>
      </c>
      <c r="B22" s="537"/>
      <c r="C22" s="265"/>
      <c r="D22" s="17"/>
      <c r="E22" s="17"/>
      <c r="F22" s="4"/>
    </row>
    <row r="23" spans="1:7">
      <c r="A23" s="536" t="s">
        <v>110</v>
      </c>
      <c r="B23" s="537"/>
      <c r="C23" s="265"/>
      <c r="D23" s="17"/>
      <c r="E23" s="17"/>
      <c r="F23" s="4"/>
    </row>
    <row r="24" spans="1:7">
      <c r="A24" s="538" t="s">
        <v>111</v>
      </c>
      <c r="B24" s="539"/>
      <c r="C24" s="370" t="e">
        <f>SUM(C16:C23)</f>
        <v>#DIV/0!</v>
      </c>
      <c r="D24" s="17"/>
      <c r="E24" s="17"/>
      <c r="F24" s="4"/>
    </row>
    <row r="25" spans="1:7">
      <c r="A25" s="103"/>
      <c r="B25" s="104"/>
      <c r="C25" s="105"/>
      <c r="D25" s="17"/>
      <c r="E25" s="17"/>
      <c r="F25" s="7"/>
      <c r="G25" s="4"/>
    </row>
    <row r="26" spans="1:7" ht="21">
      <c r="A26" s="361" t="s">
        <v>112</v>
      </c>
      <c r="B26" s="362"/>
      <c r="C26" s="363"/>
      <c r="D26" s="17"/>
      <c r="E26" s="17"/>
      <c r="F26" s="5"/>
      <c r="G26" s="4"/>
    </row>
    <row r="27" spans="1:7">
      <c r="A27" s="99"/>
      <c r="B27" s="100"/>
      <c r="C27" s="100"/>
      <c r="D27" s="17"/>
      <c r="E27" s="17"/>
      <c r="F27" s="4"/>
      <c r="G27" s="4"/>
    </row>
    <row r="28" spans="1:7">
      <c r="A28" s="100"/>
      <c r="B28" s="100"/>
      <c r="C28" s="371" t="s">
        <v>113</v>
      </c>
      <c r="D28" s="17"/>
      <c r="E28" s="17"/>
      <c r="F28" s="4"/>
      <c r="G28" s="4"/>
    </row>
    <row r="29" spans="1:7">
      <c r="A29" s="101" t="s">
        <v>114</v>
      </c>
      <c r="B29" s="359"/>
      <c r="C29" s="372">
        <f>'6-Opbouw uurtarief productie'!E20</f>
        <v>0</v>
      </c>
      <c r="D29" s="17"/>
      <c r="E29" s="17"/>
      <c r="G29" s="4"/>
    </row>
    <row r="30" spans="1:7">
      <c r="A30" s="101" t="s">
        <v>115</v>
      </c>
      <c r="B30" s="106" t="s">
        <v>116</v>
      </c>
      <c r="C30" s="373"/>
      <c r="D30" s="17"/>
      <c r="E30" s="17"/>
      <c r="F30" s="5"/>
      <c r="G30" s="4"/>
    </row>
    <row r="31" spans="1:7">
      <c r="A31" s="101" t="s">
        <v>117</v>
      </c>
      <c r="B31" s="359"/>
      <c r="C31" s="266">
        <f>C29+C30</f>
        <v>0</v>
      </c>
      <c r="D31" s="17"/>
      <c r="E31" s="17"/>
      <c r="F31" s="5"/>
      <c r="G31" s="4"/>
    </row>
    <row r="32" spans="1:7">
      <c r="A32" s="374" t="s">
        <v>118</v>
      </c>
      <c r="B32" s="107"/>
      <c r="C32" s="375"/>
      <c r="E32" s="19"/>
      <c r="F32" s="5"/>
      <c r="G32" s="4"/>
    </row>
    <row r="33" spans="1:7">
      <c r="A33" s="99"/>
      <c r="B33" s="376"/>
      <c r="C33" s="267"/>
      <c r="E33" s="3"/>
      <c r="F33" s="4"/>
      <c r="G33" s="4"/>
    </row>
    <row r="34" spans="1:7">
      <c r="A34" s="377" t="s">
        <v>119</v>
      </c>
      <c r="B34" s="378"/>
      <c r="C34" s="379" t="e">
        <f>(C31/C29)*C32</f>
        <v>#DIV/0!</v>
      </c>
      <c r="E34" s="20"/>
      <c r="F34" s="5"/>
      <c r="G34" s="21"/>
    </row>
    <row r="35" spans="1:7">
      <c r="A35" s="99"/>
      <c r="B35" s="100"/>
      <c r="C35" s="100"/>
      <c r="E35" s="20"/>
      <c r="F35" s="5"/>
      <c r="G35" s="4"/>
    </row>
    <row r="36" spans="1:7" ht="21">
      <c r="A36" s="380" t="s">
        <v>120</v>
      </c>
      <c r="B36" s="381"/>
      <c r="C36" s="382"/>
      <c r="E36" s="20"/>
      <c r="F36" s="5"/>
      <c r="G36" s="4"/>
    </row>
    <row r="37" spans="1:7">
      <c r="A37" s="103"/>
      <c r="B37" s="104"/>
      <c r="C37" s="105"/>
      <c r="E37" s="20"/>
      <c r="F37" s="5"/>
      <c r="G37" s="4"/>
    </row>
    <row r="38" spans="1:7" ht="16.2">
      <c r="A38" s="103"/>
      <c r="B38" s="383" t="s">
        <v>121</v>
      </c>
      <c r="C38" s="105"/>
      <c r="E38" s="20"/>
      <c r="F38" s="5"/>
      <c r="G38" s="4"/>
    </row>
    <row r="39" spans="1:7">
      <c r="A39" s="384" t="s">
        <v>122</v>
      </c>
      <c r="B39" s="385">
        <v>365</v>
      </c>
      <c r="C39" s="105"/>
      <c r="E39" s="20"/>
      <c r="F39" s="5"/>
      <c r="G39" s="9"/>
    </row>
    <row r="40" spans="1:7">
      <c r="A40" s="384" t="s">
        <v>123</v>
      </c>
      <c r="B40" s="385">
        <v>104</v>
      </c>
      <c r="C40" s="105"/>
      <c r="E40" s="20"/>
      <c r="F40" s="5"/>
      <c r="G40" s="9"/>
    </row>
    <row r="41" spans="1:7">
      <c r="A41" s="386" t="s">
        <v>124</v>
      </c>
      <c r="B41" s="387">
        <f>B39-B40</f>
        <v>261</v>
      </c>
      <c r="C41" s="105"/>
      <c r="E41" s="20"/>
      <c r="F41" s="5"/>
      <c r="G41" s="6"/>
    </row>
    <row r="42" spans="1:7">
      <c r="A42" s="388"/>
      <c r="B42" s="389"/>
      <c r="C42" s="105"/>
      <c r="E42" s="20"/>
      <c r="F42" s="5"/>
      <c r="G42" s="6"/>
    </row>
    <row r="43" spans="1:7">
      <c r="A43" s="384" t="s">
        <v>125</v>
      </c>
      <c r="B43" s="390"/>
      <c r="C43" s="105"/>
      <c r="E43" s="20"/>
      <c r="F43" s="5"/>
      <c r="G43" s="6"/>
    </row>
    <row r="44" spans="1:7">
      <c r="A44" s="384" t="s">
        <v>126</v>
      </c>
      <c r="B44" s="390"/>
      <c r="C44" s="105"/>
      <c r="E44" s="20"/>
      <c r="F44" s="5"/>
      <c r="G44" s="6"/>
    </row>
    <row r="45" spans="1:7">
      <c r="A45" s="384" t="s">
        <v>127</v>
      </c>
      <c r="B45" s="390"/>
      <c r="C45" s="105"/>
      <c r="E45" s="20"/>
      <c r="F45" s="5"/>
      <c r="G45" s="6"/>
    </row>
    <row r="46" spans="1:7">
      <c r="A46" s="384" t="s">
        <v>128</v>
      </c>
      <c r="B46" s="390"/>
      <c r="C46" s="105"/>
      <c r="E46" s="20"/>
      <c r="F46" s="5"/>
      <c r="G46" s="6"/>
    </row>
    <row r="47" spans="1:7">
      <c r="A47" s="386" t="s">
        <v>129</v>
      </c>
      <c r="B47" s="387">
        <f>B41-SUM(B43:B46)</f>
        <v>261</v>
      </c>
      <c r="C47" s="105"/>
      <c r="E47" s="20"/>
      <c r="F47" s="5"/>
      <c r="G47" s="6"/>
    </row>
    <row r="48" spans="1:7">
      <c r="A48" s="391"/>
      <c r="B48" s="389"/>
      <c r="C48" s="105"/>
      <c r="E48" s="20"/>
      <c r="F48" s="5"/>
      <c r="G48" s="6"/>
    </row>
    <row r="49" spans="1:7">
      <c r="A49" s="392" t="s">
        <v>130</v>
      </c>
      <c r="B49" s="393">
        <f>IF(B43=0,0,B43/$B$47)</f>
        <v>0</v>
      </c>
      <c r="C49" s="105"/>
      <c r="E49" s="20"/>
      <c r="F49" s="5"/>
      <c r="G49" s="6"/>
    </row>
    <row r="50" spans="1:7">
      <c r="A50" s="392" t="s">
        <v>126</v>
      </c>
      <c r="B50" s="393">
        <f>IF(B44=0,0,B44/$B$47)</f>
        <v>0</v>
      </c>
      <c r="C50" s="105"/>
      <c r="E50" s="20"/>
      <c r="F50" s="5"/>
      <c r="G50" s="6"/>
    </row>
    <row r="51" spans="1:7">
      <c r="A51" s="384" t="s">
        <v>127</v>
      </c>
      <c r="B51" s="393">
        <f>IF(B45=0,0,B45/$B$47)</f>
        <v>0</v>
      </c>
      <c r="C51" s="105"/>
      <c r="E51" s="20"/>
      <c r="F51" s="5"/>
      <c r="G51" s="6"/>
    </row>
    <row r="52" spans="1:7">
      <c r="A52" s="392" t="s">
        <v>128</v>
      </c>
      <c r="B52" s="393">
        <f>IF(B46=0,0,B46/$B$47)</f>
        <v>0</v>
      </c>
      <c r="C52" s="105"/>
      <c r="E52" s="20"/>
      <c r="F52" s="5"/>
      <c r="G52" s="10"/>
    </row>
    <row r="53" spans="1:7">
      <c r="A53" s="386" t="s">
        <v>131</v>
      </c>
      <c r="B53" s="394">
        <f>SUM(B49:B52)</f>
        <v>0</v>
      </c>
      <c r="C53" s="105"/>
      <c r="E53" s="20"/>
      <c r="F53" s="5"/>
      <c r="G53" s="11"/>
    </row>
    <row r="54" spans="1:7">
      <c r="A54" s="108"/>
      <c r="B54" s="108"/>
      <c r="C54" s="108"/>
      <c r="E54" s="20"/>
      <c r="F54" s="5"/>
      <c r="G54" s="1"/>
    </row>
    <row r="55" spans="1:7" ht="31.2" customHeight="1">
      <c r="A55" s="533" t="s">
        <v>132</v>
      </c>
      <c r="B55" s="534"/>
      <c r="C55" s="535"/>
      <c r="E55" s="20"/>
      <c r="F55" s="5"/>
      <c r="G55" s="1"/>
    </row>
    <row r="58" spans="1:7" ht="13.8">
      <c r="A58" s="109"/>
      <c r="B58" s="110"/>
    </row>
    <row r="59" spans="1:7" ht="13.8">
      <c r="A59" s="109"/>
      <c r="B59" s="110"/>
    </row>
    <row r="60" spans="1:7" ht="13.8">
      <c r="A60" s="109"/>
      <c r="B60" s="110"/>
    </row>
    <row r="61" spans="1:7" ht="13.8">
      <c r="A61" s="109"/>
      <c r="B61" s="110"/>
    </row>
    <row r="62" spans="1:7" ht="13.8">
      <c r="A62" s="111"/>
      <c r="B62" s="110"/>
    </row>
    <row r="63" spans="1:7" ht="13.8">
      <c r="A63" s="110"/>
      <c r="B63" s="110"/>
    </row>
    <row r="64" spans="1:7" ht="13.8">
      <c r="A64" s="110"/>
      <c r="B64" s="110"/>
    </row>
    <row r="65" spans="1:3" ht="13.8">
      <c r="A65" s="110"/>
      <c r="B65" s="110"/>
    </row>
    <row r="66" spans="1:3" ht="13.8">
      <c r="A66" s="110"/>
      <c r="B66" s="110"/>
    </row>
    <row r="67" spans="1:3" ht="13.8">
      <c r="A67" s="110"/>
      <c r="B67" s="110"/>
    </row>
    <row r="68" spans="1:3" ht="13.8">
      <c r="A68" s="110"/>
      <c r="B68" s="110"/>
    </row>
    <row r="69" spans="1:3" ht="13.8">
      <c r="A69" s="110"/>
      <c r="B69" s="110"/>
    </row>
    <row r="70" spans="1:3" ht="13.8">
      <c r="A70" s="110"/>
      <c r="B70" s="112"/>
    </row>
    <row r="71" spans="1:3" ht="13.8">
      <c r="A71" s="110"/>
      <c r="B71" s="110"/>
    </row>
    <row r="72" spans="1:3" ht="13.8">
      <c r="B72" s="110"/>
    </row>
    <row r="73" spans="1:3" ht="13.8">
      <c r="A73" s="110"/>
      <c r="B73" s="110"/>
      <c r="C73" s="110"/>
    </row>
    <row r="74" spans="1:3" ht="13.8">
      <c r="A74" s="113"/>
      <c r="B74" s="110"/>
      <c r="C74" s="113"/>
    </row>
    <row r="75" spans="1:3" ht="13.8">
      <c r="A75" s="110"/>
      <c r="B75" s="110"/>
      <c r="C75" s="110"/>
    </row>
    <row r="76" spans="1:3" ht="13.8">
      <c r="A76" s="110"/>
      <c r="B76" s="110"/>
      <c r="C76" s="110"/>
    </row>
    <row r="77" spans="1:3" ht="13.8">
      <c r="A77" s="110"/>
      <c r="B77" s="110"/>
      <c r="C77" s="110"/>
    </row>
    <row r="78" spans="1:3" ht="13.8">
      <c r="A78" s="113"/>
      <c r="B78" s="110"/>
      <c r="C78" s="113"/>
    </row>
    <row r="79" spans="1:3" ht="13.8">
      <c r="A79" s="113"/>
      <c r="B79" s="110"/>
      <c r="C79" s="113"/>
    </row>
    <row r="80" spans="1:3" ht="13.8">
      <c r="A80" s="113"/>
      <c r="B80" s="110"/>
      <c r="C80" s="113"/>
    </row>
    <row r="81" spans="1:2" ht="13.8">
      <c r="A81" s="110"/>
      <c r="B81" s="110"/>
    </row>
    <row r="82" spans="1:2" ht="13.8">
      <c r="A82" s="110"/>
      <c r="B82" s="110"/>
    </row>
    <row r="83" spans="1:2" ht="13.8">
      <c r="A83" s="110"/>
      <c r="B83" s="110"/>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AD74"/>
  <sheetViews>
    <sheetView showGridLines="0" showZeros="0" showOutlineSymbols="0" zoomScale="93" zoomScaleNormal="90" zoomScalePageLayoutView="50" workbookViewId="0">
      <pane ySplit="10" topLeftCell="A11" activePane="bottomLeft" state="frozen"/>
      <selection activeCell="B1" sqref="B1"/>
      <selection pane="bottomLeft"/>
    </sheetView>
  </sheetViews>
  <sheetFormatPr defaultColWidth="11.44140625" defaultRowHeight="13.2"/>
  <cols>
    <col min="1" max="1" width="35.88671875" style="58" customWidth="1"/>
    <col min="2" max="2" width="21.6640625" style="58" customWidth="1"/>
    <col min="3" max="3" width="19.33203125" style="58" bestFit="1" customWidth="1"/>
    <col min="4" max="4" width="2" style="58" customWidth="1"/>
    <col min="5" max="5" width="14.44140625" style="58" customWidth="1"/>
    <col min="6" max="6" width="12.33203125" style="58" customWidth="1"/>
    <col min="7" max="7" width="9.88671875" style="58" customWidth="1"/>
    <col min="8" max="8" width="27.5546875" style="58" customWidth="1"/>
    <col min="9" max="15" width="11.44140625" style="58"/>
    <col min="16" max="16" width="14" style="58" customWidth="1"/>
    <col min="17" max="17" width="11.44140625" style="58"/>
    <col min="18" max="18" width="13.44140625" style="58" customWidth="1"/>
    <col min="19" max="21" width="11.44140625" style="58"/>
    <col min="22" max="16384" width="11.44140625" style="2"/>
  </cols>
  <sheetData>
    <row r="1" spans="1:30" ht="12.75" customHeight="1">
      <c r="A1" s="485" t="s">
        <v>5</v>
      </c>
      <c r="B1" s="95"/>
      <c r="C1" s="96"/>
      <c r="D1" s="96"/>
      <c r="E1" s="96"/>
      <c r="F1" s="96"/>
      <c r="H1" s="548"/>
      <c r="I1" s="548"/>
      <c r="J1" s="548"/>
      <c r="K1" s="548"/>
      <c r="L1" s="548"/>
      <c r="M1" s="548"/>
      <c r="N1" s="548"/>
      <c r="P1" s="480"/>
    </row>
    <row r="2" spans="1:30">
      <c r="A2" s="96"/>
      <c r="B2" s="114"/>
      <c r="C2" s="115"/>
      <c r="D2" s="114"/>
      <c r="E2" s="116"/>
      <c r="F2" s="117"/>
      <c r="H2" s="548"/>
      <c r="I2" s="548"/>
      <c r="J2" s="548"/>
      <c r="K2" s="548"/>
      <c r="L2" s="548"/>
      <c r="M2" s="548"/>
      <c r="N2" s="548"/>
      <c r="P2" s="480"/>
    </row>
    <row r="3" spans="1:30" ht="14.25" customHeight="1">
      <c r="A3" s="40" t="str">
        <f>'2-Kosten per locatie'!A3</f>
        <v>Naam opdrachtgever</v>
      </c>
      <c r="B3" s="118" t="str">
        <f>'2-Kosten per locatie'!B3</f>
        <v>Gemeente Barneveld</v>
      </c>
      <c r="C3" s="119"/>
      <c r="D3" s="114"/>
      <c r="E3" s="120"/>
      <c r="F3" s="121"/>
      <c r="H3" s="548"/>
      <c r="I3" s="548"/>
      <c r="J3" s="548"/>
      <c r="K3" s="548"/>
      <c r="L3" s="548"/>
      <c r="M3" s="548"/>
      <c r="N3" s="548"/>
      <c r="P3" s="480"/>
    </row>
    <row r="4" spans="1:30" ht="15.75" customHeight="1">
      <c r="A4" s="40" t="str">
        <f>'2-Kosten per locatie'!A4</f>
        <v>Calculatie onderdeel</v>
      </c>
      <c r="B4" s="122" t="str">
        <f ca="1">MID(CELL("bestandsnaam",$C$9),SEARCH("]",CELL("bestandsnaam",$C$9),1)+1,256)</f>
        <v>6-Opbouw uurtarief productie</v>
      </c>
      <c r="C4" s="123"/>
      <c r="D4" s="124"/>
      <c r="H4" s="548"/>
      <c r="I4" s="548"/>
      <c r="J4" s="548"/>
      <c r="K4" s="548"/>
      <c r="L4" s="548"/>
      <c r="M4" s="548"/>
      <c r="N4" s="548"/>
      <c r="P4" s="480"/>
    </row>
    <row r="5" spans="1:30" ht="15.6">
      <c r="A5" s="40" t="str">
        <f>'2-Kosten per locatie'!A5</f>
        <v>Gebouw/plaats</v>
      </c>
      <c r="B5" s="118" t="str">
        <f>'2-Kosten per locatie'!B5</f>
        <v>Divers</v>
      </c>
      <c r="C5" s="123"/>
      <c r="D5" s="124"/>
      <c r="H5" s="548"/>
      <c r="I5" s="548"/>
      <c r="J5" s="548"/>
      <c r="K5" s="548"/>
      <c r="L5" s="548"/>
      <c r="M5" s="548"/>
      <c r="N5" s="548"/>
      <c r="P5" s="480"/>
    </row>
    <row r="6" spans="1:30" ht="15.6">
      <c r="A6" s="40" t="str">
        <f>'2-Kosten per locatie'!A6</f>
        <v>Referentie nummer</v>
      </c>
      <c r="B6" s="118">
        <f>'2-Kosten per locatie'!B6</f>
        <v>0</v>
      </c>
      <c r="C6" s="123"/>
      <c r="D6" s="124"/>
      <c r="H6" s="125"/>
      <c r="I6" s="125"/>
      <c r="J6" s="125"/>
      <c r="K6" s="125"/>
      <c r="L6" s="125"/>
      <c r="M6" s="125"/>
      <c r="N6" s="125"/>
      <c r="P6" s="480"/>
    </row>
    <row r="7" spans="1:30" ht="15.6">
      <c r="A7" s="40" t="str">
        <f>'2-Kosten per locatie'!A7</f>
        <v>Naam dienstverlener</v>
      </c>
      <c r="B7" s="118">
        <f>'2-Kosten per locatie'!B7</f>
        <v>0</v>
      </c>
      <c r="C7" s="123"/>
      <c r="D7" s="124"/>
      <c r="H7" s="125"/>
      <c r="I7" s="125"/>
      <c r="J7" s="125"/>
      <c r="K7" s="125"/>
      <c r="L7" s="125"/>
      <c r="M7" s="125"/>
      <c r="N7" s="125"/>
      <c r="P7" s="480"/>
    </row>
    <row r="8" spans="1:30" ht="15.6">
      <c r="A8" s="40" t="str">
        <f>'2-Kosten per locatie'!A8</f>
        <v>Prijspeil</v>
      </c>
      <c r="B8" s="286">
        <f>'2-Kosten per locatie'!B8</f>
        <v>46388</v>
      </c>
      <c r="C8" s="123"/>
      <c r="D8" s="124"/>
      <c r="J8" s="125"/>
      <c r="K8" s="125"/>
      <c r="L8" s="125"/>
      <c r="M8" s="125"/>
      <c r="N8" s="125"/>
      <c r="O8" s="126"/>
      <c r="P8" s="480"/>
    </row>
    <row r="9" spans="1:30" ht="15.6">
      <c r="A9" s="127"/>
      <c r="B9" s="128"/>
      <c r="C9" s="129"/>
      <c r="D9" s="124"/>
      <c r="E9" s="130"/>
      <c r="F9" s="131"/>
      <c r="P9" s="480"/>
    </row>
    <row r="10" spans="1:30" s="22" customFormat="1" ht="30.75" customHeight="1">
      <c r="A10" s="212" t="s">
        <v>133</v>
      </c>
      <c r="B10" s="395"/>
      <c r="C10" s="396"/>
      <c r="D10" s="210"/>
      <c r="E10" s="546" t="s">
        <v>134</v>
      </c>
      <c r="F10" s="547"/>
      <c r="G10" s="211"/>
      <c r="H10" s="212" t="s">
        <v>135</v>
      </c>
      <c r="I10" s="549" t="s">
        <v>608</v>
      </c>
      <c r="J10" s="550"/>
      <c r="K10" s="550"/>
      <c r="L10" s="550"/>
      <c r="M10" s="550"/>
      <c r="N10" s="550"/>
      <c r="O10" s="126"/>
      <c r="P10" s="480"/>
      <c r="Q10" s="58"/>
      <c r="R10" s="58"/>
      <c r="S10" s="58"/>
      <c r="T10" s="58"/>
      <c r="U10" s="58"/>
      <c r="V10" s="2"/>
    </row>
    <row r="11" spans="1:30" ht="30" customHeight="1">
      <c r="A11" s="139"/>
      <c r="B11" s="397" t="s">
        <v>136</v>
      </c>
      <c r="C11" s="398" t="s">
        <v>136</v>
      </c>
      <c r="D11" s="124"/>
      <c r="E11" s="268"/>
      <c r="F11" s="399"/>
      <c r="H11" s="139"/>
      <c r="I11" s="289">
        <v>1</v>
      </c>
      <c r="J11" s="289">
        <v>2</v>
      </c>
      <c r="K11" s="289">
        <v>3</v>
      </c>
      <c r="L11" s="289">
        <v>4</v>
      </c>
      <c r="M11" s="289">
        <v>5</v>
      </c>
      <c r="N11" s="289">
        <v>6</v>
      </c>
      <c r="P11" s="481"/>
    </row>
    <row r="12" spans="1:30">
      <c r="A12" s="139" t="s">
        <v>137</v>
      </c>
      <c r="B12" s="400" t="s">
        <v>138</v>
      </c>
      <c r="C12" s="401"/>
      <c r="D12" s="124"/>
      <c r="E12" s="269">
        <f>SUM(I41:N41)*1.031</f>
        <v>0</v>
      </c>
      <c r="F12" s="270"/>
      <c r="H12" s="139" t="s">
        <v>139</v>
      </c>
      <c r="I12" s="290"/>
      <c r="J12" s="290"/>
      <c r="K12" s="290"/>
      <c r="L12" s="290"/>
      <c r="M12" s="290"/>
      <c r="N12" s="290"/>
      <c r="P12" s="482"/>
      <c r="W12" s="479"/>
      <c r="X12" s="479"/>
      <c r="Y12" s="479"/>
      <c r="Z12" s="479"/>
      <c r="AA12" s="479"/>
      <c r="AB12" s="479"/>
      <c r="AC12" s="479"/>
      <c r="AD12" s="479"/>
    </row>
    <row r="13" spans="1:30">
      <c r="A13" s="139" t="s">
        <v>140</v>
      </c>
      <c r="B13" s="400" t="s">
        <v>138</v>
      </c>
      <c r="C13" s="402"/>
      <c r="D13" s="124"/>
      <c r="E13" s="271"/>
      <c r="F13" s="270"/>
      <c r="H13" s="139" t="s">
        <v>141</v>
      </c>
      <c r="I13" s="290"/>
      <c r="J13" s="290"/>
      <c r="K13" s="290"/>
      <c r="L13" s="290"/>
      <c r="M13" s="290"/>
      <c r="N13" s="290"/>
      <c r="P13" s="483"/>
      <c r="W13" s="479"/>
      <c r="X13" s="479"/>
      <c r="Y13" s="479"/>
      <c r="Z13" s="479"/>
      <c r="AA13" s="479"/>
      <c r="AB13" s="479"/>
      <c r="AC13" s="479"/>
      <c r="AD13" s="479"/>
    </row>
    <row r="14" spans="1:30">
      <c r="A14" s="403" t="s">
        <v>142</v>
      </c>
      <c r="B14" s="404"/>
      <c r="C14" s="405"/>
      <c r="D14" s="136"/>
      <c r="E14" s="272">
        <f>SUM(E12:E13)</f>
        <v>0</v>
      </c>
      <c r="F14" s="270"/>
      <c r="H14" s="139" t="s">
        <v>143</v>
      </c>
      <c r="I14" s="290"/>
      <c r="J14" s="290"/>
      <c r="K14" s="290"/>
      <c r="L14" s="290"/>
      <c r="M14" s="290"/>
      <c r="N14" s="290"/>
      <c r="W14" s="479"/>
      <c r="X14" s="479"/>
      <c r="Y14" s="479"/>
      <c r="Z14" s="479"/>
      <c r="AA14" s="479"/>
      <c r="AB14" s="479"/>
      <c r="AC14" s="479"/>
      <c r="AD14" s="479"/>
    </row>
    <row r="15" spans="1:30">
      <c r="A15" s="134"/>
      <c r="B15" s="406"/>
      <c r="C15" s="407"/>
      <c r="D15" s="124"/>
      <c r="E15" s="273"/>
      <c r="F15" s="270"/>
      <c r="H15" s="139" t="s">
        <v>144</v>
      </c>
      <c r="I15" s="290"/>
      <c r="J15" s="290"/>
      <c r="K15" s="290"/>
      <c r="L15" s="290"/>
      <c r="M15" s="290"/>
      <c r="N15" s="290"/>
      <c r="W15" s="479"/>
      <c r="X15" s="479"/>
      <c r="Y15" s="479"/>
      <c r="Z15" s="479"/>
      <c r="AA15" s="479"/>
      <c r="AB15" s="479"/>
      <c r="AC15" s="479"/>
      <c r="AD15" s="479"/>
    </row>
    <row r="16" spans="1:30">
      <c r="A16" s="408" t="s">
        <v>145</v>
      </c>
      <c r="B16" s="400" t="s">
        <v>138</v>
      </c>
      <c r="C16" s="409"/>
      <c r="D16" s="124"/>
      <c r="E16" s="274">
        <f>$C16*E14</f>
        <v>0</v>
      </c>
      <c r="F16" s="270"/>
      <c r="H16" s="139" t="s">
        <v>146</v>
      </c>
      <c r="I16" s="290"/>
      <c r="J16" s="290"/>
      <c r="K16" s="290"/>
      <c r="L16" s="290"/>
      <c r="M16" s="290"/>
      <c r="N16" s="290"/>
      <c r="W16" s="479"/>
      <c r="X16" s="479"/>
      <c r="Y16" s="479"/>
      <c r="Z16" s="479"/>
      <c r="AA16" s="479"/>
      <c r="AB16" s="479"/>
      <c r="AC16" s="479"/>
      <c r="AD16" s="479"/>
    </row>
    <row r="17" spans="1:30">
      <c r="A17" s="408" t="s">
        <v>147</v>
      </c>
      <c r="B17" s="400" t="s">
        <v>138</v>
      </c>
      <c r="C17" s="409"/>
      <c r="D17" s="124"/>
      <c r="E17" s="275">
        <f>$C17*E14</f>
        <v>0</v>
      </c>
      <c r="F17" s="270"/>
      <c r="H17" s="139" t="s">
        <v>148</v>
      </c>
      <c r="I17" s="290"/>
      <c r="J17" s="290"/>
      <c r="K17" s="290"/>
      <c r="L17" s="290"/>
      <c r="M17" s="290"/>
      <c r="N17" s="290"/>
      <c r="W17" s="479"/>
      <c r="X17" s="479"/>
      <c r="Y17" s="479"/>
      <c r="Z17" s="479"/>
      <c r="AA17" s="479"/>
      <c r="AB17" s="479"/>
      <c r="AC17" s="479"/>
      <c r="AD17" s="479"/>
    </row>
    <row r="18" spans="1:30">
      <c r="A18" s="403" t="s">
        <v>149</v>
      </c>
      <c r="B18" s="410"/>
      <c r="C18" s="135"/>
      <c r="D18" s="124"/>
      <c r="E18" s="272">
        <f>SUM(E14:E17)</f>
        <v>0</v>
      </c>
      <c r="F18" s="411">
        <f>IF(E18=0,0,E18/E$47)</f>
        <v>0</v>
      </c>
      <c r="H18" s="139" t="s">
        <v>150</v>
      </c>
      <c r="I18" s="290"/>
      <c r="J18" s="290"/>
      <c r="K18" s="290"/>
      <c r="L18" s="290"/>
      <c r="M18" s="290"/>
      <c r="N18" s="290"/>
      <c r="W18" s="479"/>
      <c r="X18" s="479"/>
      <c r="Y18" s="479"/>
      <c r="Z18" s="479"/>
      <c r="AA18" s="479"/>
      <c r="AB18" s="479"/>
      <c r="AC18" s="479"/>
      <c r="AD18" s="479"/>
    </row>
    <row r="19" spans="1:30">
      <c r="A19" s="134"/>
      <c r="B19" s="406"/>
      <c r="C19" s="407"/>
      <c r="D19" s="124"/>
      <c r="E19" s="273"/>
      <c r="F19" s="270"/>
      <c r="H19" s="2"/>
      <c r="I19" s="2"/>
      <c r="J19" s="2"/>
      <c r="K19" s="2"/>
      <c r="L19" s="2"/>
      <c r="M19" s="2"/>
      <c r="N19" s="2"/>
      <c r="W19" s="479"/>
      <c r="X19" s="479"/>
      <c r="Y19" s="479"/>
      <c r="Z19" s="479"/>
      <c r="AA19" s="479"/>
      <c r="AB19" s="479"/>
      <c r="AC19" s="479"/>
      <c r="AD19" s="479"/>
    </row>
    <row r="20" spans="1:30" ht="15">
      <c r="A20" s="412" t="s">
        <v>151</v>
      </c>
      <c r="B20" s="413"/>
      <c r="C20" s="407"/>
      <c r="D20" s="137"/>
      <c r="E20" s="276">
        <f>E18*0.96</f>
        <v>0</v>
      </c>
      <c r="F20" s="277"/>
      <c r="H20" s="212" t="s">
        <v>135</v>
      </c>
      <c r="I20" s="540" t="s">
        <v>152</v>
      </c>
      <c r="J20" s="541"/>
      <c r="K20" s="541"/>
      <c r="L20" s="541"/>
      <c r="M20" s="541"/>
      <c r="N20" s="542"/>
      <c r="W20" s="479"/>
      <c r="X20" s="479"/>
      <c r="Y20" s="479"/>
      <c r="Z20" s="479"/>
      <c r="AA20" s="479"/>
      <c r="AB20" s="479"/>
      <c r="AC20" s="479"/>
      <c r="AD20" s="479"/>
    </row>
    <row r="21" spans="1:30" ht="15" customHeight="1">
      <c r="A21" s="408" t="s">
        <v>153</v>
      </c>
      <c r="B21" s="413"/>
      <c r="C21" s="414" t="s">
        <v>154</v>
      </c>
      <c r="D21" s="124"/>
      <c r="E21" s="274" t="e">
        <f>E20*'5-Premies en opslagen'!$C24</f>
        <v>#DIV/0!</v>
      </c>
      <c r="F21" s="270"/>
      <c r="H21" s="139"/>
      <c r="I21" s="289">
        <v>1</v>
      </c>
      <c r="J21" s="289">
        <v>2</v>
      </c>
      <c r="K21" s="289">
        <v>3</v>
      </c>
      <c r="L21" s="289">
        <v>4</v>
      </c>
      <c r="M21" s="289">
        <v>5</v>
      </c>
      <c r="N21" s="289">
        <v>6</v>
      </c>
      <c r="O21" s="285"/>
      <c r="W21" s="479"/>
      <c r="X21" s="479"/>
      <c r="Y21" s="479"/>
      <c r="Z21" s="479"/>
      <c r="AA21" s="479"/>
      <c r="AB21" s="479"/>
      <c r="AC21" s="479"/>
      <c r="AD21" s="479"/>
    </row>
    <row r="22" spans="1:30">
      <c r="A22" s="403" t="s">
        <v>155</v>
      </c>
      <c r="B22" s="416"/>
      <c r="C22" s="135"/>
      <c r="D22" s="124"/>
      <c r="E22" s="272" t="e">
        <f>E21+E18</f>
        <v>#DIV/0!</v>
      </c>
      <c r="F22" s="411" t="e">
        <f>IF(E22=0,0,E22/E$47)</f>
        <v>#DIV/0!</v>
      </c>
      <c r="G22" s="138"/>
      <c r="H22" s="139" t="s">
        <v>139</v>
      </c>
      <c r="I22" s="488"/>
      <c r="J22" s="488"/>
      <c r="K22" s="488"/>
      <c r="L22" s="488"/>
      <c r="M22" s="488"/>
      <c r="N22" s="488"/>
      <c r="O22" s="256"/>
      <c r="W22" s="479"/>
      <c r="X22" s="479"/>
      <c r="Y22" s="479"/>
      <c r="Z22" s="479"/>
      <c r="AA22" s="479"/>
      <c r="AB22" s="479"/>
      <c r="AC22" s="479"/>
      <c r="AD22" s="479"/>
    </row>
    <row r="23" spans="1:30" s="14" customFormat="1">
      <c r="A23" s="134"/>
      <c r="B23" s="410"/>
      <c r="C23" s="135"/>
      <c r="D23" s="124"/>
      <c r="E23" s="268"/>
      <c r="F23" s="270"/>
      <c r="G23" s="58"/>
      <c r="H23" s="139" t="s">
        <v>141</v>
      </c>
      <c r="I23" s="489"/>
      <c r="J23" s="489"/>
      <c r="K23" s="489"/>
      <c r="L23" s="488"/>
      <c r="M23" s="488"/>
      <c r="N23" s="488"/>
      <c r="O23" s="256"/>
      <c r="P23" s="58"/>
      <c r="Q23" s="58"/>
      <c r="R23" s="58"/>
      <c r="S23" s="58"/>
      <c r="T23" s="58"/>
      <c r="U23" s="58"/>
      <c r="V23" s="2"/>
      <c r="W23" s="479"/>
      <c r="X23" s="479"/>
      <c r="Y23" s="479"/>
      <c r="Z23" s="479"/>
      <c r="AA23" s="479"/>
      <c r="AB23" s="479"/>
      <c r="AC23" s="479"/>
      <c r="AD23" s="479"/>
    </row>
    <row r="24" spans="1:30" ht="14.25" customHeight="1">
      <c r="A24" s="408" t="s">
        <v>156</v>
      </c>
      <c r="B24" s="413"/>
      <c r="C24" s="414" t="s">
        <v>154</v>
      </c>
      <c r="D24" s="124"/>
      <c r="E24" s="274" t="e">
        <f>E22*'5-Premies en opslagen'!$B53</f>
        <v>#DIV/0!</v>
      </c>
      <c r="F24" s="270"/>
      <c r="H24" s="139" t="s">
        <v>143</v>
      </c>
      <c r="I24" s="493"/>
      <c r="J24" s="489"/>
      <c r="K24" s="489"/>
      <c r="L24" s="488"/>
      <c r="M24" s="488"/>
      <c r="N24" s="488"/>
      <c r="O24" s="256"/>
      <c r="W24" s="479"/>
      <c r="X24" s="479"/>
      <c r="Y24" s="479"/>
      <c r="Z24" s="479"/>
      <c r="AA24" s="479"/>
      <c r="AB24" s="479"/>
      <c r="AC24" s="479"/>
      <c r="AD24" s="479"/>
    </row>
    <row r="25" spans="1:30" ht="12.75" customHeight="1">
      <c r="A25" s="403" t="s">
        <v>157</v>
      </c>
      <c r="B25" s="410"/>
      <c r="C25" s="135"/>
      <c r="D25" s="124"/>
      <c r="E25" s="272" t="e">
        <f>SUM(E22:E24)</f>
        <v>#DIV/0!</v>
      </c>
      <c r="F25" s="411" t="e">
        <f>IF(E25=0,0,E25/E$47)</f>
        <v>#DIV/0!</v>
      </c>
      <c r="H25" s="139" t="s">
        <v>144</v>
      </c>
      <c r="I25" s="493"/>
      <c r="J25" s="489"/>
      <c r="K25" s="489"/>
      <c r="L25" s="488"/>
      <c r="M25" s="488"/>
      <c r="N25" s="488"/>
      <c r="O25" s="256"/>
      <c r="W25" s="479"/>
      <c r="X25" s="479"/>
      <c r="Y25" s="479"/>
      <c r="Z25" s="479"/>
      <c r="AA25" s="479"/>
      <c r="AB25" s="479"/>
      <c r="AC25" s="479"/>
      <c r="AD25" s="479"/>
    </row>
    <row r="26" spans="1:30" ht="12.75" customHeight="1">
      <c r="A26" s="134"/>
      <c r="B26" s="410"/>
      <c r="C26" s="135"/>
      <c r="D26" s="124"/>
      <c r="E26" s="268"/>
      <c r="F26" s="270"/>
      <c r="H26" s="139" t="s">
        <v>146</v>
      </c>
      <c r="I26" s="493"/>
      <c r="J26" s="489"/>
      <c r="K26" s="489"/>
      <c r="L26" s="488"/>
      <c r="M26" s="488"/>
      <c r="N26" s="488"/>
      <c r="O26" s="256"/>
    </row>
    <row r="27" spans="1:30">
      <c r="A27" s="134" t="s">
        <v>158</v>
      </c>
      <c r="B27" s="417"/>
      <c r="C27" s="402" t="s">
        <v>159</v>
      </c>
      <c r="D27" s="124"/>
      <c r="E27" s="271"/>
      <c r="F27" s="270">
        <v>0</v>
      </c>
      <c r="H27" s="139" t="s">
        <v>148</v>
      </c>
      <c r="I27" s="493"/>
      <c r="J27" s="489"/>
      <c r="K27" s="489"/>
      <c r="L27" s="488"/>
      <c r="M27" s="488"/>
      <c r="N27" s="488"/>
      <c r="O27" s="256"/>
    </row>
    <row r="28" spans="1:30">
      <c r="A28" s="134" t="s">
        <v>160</v>
      </c>
      <c r="B28" s="418"/>
      <c r="C28" s="402" t="s">
        <v>159</v>
      </c>
      <c r="D28" s="124"/>
      <c r="E28" s="271"/>
      <c r="F28" s="270">
        <v>0</v>
      </c>
      <c r="H28" s="139" t="s">
        <v>150</v>
      </c>
      <c r="I28" s="493"/>
      <c r="J28" s="489"/>
      <c r="K28" s="489"/>
      <c r="L28" s="488"/>
      <c r="M28" s="488"/>
      <c r="N28" s="488"/>
      <c r="O28" s="256"/>
    </row>
    <row r="29" spans="1:30">
      <c r="A29" s="134" t="s">
        <v>161</v>
      </c>
      <c r="B29" s="410"/>
      <c r="C29" s="135" t="s">
        <v>136</v>
      </c>
      <c r="D29" s="124"/>
      <c r="E29" s="271"/>
      <c r="F29" s="270"/>
      <c r="H29" s="140" t="s">
        <v>162</v>
      </c>
      <c r="I29" s="419">
        <f t="shared" ref="I29:N29" si="0">SUM(I22:I28)</f>
        <v>0</v>
      </c>
      <c r="J29" s="419">
        <f t="shared" si="0"/>
        <v>0</v>
      </c>
      <c r="K29" s="419">
        <f t="shared" si="0"/>
        <v>0</v>
      </c>
      <c r="L29" s="419">
        <f t="shared" si="0"/>
        <v>0</v>
      </c>
      <c r="M29" s="419">
        <f t="shared" si="0"/>
        <v>0</v>
      </c>
      <c r="N29" s="419">
        <f t="shared" si="0"/>
        <v>0</v>
      </c>
      <c r="O29" s="420">
        <f>SUM(I29:N29)</f>
        <v>0</v>
      </c>
    </row>
    <row r="30" spans="1:30">
      <c r="A30" s="408" t="s">
        <v>256</v>
      </c>
      <c r="B30" s="400"/>
      <c r="C30" s="402" t="s">
        <v>159</v>
      </c>
      <c r="D30" s="124"/>
      <c r="E30" s="271"/>
      <c r="F30" s="270"/>
    </row>
    <row r="31" spans="1:30">
      <c r="A31" s="421"/>
      <c r="B31" s="422"/>
      <c r="C31" s="423" t="s">
        <v>136</v>
      </c>
      <c r="D31" s="124"/>
      <c r="E31" s="271"/>
      <c r="F31" s="270"/>
      <c r="H31" s="79"/>
      <c r="I31" s="502"/>
      <c r="J31" s="502"/>
      <c r="K31" s="502"/>
      <c r="L31" s="502"/>
      <c r="M31" s="502"/>
      <c r="N31" s="502"/>
      <c r="O31" s="502"/>
    </row>
    <row r="32" spans="1:30" ht="15">
      <c r="A32" s="403" t="s">
        <v>163</v>
      </c>
      <c r="B32" s="410"/>
      <c r="C32" s="135"/>
      <c r="D32" s="124"/>
      <c r="E32" s="272" t="e">
        <f>SUM(E25:E31)</f>
        <v>#DIV/0!</v>
      </c>
      <c r="F32" s="411" t="e">
        <f>IF(E32=0,0,E32/E$47)</f>
        <v>#DIV/0!</v>
      </c>
      <c r="H32" s="212" t="s">
        <v>135</v>
      </c>
      <c r="I32" s="540" t="s">
        <v>164</v>
      </c>
      <c r="J32" s="541"/>
      <c r="K32" s="541"/>
      <c r="L32" s="541"/>
      <c r="M32" s="541"/>
      <c r="N32" s="542"/>
    </row>
    <row r="33" spans="1:15" ht="12.75" customHeight="1">
      <c r="A33" s="134"/>
      <c r="B33" s="410"/>
      <c r="C33" s="135"/>
      <c r="D33" s="124"/>
      <c r="E33" s="268"/>
      <c r="F33" s="270"/>
      <c r="H33" s="139"/>
      <c r="I33" s="133">
        <v>1</v>
      </c>
      <c r="J33" s="133">
        <v>2</v>
      </c>
      <c r="K33" s="133">
        <v>3</v>
      </c>
      <c r="L33" s="133">
        <v>4</v>
      </c>
      <c r="M33" s="133">
        <v>5</v>
      </c>
      <c r="N33" s="133">
        <v>6</v>
      </c>
    </row>
    <row r="34" spans="1:15" ht="12.75" customHeight="1">
      <c r="A34" s="134" t="s">
        <v>165</v>
      </c>
      <c r="B34" s="410"/>
      <c r="C34" s="424"/>
      <c r="D34" s="124"/>
      <c r="E34" s="271"/>
      <c r="F34" s="278" t="e">
        <f t="shared" ref="F34:F41" si="1">E34/$E$47</f>
        <v>#DIV/0!</v>
      </c>
      <c r="H34" s="139" t="s">
        <v>139</v>
      </c>
      <c r="I34" s="287">
        <f t="shared" ref="I34:N40" si="2">I22*I12</f>
        <v>0</v>
      </c>
      <c r="J34" s="287">
        <f t="shared" si="2"/>
        <v>0</v>
      </c>
      <c r="K34" s="287">
        <f t="shared" si="2"/>
        <v>0</v>
      </c>
      <c r="L34" s="287">
        <f t="shared" si="2"/>
        <v>0</v>
      </c>
      <c r="M34" s="287">
        <f t="shared" si="2"/>
        <v>0</v>
      </c>
      <c r="N34" s="486">
        <f t="shared" si="2"/>
        <v>0</v>
      </c>
    </row>
    <row r="35" spans="1:15" ht="12.75" customHeight="1">
      <c r="A35" s="134" t="s">
        <v>166</v>
      </c>
      <c r="B35" s="410"/>
      <c r="C35" s="424"/>
      <c r="D35" s="124"/>
      <c r="E35" s="271"/>
      <c r="F35" s="278" t="e">
        <f t="shared" si="1"/>
        <v>#DIV/0!</v>
      </c>
      <c r="H35" s="139" t="s">
        <v>141</v>
      </c>
      <c r="I35" s="287">
        <f t="shared" si="2"/>
        <v>0</v>
      </c>
      <c r="J35" s="287">
        <f t="shared" si="2"/>
        <v>0</v>
      </c>
      <c r="K35" s="287">
        <f t="shared" si="2"/>
        <v>0</v>
      </c>
      <c r="L35" s="287">
        <f t="shared" si="2"/>
        <v>0</v>
      </c>
      <c r="M35" s="287">
        <f t="shared" si="2"/>
        <v>0</v>
      </c>
      <c r="N35" s="486">
        <f t="shared" si="2"/>
        <v>0</v>
      </c>
    </row>
    <row r="36" spans="1:15" ht="12.75" customHeight="1">
      <c r="A36" s="134" t="s">
        <v>167</v>
      </c>
      <c r="B36" s="410"/>
      <c r="C36" s="424"/>
      <c r="D36" s="124"/>
      <c r="E36" s="271"/>
      <c r="F36" s="278" t="e">
        <f t="shared" si="1"/>
        <v>#DIV/0!</v>
      </c>
      <c r="H36" s="139" t="s">
        <v>143</v>
      </c>
      <c r="I36" s="287">
        <f t="shared" si="2"/>
        <v>0</v>
      </c>
      <c r="J36" s="287">
        <f t="shared" si="2"/>
        <v>0</v>
      </c>
      <c r="K36" s="287">
        <f t="shared" si="2"/>
        <v>0</v>
      </c>
      <c r="L36" s="287">
        <f t="shared" si="2"/>
        <v>0</v>
      </c>
      <c r="M36" s="287">
        <f t="shared" si="2"/>
        <v>0</v>
      </c>
      <c r="N36" s="486">
        <f t="shared" si="2"/>
        <v>0</v>
      </c>
    </row>
    <row r="37" spans="1:15" ht="12.75" customHeight="1">
      <c r="A37" s="134" t="s">
        <v>168</v>
      </c>
      <c r="B37" s="410"/>
      <c r="C37" s="425"/>
      <c r="D37" s="124"/>
      <c r="E37" s="271"/>
      <c r="F37" s="278" t="e">
        <f t="shared" si="1"/>
        <v>#DIV/0!</v>
      </c>
      <c r="H37" s="139" t="s">
        <v>144</v>
      </c>
      <c r="I37" s="287">
        <f t="shared" si="2"/>
        <v>0</v>
      </c>
      <c r="J37" s="287">
        <f t="shared" si="2"/>
        <v>0</v>
      </c>
      <c r="K37" s="287">
        <f t="shared" si="2"/>
        <v>0</v>
      </c>
      <c r="L37" s="287">
        <f t="shared" si="2"/>
        <v>0</v>
      </c>
      <c r="M37" s="287">
        <f t="shared" si="2"/>
        <v>0</v>
      </c>
      <c r="N37" s="486">
        <f t="shared" si="2"/>
        <v>0</v>
      </c>
      <c r="O37" s="138"/>
    </row>
    <row r="38" spans="1:15" ht="14.25" customHeight="1">
      <c r="A38" s="134" t="s">
        <v>169</v>
      </c>
      <c r="B38" s="410"/>
      <c r="C38" s="424"/>
      <c r="D38" s="124"/>
      <c r="E38" s="271"/>
      <c r="F38" s="278" t="e">
        <f t="shared" si="1"/>
        <v>#DIV/0!</v>
      </c>
      <c r="H38" s="139" t="s">
        <v>146</v>
      </c>
      <c r="I38" s="287">
        <f t="shared" si="2"/>
        <v>0</v>
      </c>
      <c r="J38" s="287">
        <f t="shared" si="2"/>
        <v>0</v>
      </c>
      <c r="K38" s="287">
        <f t="shared" si="2"/>
        <v>0</v>
      </c>
      <c r="L38" s="287">
        <f t="shared" si="2"/>
        <v>0</v>
      </c>
      <c r="M38" s="287">
        <f t="shared" si="2"/>
        <v>0</v>
      </c>
      <c r="N38" s="486">
        <f t="shared" si="2"/>
        <v>0</v>
      </c>
      <c r="O38" s="138"/>
    </row>
    <row r="39" spans="1:15">
      <c r="A39" s="134" t="s">
        <v>170</v>
      </c>
      <c r="B39" s="410"/>
      <c r="C39" s="425"/>
      <c r="D39" s="124"/>
      <c r="E39" s="271"/>
      <c r="F39" s="278" t="e">
        <f t="shared" si="1"/>
        <v>#DIV/0!</v>
      </c>
      <c r="H39" s="139" t="s">
        <v>148</v>
      </c>
      <c r="I39" s="287">
        <f t="shared" si="2"/>
        <v>0</v>
      </c>
      <c r="J39" s="287">
        <f t="shared" si="2"/>
        <v>0</v>
      </c>
      <c r="K39" s="287">
        <f t="shared" si="2"/>
        <v>0</v>
      </c>
      <c r="L39" s="287">
        <f t="shared" si="2"/>
        <v>0</v>
      </c>
      <c r="M39" s="287">
        <f t="shared" si="2"/>
        <v>0</v>
      </c>
      <c r="N39" s="486">
        <f t="shared" si="2"/>
        <v>0</v>
      </c>
      <c r="O39" s="138"/>
    </row>
    <row r="40" spans="1:15">
      <c r="A40" s="134" t="s">
        <v>171</v>
      </c>
      <c r="B40" s="410"/>
      <c r="C40" s="402" t="s">
        <v>159</v>
      </c>
      <c r="D40" s="124"/>
      <c r="E40" s="271"/>
      <c r="F40" s="278" t="e">
        <f t="shared" si="1"/>
        <v>#DIV/0!</v>
      </c>
      <c r="H40" s="139" t="s">
        <v>150</v>
      </c>
      <c r="I40" s="287">
        <f t="shared" si="2"/>
        <v>0</v>
      </c>
      <c r="J40" s="287">
        <f t="shared" si="2"/>
        <v>0</v>
      </c>
      <c r="K40" s="287">
        <f t="shared" si="2"/>
        <v>0</v>
      </c>
      <c r="L40" s="287">
        <f t="shared" si="2"/>
        <v>0</v>
      </c>
      <c r="M40" s="287">
        <f t="shared" si="2"/>
        <v>0</v>
      </c>
      <c r="N40" s="486">
        <f t="shared" si="2"/>
        <v>0</v>
      </c>
      <c r="O40" s="138"/>
    </row>
    <row r="41" spans="1:15">
      <c r="A41" s="134" t="s">
        <v>172</v>
      </c>
      <c r="B41" s="410"/>
      <c r="C41" s="402"/>
      <c r="D41" s="124"/>
      <c r="E41" s="271"/>
      <c r="F41" s="278" t="e">
        <f t="shared" si="1"/>
        <v>#DIV/0!</v>
      </c>
      <c r="H41" s="140" t="s">
        <v>162</v>
      </c>
      <c r="I41" s="288">
        <f t="shared" ref="I41:N41" si="3">SUM(I34:I40)</f>
        <v>0</v>
      </c>
      <c r="J41" s="288">
        <f t="shared" si="3"/>
        <v>0</v>
      </c>
      <c r="K41" s="288">
        <f t="shared" si="3"/>
        <v>0</v>
      </c>
      <c r="L41" s="288">
        <f t="shared" si="3"/>
        <v>0</v>
      </c>
      <c r="M41" s="288">
        <f t="shared" si="3"/>
        <v>0</v>
      </c>
      <c r="N41" s="288">
        <f t="shared" si="3"/>
        <v>0</v>
      </c>
      <c r="O41" s="138"/>
    </row>
    <row r="42" spans="1:15">
      <c r="A42" s="421"/>
      <c r="B42" s="422"/>
      <c r="C42" s="426"/>
      <c r="D42" s="124"/>
      <c r="E42" s="271"/>
      <c r="F42" s="270"/>
      <c r="H42" s="138"/>
      <c r="I42" s="138"/>
      <c r="J42" s="138"/>
      <c r="K42" s="138"/>
      <c r="L42" s="138"/>
      <c r="M42" s="138"/>
      <c r="N42" s="138"/>
      <c r="O42" s="138"/>
    </row>
    <row r="43" spans="1:15">
      <c r="A43" s="403" t="s">
        <v>173</v>
      </c>
      <c r="B43" s="410"/>
      <c r="C43" s="135"/>
      <c r="D43" s="124"/>
      <c r="E43" s="272" t="e">
        <f>SUM(E32:E42)</f>
        <v>#DIV/0!</v>
      </c>
      <c r="F43" s="411" t="e">
        <f>IF(E43=0,0,E43/E$47)</f>
        <v>#DIV/0!</v>
      </c>
      <c r="H43" s="138"/>
      <c r="I43" s="138"/>
      <c r="J43" s="138"/>
      <c r="K43" s="138"/>
      <c r="L43" s="138"/>
      <c r="M43" s="138"/>
      <c r="N43" s="138"/>
      <c r="O43" s="138"/>
    </row>
    <row r="44" spans="1:15" ht="45">
      <c r="A44" s="134"/>
      <c r="B44" s="410"/>
      <c r="C44" s="135"/>
      <c r="D44" s="124"/>
      <c r="E44" s="268"/>
      <c r="F44" s="279"/>
      <c r="G44" s="501"/>
      <c r="H44" s="543" t="s">
        <v>174</v>
      </c>
      <c r="I44" s="544"/>
      <c r="J44" s="545"/>
      <c r="K44" s="213" t="s">
        <v>134</v>
      </c>
      <c r="L44" s="138"/>
      <c r="M44" s="138"/>
      <c r="N44" s="138"/>
      <c r="O44" s="138"/>
    </row>
    <row r="45" spans="1:15">
      <c r="A45" s="134" t="s">
        <v>175</v>
      </c>
      <c r="B45" s="410"/>
      <c r="C45" s="425"/>
      <c r="D45" s="124"/>
      <c r="E45" s="271"/>
      <c r="F45" s="411">
        <f>(IF(E45=0,0,E45/E$47))</f>
        <v>0</v>
      </c>
      <c r="H45" s="139"/>
      <c r="I45" s="397" t="s">
        <v>136</v>
      </c>
      <c r="J45" s="398" t="s">
        <v>136</v>
      </c>
      <c r="K45" s="268"/>
      <c r="L45" s="138"/>
      <c r="M45" s="138"/>
      <c r="N45" s="138"/>
    </row>
    <row r="46" spans="1:15">
      <c r="A46" s="134"/>
      <c r="B46" s="427"/>
      <c r="C46" s="135"/>
      <c r="D46" s="124"/>
      <c r="E46" s="268"/>
      <c r="F46" s="270"/>
      <c r="H46" s="142" t="s">
        <v>142</v>
      </c>
      <c r="I46" s="143"/>
      <c r="J46" s="144"/>
      <c r="K46" s="272">
        <f>E14</f>
        <v>0</v>
      </c>
      <c r="L46" s="138"/>
      <c r="M46" s="138"/>
      <c r="N46" s="138"/>
    </row>
    <row r="47" spans="1:15">
      <c r="A47" s="403" t="s">
        <v>176</v>
      </c>
      <c r="B47" s="428"/>
      <c r="C47" s="429"/>
      <c r="D47" s="124"/>
      <c r="E47" s="280" t="e">
        <f>SUM(E43:E46)</f>
        <v>#DIV/0!</v>
      </c>
      <c r="F47" s="281" t="e">
        <f>SUM(F43:F46)</f>
        <v>#DIV/0!</v>
      </c>
      <c r="H47" s="145" t="s">
        <v>145</v>
      </c>
      <c r="I47" s="146"/>
      <c r="J47" s="147"/>
      <c r="K47" s="274">
        <f>E16</f>
        <v>0</v>
      </c>
      <c r="L47" s="138"/>
      <c r="M47" s="138"/>
      <c r="N47" s="138"/>
    </row>
    <row r="48" spans="1:15">
      <c r="B48" s="141"/>
      <c r="C48" s="430"/>
      <c r="D48" s="124"/>
      <c r="E48" s="256"/>
      <c r="F48" s="282"/>
      <c r="H48" s="408" t="s">
        <v>147</v>
      </c>
      <c r="I48" s="146"/>
      <c r="J48" s="147"/>
      <c r="K48" s="275">
        <f>E17</f>
        <v>0</v>
      </c>
      <c r="L48" s="138"/>
      <c r="M48" s="138"/>
      <c r="N48" s="138"/>
    </row>
    <row r="49" spans="1:26">
      <c r="A49" s="431" t="s">
        <v>177</v>
      </c>
      <c r="B49" s="432"/>
      <c r="C49" s="433"/>
      <c r="D49" s="138"/>
      <c r="E49" s="283" t="e">
        <f>(E$25*1.3)+($E$47-$E$25)</f>
        <v>#DIV/0!</v>
      </c>
      <c r="F49" s="284"/>
      <c r="H49" s="408" t="s">
        <v>153</v>
      </c>
      <c r="I49" s="146"/>
      <c r="J49" s="147"/>
      <c r="K49" s="274" t="e">
        <f>E21</f>
        <v>#DIV/0!</v>
      </c>
      <c r="L49" s="138"/>
      <c r="M49" s="138"/>
      <c r="N49" s="138"/>
      <c r="O49" s="138"/>
    </row>
    <row r="50" spans="1:26">
      <c r="A50" s="138"/>
      <c r="B50" s="148"/>
      <c r="C50" s="149"/>
      <c r="D50" s="138"/>
      <c r="E50" s="285"/>
      <c r="F50" s="285"/>
      <c r="H50" s="408" t="s">
        <v>156</v>
      </c>
      <c r="I50" s="413"/>
      <c r="J50" s="414"/>
      <c r="K50" s="274" t="e">
        <f>E24</f>
        <v>#DIV/0!</v>
      </c>
      <c r="L50" s="138"/>
      <c r="M50" s="138"/>
      <c r="N50" s="138"/>
      <c r="O50" s="138"/>
    </row>
    <row r="51" spans="1:26">
      <c r="A51" s="431" t="s">
        <v>178</v>
      </c>
      <c r="B51" s="432"/>
      <c r="C51" s="433"/>
      <c r="D51" s="138"/>
      <c r="E51" s="283" t="e">
        <f>(E$25*1.5)+($E$47-$E$25)</f>
        <v>#DIV/0!</v>
      </c>
      <c r="F51" s="284"/>
      <c r="G51" s="138"/>
      <c r="H51" s="134" t="s">
        <v>158</v>
      </c>
      <c r="I51" s="417"/>
      <c r="J51" s="402"/>
      <c r="K51" s="269">
        <f>E27</f>
        <v>0</v>
      </c>
      <c r="L51" s="138"/>
      <c r="M51" s="138"/>
      <c r="N51" s="138"/>
      <c r="O51" s="138"/>
    </row>
    <row r="52" spans="1:26" s="14" customFormat="1">
      <c r="A52" s="138"/>
      <c r="B52" s="148"/>
      <c r="C52" s="149"/>
      <c r="D52" s="138"/>
      <c r="E52" s="285"/>
      <c r="F52" s="285"/>
      <c r="G52" s="138"/>
      <c r="H52" s="134" t="s">
        <v>160</v>
      </c>
      <c r="I52" s="418"/>
      <c r="J52" s="402"/>
      <c r="K52" s="269">
        <f>E28</f>
        <v>0</v>
      </c>
      <c r="L52" s="138"/>
      <c r="M52" s="58"/>
      <c r="N52" s="138"/>
      <c r="O52" s="138"/>
      <c r="P52" s="58"/>
      <c r="Q52" s="58"/>
      <c r="R52" s="58"/>
      <c r="S52" s="58"/>
      <c r="T52" s="58"/>
      <c r="U52" s="58"/>
      <c r="V52" s="2"/>
      <c r="W52" s="2"/>
      <c r="X52" s="2"/>
      <c r="Y52" s="2"/>
      <c r="Z52" s="2"/>
    </row>
    <row r="53" spans="1:26" s="14" customFormat="1">
      <c r="A53" s="431" t="s">
        <v>179</v>
      </c>
      <c r="B53" s="432"/>
      <c r="C53" s="433"/>
      <c r="D53" s="138"/>
      <c r="E53" s="283" t="e">
        <f>(E$25*2.5)+($E$47-$E$25)</f>
        <v>#DIV/0!</v>
      </c>
      <c r="F53" s="285"/>
      <c r="G53" s="138"/>
      <c r="H53" s="134" t="s">
        <v>161</v>
      </c>
      <c r="I53" s="410"/>
      <c r="J53" s="135" t="s">
        <v>136</v>
      </c>
      <c r="K53" s="269">
        <f>E29</f>
        <v>0</v>
      </c>
      <c r="L53" s="138"/>
      <c r="M53" s="58"/>
      <c r="N53" s="138"/>
      <c r="O53" s="138"/>
      <c r="P53" s="138"/>
      <c r="Q53" s="138"/>
      <c r="R53" s="138"/>
      <c r="S53" s="138"/>
      <c r="T53" s="138"/>
      <c r="U53" s="138"/>
    </row>
    <row r="54" spans="1:26" s="14" customFormat="1">
      <c r="A54" s="138"/>
      <c r="B54" s="148"/>
      <c r="C54" s="150"/>
      <c r="D54" s="138"/>
      <c r="E54" s="138"/>
      <c r="F54" s="151"/>
      <c r="G54" s="138"/>
      <c r="H54" s="134" t="s">
        <v>165</v>
      </c>
      <c r="I54" s="410"/>
      <c r="J54" s="424"/>
      <c r="K54" s="269">
        <f t="shared" ref="K54:K61" si="4">E34</f>
        <v>0</v>
      </c>
      <c r="L54" s="138"/>
      <c r="M54" s="58"/>
      <c r="N54" s="138"/>
      <c r="O54" s="138"/>
      <c r="P54" s="138"/>
      <c r="Q54" s="138"/>
      <c r="R54" s="138"/>
      <c r="S54" s="138"/>
      <c r="T54" s="138"/>
      <c r="U54" s="138"/>
    </row>
    <row r="55" spans="1:26" s="14" customFormat="1">
      <c r="A55" s="138"/>
      <c r="B55" s="148"/>
      <c r="C55" s="150"/>
      <c r="D55" s="138"/>
      <c r="E55" s="138"/>
      <c r="F55" s="151"/>
      <c r="G55" s="138"/>
      <c r="H55" s="134" t="s">
        <v>166</v>
      </c>
      <c r="I55" s="410"/>
      <c r="J55" s="424"/>
      <c r="K55" s="269">
        <f t="shared" si="4"/>
        <v>0</v>
      </c>
      <c r="L55" s="138"/>
      <c r="M55" s="58"/>
      <c r="N55" s="138"/>
      <c r="O55" s="138"/>
      <c r="P55" s="138"/>
      <c r="Q55" s="138"/>
      <c r="R55" s="138"/>
      <c r="S55" s="138"/>
      <c r="T55" s="138"/>
      <c r="U55" s="138"/>
    </row>
    <row r="56" spans="1:26" s="14" customFormat="1">
      <c r="A56" s="138"/>
      <c r="B56" s="138"/>
      <c r="C56" s="152"/>
      <c r="D56" s="138"/>
      <c r="E56" s="138"/>
      <c r="F56" s="151"/>
      <c r="G56" s="138"/>
      <c r="H56" s="134" t="s">
        <v>167</v>
      </c>
      <c r="I56" s="410"/>
      <c r="J56" s="424"/>
      <c r="K56" s="269">
        <f t="shared" si="4"/>
        <v>0</v>
      </c>
      <c r="L56" s="138"/>
      <c r="M56" s="58"/>
      <c r="N56" s="138"/>
      <c r="O56" s="138"/>
      <c r="P56" s="138"/>
      <c r="Q56" s="138"/>
      <c r="R56" s="138"/>
      <c r="S56" s="138"/>
      <c r="T56" s="138"/>
      <c r="U56" s="138"/>
    </row>
    <row r="57" spans="1:26" s="14" customFormat="1">
      <c r="A57" s="138"/>
      <c r="B57" s="138"/>
      <c r="C57" s="152"/>
      <c r="D57" s="138"/>
      <c r="E57" s="138"/>
      <c r="F57" s="151"/>
      <c r="G57" s="138"/>
      <c r="H57" s="134" t="s">
        <v>168</v>
      </c>
      <c r="I57" s="410"/>
      <c r="J57" s="425"/>
      <c r="K57" s="269">
        <f t="shared" si="4"/>
        <v>0</v>
      </c>
      <c r="L57" s="138"/>
      <c r="M57" s="58"/>
      <c r="N57" s="138"/>
      <c r="O57" s="138"/>
      <c r="P57" s="138"/>
      <c r="Q57" s="138"/>
      <c r="R57" s="138"/>
      <c r="S57" s="138"/>
      <c r="T57" s="138"/>
      <c r="U57" s="138"/>
    </row>
    <row r="58" spans="1:26" s="14" customFormat="1">
      <c r="A58" s="58"/>
      <c r="B58" s="138"/>
      <c r="C58" s="152"/>
      <c r="D58" s="138"/>
      <c r="E58" s="138"/>
      <c r="F58" s="151"/>
      <c r="G58" s="138"/>
      <c r="H58" s="134" t="s">
        <v>169</v>
      </c>
      <c r="I58" s="410"/>
      <c r="J58" s="424"/>
      <c r="K58" s="269">
        <f t="shared" si="4"/>
        <v>0</v>
      </c>
      <c r="L58" s="138"/>
      <c r="M58" s="58"/>
      <c r="N58" s="138"/>
      <c r="O58" s="138"/>
      <c r="P58" s="138"/>
      <c r="Q58" s="138"/>
      <c r="R58" s="138"/>
      <c r="S58" s="138"/>
      <c r="T58" s="138"/>
      <c r="U58" s="138"/>
    </row>
    <row r="59" spans="1:26" s="14" customFormat="1">
      <c r="A59" s="138"/>
      <c r="B59" s="138"/>
      <c r="C59" s="152"/>
      <c r="D59" s="152"/>
      <c r="E59" s="152"/>
      <c r="F59" s="152"/>
      <c r="G59" s="138"/>
      <c r="H59" s="134" t="s">
        <v>170</v>
      </c>
      <c r="I59" s="410"/>
      <c r="J59" s="425"/>
      <c r="K59" s="269">
        <f t="shared" si="4"/>
        <v>0</v>
      </c>
      <c r="L59" s="138"/>
      <c r="M59" s="58"/>
      <c r="N59" s="58"/>
      <c r="O59" s="138"/>
      <c r="P59" s="138"/>
      <c r="Q59" s="138"/>
      <c r="R59" s="138"/>
      <c r="S59" s="138"/>
      <c r="T59" s="138"/>
      <c r="U59" s="138"/>
    </row>
    <row r="60" spans="1:26" s="14" customFormat="1">
      <c r="A60" s="138"/>
      <c r="B60" s="138"/>
      <c r="C60" s="152"/>
      <c r="D60" s="138"/>
      <c r="E60" s="138"/>
      <c r="F60" s="151"/>
      <c r="G60" s="138"/>
      <c r="H60" s="134" t="s">
        <v>171</v>
      </c>
      <c r="I60" s="410"/>
      <c r="J60" s="402"/>
      <c r="K60" s="269">
        <f t="shared" si="4"/>
        <v>0</v>
      </c>
      <c r="L60" s="138"/>
      <c r="M60" s="58"/>
      <c r="N60" s="58"/>
      <c r="O60" s="138"/>
      <c r="P60" s="138"/>
      <c r="Q60" s="138"/>
      <c r="R60" s="138"/>
      <c r="S60" s="138"/>
      <c r="T60" s="138"/>
      <c r="U60" s="138"/>
    </row>
    <row r="61" spans="1:26" s="14" customFormat="1">
      <c r="A61" s="138"/>
      <c r="B61" s="138"/>
      <c r="C61" s="152"/>
      <c r="D61" s="138"/>
      <c r="E61" s="138"/>
      <c r="F61" s="151"/>
      <c r="G61" s="138"/>
      <c r="H61" s="134" t="s">
        <v>180</v>
      </c>
      <c r="I61" s="410"/>
      <c r="J61" s="402"/>
      <c r="K61" s="269">
        <f t="shared" si="4"/>
        <v>0</v>
      </c>
      <c r="L61" s="138"/>
      <c r="M61" s="58"/>
      <c r="N61" s="58"/>
      <c r="O61" s="138"/>
      <c r="P61" s="138"/>
      <c r="Q61" s="138"/>
      <c r="R61" s="138"/>
      <c r="S61" s="138"/>
      <c r="T61" s="138"/>
      <c r="U61" s="138"/>
    </row>
    <row r="62" spans="1:26" s="14" customFormat="1">
      <c r="A62" s="138"/>
      <c r="B62" s="138"/>
      <c r="C62" s="152"/>
      <c r="D62" s="138"/>
      <c r="E62" s="138"/>
      <c r="F62" s="151"/>
      <c r="G62" s="138"/>
      <c r="H62" s="134" t="s">
        <v>175</v>
      </c>
      <c r="I62" s="410"/>
      <c r="J62" s="425"/>
      <c r="K62" s="269">
        <f>E45</f>
        <v>0</v>
      </c>
      <c r="L62" s="138"/>
      <c r="M62" s="58"/>
      <c r="N62" s="58"/>
      <c r="O62" s="138"/>
      <c r="P62" s="138"/>
      <c r="Q62" s="138"/>
      <c r="R62" s="138"/>
      <c r="S62" s="138"/>
      <c r="T62" s="138"/>
      <c r="U62" s="138"/>
    </row>
    <row r="63" spans="1:26" s="14" customFormat="1">
      <c r="A63" s="138"/>
      <c r="B63" s="138"/>
      <c r="C63" s="152"/>
      <c r="D63" s="138"/>
      <c r="E63" s="138"/>
      <c r="F63" s="151"/>
      <c r="G63" s="138"/>
      <c r="H63" s="134"/>
      <c r="I63" s="427"/>
      <c r="J63" s="135"/>
      <c r="K63" s="268"/>
      <c r="L63" s="138"/>
      <c r="M63" s="58"/>
      <c r="N63" s="58"/>
      <c r="O63" s="138"/>
      <c r="P63" s="138"/>
      <c r="Q63" s="138"/>
      <c r="R63" s="138"/>
      <c r="S63" s="138"/>
      <c r="T63" s="138"/>
      <c r="U63" s="138"/>
    </row>
    <row r="64" spans="1:26" s="14" customFormat="1">
      <c r="A64" s="138"/>
      <c r="B64" s="138"/>
      <c r="C64" s="152"/>
      <c r="D64" s="138"/>
      <c r="E64" s="138"/>
      <c r="F64" s="151"/>
      <c r="G64" s="138"/>
      <c r="H64" s="403" t="s">
        <v>176</v>
      </c>
      <c r="I64" s="428"/>
      <c r="J64" s="429"/>
      <c r="K64" s="280" t="e">
        <f>SUM(K46:K63)</f>
        <v>#DIV/0!</v>
      </c>
      <c r="L64" s="138"/>
      <c r="M64" s="58"/>
      <c r="N64" s="58"/>
      <c r="O64" s="138"/>
      <c r="P64" s="138"/>
      <c r="Q64" s="138"/>
      <c r="R64" s="138"/>
      <c r="S64" s="138"/>
      <c r="T64" s="138"/>
      <c r="U64" s="138"/>
    </row>
    <row r="65" spans="1:22" s="14" customFormat="1">
      <c r="A65" s="138"/>
      <c r="B65" s="138"/>
      <c r="C65" s="152"/>
      <c r="D65" s="138"/>
      <c r="E65" s="58"/>
      <c r="F65" s="151"/>
      <c r="G65" s="138"/>
      <c r="H65" s="58"/>
      <c r="I65" s="141"/>
      <c r="J65" s="430"/>
      <c r="K65" s="256"/>
      <c r="L65" s="138"/>
      <c r="M65" s="58"/>
      <c r="N65" s="58"/>
      <c r="O65" s="138"/>
      <c r="P65" s="138"/>
      <c r="Q65" s="138"/>
      <c r="R65" s="138"/>
      <c r="S65" s="138"/>
      <c r="T65" s="138"/>
      <c r="U65" s="138"/>
    </row>
    <row r="66" spans="1:22" s="14" customFormat="1">
      <c r="A66" s="58"/>
      <c r="B66" s="58"/>
      <c r="C66" s="58"/>
      <c r="D66" s="58"/>
      <c r="E66" s="58"/>
      <c r="F66" s="58"/>
      <c r="G66" s="138"/>
      <c r="H66" s="431" t="s">
        <v>177</v>
      </c>
      <c r="I66" s="432"/>
      <c r="J66" s="433"/>
      <c r="K66" s="283" t="e">
        <f>E49</f>
        <v>#DIV/0!</v>
      </c>
      <c r="L66" s="138"/>
      <c r="M66" s="58"/>
      <c r="N66" s="58"/>
      <c r="O66" s="58"/>
      <c r="P66" s="138"/>
      <c r="Q66" s="138"/>
      <c r="R66" s="138"/>
      <c r="S66" s="138"/>
      <c r="T66" s="138"/>
      <c r="U66" s="138"/>
    </row>
    <row r="67" spans="1:22" s="14" customFormat="1">
      <c r="A67" s="58"/>
      <c r="B67" s="58"/>
      <c r="C67" s="58"/>
      <c r="D67" s="58"/>
      <c r="E67" s="58"/>
      <c r="F67" s="58"/>
      <c r="G67" s="138"/>
      <c r="H67" s="138"/>
      <c r="I67" s="148"/>
      <c r="J67" s="149"/>
      <c r="K67" s="285"/>
      <c r="L67" s="138"/>
      <c r="M67" s="58"/>
      <c r="N67" s="58"/>
      <c r="O67" s="58"/>
      <c r="P67" s="58"/>
      <c r="Q67" s="138"/>
      <c r="R67" s="138"/>
      <c r="S67" s="138"/>
      <c r="T67" s="138"/>
      <c r="U67" s="138"/>
    </row>
    <row r="68" spans="1:22" s="14" customFormat="1">
      <c r="A68" s="58"/>
      <c r="B68" s="58"/>
      <c r="C68" s="58"/>
      <c r="D68" s="58"/>
      <c r="E68" s="58"/>
      <c r="F68" s="58"/>
      <c r="G68" s="58"/>
      <c r="H68" s="431" t="s">
        <v>178</v>
      </c>
      <c r="I68" s="432"/>
      <c r="J68" s="433"/>
      <c r="K68" s="283" t="e">
        <f>E51</f>
        <v>#DIV/0!</v>
      </c>
      <c r="L68" s="138"/>
      <c r="M68" s="58"/>
      <c r="N68" s="58"/>
      <c r="O68" s="58"/>
      <c r="P68" s="58"/>
      <c r="Q68" s="58"/>
      <c r="R68" s="58"/>
      <c r="S68" s="58"/>
      <c r="T68" s="58"/>
      <c r="U68" s="58"/>
      <c r="V68" s="2"/>
    </row>
    <row r="69" spans="1:22">
      <c r="H69" s="138"/>
      <c r="I69" s="148"/>
      <c r="J69" s="149"/>
      <c r="K69" s="285"/>
      <c r="L69" s="138"/>
    </row>
    <row r="70" spans="1:22">
      <c r="H70" s="431" t="s">
        <v>179</v>
      </c>
      <c r="I70" s="432"/>
      <c r="J70" s="433"/>
      <c r="K70" s="283" t="e">
        <f>E53</f>
        <v>#DIV/0!</v>
      </c>
      <c r="L70" s="138"/>
    </row>
    <row r="72" spans="1:22">
      <c r="L72" s="138"/>
    </row>
    <row r="73" spans="1:22">
      <c r="L73" s="138"/>
    </row>
    <row r="74" spans="1:22">
      <c r="L74" s="138"/>
    </row>
  </sheetData>
  <dataConsolidate/>
  <mergeCells count="8">
    <mergeCell ref="I32:N32"/>
    <mergeCell ref="H44:J44"/>
    <mergeCell ref="E10:F10"/>
    <mergeCell ref="H1:N2"/>
    <mergeCell ref="H3:N3"/>
    <mergeCell ref="H4:N5"/>
    <mergeCell ref="I10:N10"/>
    <mergeCell ref="I20:N20"/>
  </mergeCells>
  <phoneticPr fontId="9"/>
  <conditionalFormatting sqref="O29">
    <cfRule type="cellIs" dxfId="8" priority="1" operator="greaterThan">
      <formula>1</formula>
    </cfRule>
    <cfRule type="cellIs" dxfId="7" priority="2" operator="between">
      <formula>0.999999</formula>
      <formula>0</formula>
    </cfRule>
    <cfRule type="cellIs" dxfId="6"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10" activePane="bottomLeft" state="frozen"/>
      <selection activeCell="B1" sqref="B1"/>
      <selection pane="bottomLeft"/>
    </sheetView>
  </sheetViews>
  <sheetFormatPr defaultColWidth="11.44140625" defaultRowHeight="13.2"/>
  <cols>
    <col min="1" max="1" width="35.88671875" style="58" customWidth="1"/>
    <col min="2" max="2" width="21.33203125" style="58" customWidth="1"/>
    <col min="3" max="3" width="19.33203125" style="58" bestFit="1" customWidth="1"/>
    <col min="4" max="4" width="2" style="58" customWidth="1"/>
    <col min="5" max="5" width="14.44140625" style="58" customWidth="1"/>
    <col min="6" max="6" width="11.6640625" style="58" customWidth="1"/>
    <col min="7" max="7" width="6" style="58" customWidth="1"/>
    <col min="8" max="8" width="27.88671875" style="58" customWidth="1"/>
    <col min="9" max="15" width="11.44140625" style="58"/>
    <col min="16" max="16384" width="11.44140625" style="2"/>
  </cols>
  <sheetData>
    <row r="1" spans="1:15" ht="12.75" customHeight="1">
      <c r="A1" s="485" t="s">
        <v>5</v>
      </c>
      <c r="B1" s="95"/>
      <c r="C1" s="96"/>
      <c r="D1" s="96"/>
      <c r="E1" s="96"/>
      <c r="F1" s="96"/>
      <c r="H1" s="548"/>
      <c r="I1" s="548"/>
      <c r="J1" s="548"/>
      <c r="K1" s="548"/>
      <c r="L1" s="548"/>
      <c r="M1" s="548"/>
      <c r="N1" s="548"/>
    </row>
    <row r="2" spans="1:15">
      <c r="A2" s="96"/>
      <c r="B2" s="114"/>
      <c r="C2" s="115"/>
      <c r="D2" s="114"/>
      <c r="E2" s="116"/>
      <c r="F2" s="117"/>
      <c r="H2" s="548"/>
      <c r="I2" s="548"/>
      <c r="J2" s="548"/>
      <c r="K2" s="548"/>
      <c r="L2" s="548"/>
      <c r="M2" s="548"/>
      <c r="N2" s="548"/>
    </row>
    <row r="3" spans="1:15" ht="14.25" customHeight="1">
      <c r="A3" s="40" t="str">
        <f>'2-Kosten per locatie'!A3</f>
        <v>Naam opdrachtgever</v>
      </c>
      <c r="B3" s="118" t="str">
        <f>'2-Kosten per locatie'!B3</f>
        <v>Gemeente Barneveld</v>
      </c>
      <c r="C3" s="119"/>
      <c r="D3" s="114"/>
      <c r="E3" s="120"/>
      <c r="F3" s="121"/>
      <c r="H3" s="548"/>
      <c r="I3" s="548"/>
      <c r="J3" s="548"/>
      <c r="K3" s="548"/>
      <c r="L3" s="548"/>
      <c r="M3" s="548"/>
      <c r="N3" s="548"/>
    </row>
    <row r="4" spans="1:15" ht="15.75" customHeight="1">
      <c r="A4" s="40" t="str">
        <f>'2-Kosten per locatie'!A4</f>
        <v>Calculatie onderdeel</v>
      </c>
      <c r="B4" s="122" t="str">
        <f ca="1">MID(CELL("bestandsnaam",$C$9),SEARCH("]",CELL("bestandsnaam",$C$9),1)+1,256)</f>
        <v>7-Opbouw uurtarief toezicht</v>
      </c>
      <c r="C4" s="123"/>
      <c r="D4" s="124"/>
      <c r="H4" s="548"/>
      <c r="I4" s="548"/>
      <c r="J4" s="548"/>
      <c r="K4" s="548"/>
      <c r="L4" s="548"/>
      <c r="M4" s="548"/>
      <c r="N4" s="548"/>
    </row>
    <row r="5" spans="1:15" ht="15.6">
      <c r="A5" s="40" t="str">
        <f>'2-Kosten per locatie'!A5</f>
        <v>Gebouw/plaats</v>
      </c>
      <c r="B5" s="118" t="str">
        <f>'2-Kosten per locatie'!B5</f>
        <v>Divers</v>
      </c>
      <c r="C5" s="123"/>
      <c r="D5" s="124"/>
      <c r="H5" s="548"/>
      <c r="I5" s="548"/>
      <c r="J5" s="548"/>
      <c r="K5" s="548"/>
      <c r="L5" s="548"/>
      <c r="M5" s="548"/>
      <c r="N5" s="548"/>
    </row>
    <row r="6" spans="1:15" ht="15.6">
      <c r="A6" s="40" t="str">
        <f>'2-Kosten per locatie'!A6</f>
        <v>Referentie nummer</v>
      </c>
      <c r="B6" s="118">
        <f>'2-Kosten per locatie'!B6</f>
        <v>0</v>
      </c>
      <c r="C6" s="123"/>
      <c r="D6" s="124"/>
      <c r="H6" s="125"/>
      <c r="I6" s="125"/>
      <c r="J6" s="125"/>
      <c r="K6" s="125"/>
      <c r="L6" s="125"/>
      <c r="M6" s="125"/>
      <c r="N6" s="125"/>
    </row>
    <row r="7" spans="1:15" ht="15.6">
      <c r="A7" s="40" t="str">
        <f>'2-Kosten per locatie'!A7</f>
        <v>Naam dienstverlener</v>
      </c>
      <c r="B7" s="118">
        <f>'2-Kosten per locatie'!B7</f>
        <v>0</v>
      </c>
      <c r="C7" s="123"/>
      <c r="D7" s="124"/>
      <c r="H7" s="125"/>
      <c r="I7" s="125"/>
      <c r="J7" s="125"/>
      <c r="K7" s="125"/>
      <c r="L7" s="125"/>
      <c r="M7" s="125"/>
      <c r="N7" s="125"/>
    </row>
    <row r="8" spans="1:15" ht="15.6">
      <c r="A8" s="40" t="str">
        <f>'2-Kosten per locatie'!A8</f>
        <v>Prijspeil</v>
      </c>
      <c r="B8" s="286">
        <f>'2-Kosten per locatie'!B8</f>
        <v>46388</v>
      </c>
      <c r="C8" s="123"/>
      <c r="D8" s="124"/>
      <c r="J8" s="125"/>
      <c r="K8" s="125"/>
      <c r="L8" s="125"/>
      <c r="M8" s="125"/>
      <c r="N8" s="125"/>
      <c r="O8" s="126"/>
    </row>
    <row r="9" spans="1:15" ht="15.6">
      <c r="A9" s="127"/>
      <c r="B9" s="128"/>
      <c r="C9" s="129"/>
      <c r="D9" s="124"/>
      <c r="E9" s="130"/>
      <c r="F9" s="131"/>
    </row>
    <row r="10" spans="1:15" s="22" customFormat="1" ht="30.75" customHeight="1">
      <c r="A10" s="434" t="s">
        <v>181</v>
      </c>
      <c r="B10" s="395"/>
      <c r="C10" s="396"/>
      <c r="D10" s="210"/>
      <c r="E10" s="546" t="s">
        <v>182</v>
      </c>
      <c r="F10" s="547"/>
      <c r="G10" s="126"/>
      <c r="H10" s="212" t="s">
        <v>135</v>
      </c>
      <c r="I10" s="549" t="s">
        <v>608</v>
      </c>
      <c r="J10" s="550"/>
      <c r="K10" s="550"/>
      <c r="L10" s="550"/>
      <c r="M10" s="550"/>
      <c r="N10" s="550"/>
      <c r="O10" s="126"/>
    </row>
    <row r="11" spans="1:15" ht="14.4" customHeight="1">
      <c r="A11" s="139"/>
      <c r="B11" s="397" t="s">
        <v>136</v>
      </c>
      <c r="C11" s="398" t="s">
        <v>136</v>
      </c>
      <c r="D11" s="124"/>
      <c r="E11" s="132"/>
      <c r="F11" s="435"/>
      <c r="H11" s="139"/>
      <c r="I11" s="289">
        <v>1</v>
      </c>
      <c r="J11" s="289">
        <v>2</v>
      </c>
      <c r="K11" s="289">
        <v>3</v>
      </c>
      <c r="L11" s="289">
        <v>4</v>
      </c>
      <c r="M11" s="289">
        <v>5</v>
      </c>
      <c r="N11" s="289">
        <v>6</v>
      </c>
    </row>
    <row r="12" spans="1:15" ht="12.75" customHeight="1">
      <c r="A12" s="139" t="s">
        <v>137</v>
      </c>
      <c r="B12" s="400" t="s">
        <v>138</v>
      </c>
      <c r="C12" s="401"/>
      <c r="D12" s="124"/>
      <c r="E12" s="269">
        <f>SUM(I31:N31)*1.031</f>
        <v>0</v>
      </c>
      <c r="F12" s="270"/>
      <c r="H12" s="139" t="s">
        <v>144</v>
      </c>
      <c r="I12" s="290"/>
      <c r="J12" s="290"/>
      <c r="K12" s="290"/>
      <c r="L12" s="290"/>
      <c r="M12" s="290"/>
      <c r="N12" s="290"/>
    </row>
    <row r="13" spans="1:15">
      <c r="A13" s="139" t="s">
        <v>140</v>
      </c>
      <c r="B13" s="400" t="s">
        <v>138</v>
      </c>
      <c r="C13" s="402"/>
      <c r="D13" s="124"/>
      <c r="E13" s="271"/>
      <c r="F13" s="270"/>
      <c r="H13" s="139" t="s">
        <v>146</v>
      </c>
      <c r="I13" s="290"/>
      <c r="J13" s="290"/>
      <c r="K13" s="290"/>
      <c r="L13" s="290"/>
      <c r="M13" s="290"/>
      <c r="N13" s="290"/>
    </row>
    <row r="14" spans="1:15">
      <c r="A14" s="403" t="s">
        <v>142</v>
      </c>
      <c r="B14" s="404"/>
      <c r="C14" s="405"/>
      <c r="D14" s="136"/>
      <c r="E14" s="272">
        <f>SUM(E12:E13)</f>
        <v>0</v>
      </c>
      <c r="F14" s="270"/>
      <c r="H14" s="139" t="s">
        <v>148</v>
      </c>
      <c r="I14" s="290"/>
      <c r="J14" s="290"/>
      <c r="K14" s="290"/>
      <c r="L14" s="290"/>
      <c r="M14" s="290"/>
      <c r="N14" s="290"/>
    </row>
    <row r="15" spans="1:15">
      <c r="A15" s="134"/>
      <c r="B15" s="406"/>
      <c r="C15" s="407"/>
      <c r="D15" s="124"/>
      <c r="E15" s="273"/>
      <c r="F15" s="270"/>
      <c r="H15" s="139" t="s">
        <v>150</v>
      </c>
      <c r="I15" s="290"/>
      <c r="J15" s="290"/>
      <c r="K15" s="290"/>
      <c r="L15" s="290"/>
      <c r="M15" s="290"/>
      <c r="N15" s="290"/>
    </row>
    <row r="16" spans="1:15">
      <c r="A16" s="408" t="s">
        <v>145</v>
      </c>
      <c r="B16" s="400" t="s">
        <v>138</v>
      </c>
      <c r="C16" s="409"/>
      <c r="D16" s="124"/>
      <c r="E16" s="274">
        <f>$C16*E14</f>
        <v>0</v>
      </c>
      <c r="F16" s="270"/>
    </row>
    <row r="17" spans="1:15" ht="14.4" customHeight="1">
      <c r="A17" s="408" t="s">
        <v>147</v>
      </c>
      <c r="B17" s="400" t="s">
        <v>138</v>
      </c>
      <c r="C17" s="409"/>
      <c r="D17" s="124"/>
      <c r="E17" s="275">
        <f>$C17*E14</f>
        <v>0</v>
      </c>
      <c r="F17" s="270"/>
      <c r="H17" s="212" t="s">
        <v>135</v>
      </c>
      <c r="I17" s="540" t="s">
        <v>152</v>
      </c>
      <c r="J17" s="541"/>
      <c r="K17" s="541"/>
      <c r="L17" s="541"/>
      <c r="M17" s="541"/>
      <c r="N17" s="542"/>
    </row>
    <row r="18" spans="1:15" ht="13.2" customHeight="1">
      <c r="A18" s="403" t="s">
        <v>149</v>
      </c>
      <c r="B18" s="410"/>
      <c r="C18" s="135"/>
      <c r="D18" s="124"/>
      <c r="E18" s="272">
        <f>SUM(E14:E17)</f>
        <v>0</v>
      </c>
      <c r="F18" s="411">
        <f>IF(E18=0,0,E18/E$46)</f>
        <v>0</v>
      </c>
      <c r="H18" s="139"/>
      <c r="I18" s="289">
        <v>1</v>
      </c>
      <c r="J18" s="289">
        <v>2</v>
      </c>
      <c r="K18" s="289">
        <v>3</v>
      </c>
      <c r="L18" s="289">
        <v>4</v>
      </c>
      <c r="M18" s="289">
        <v>5</v>
      </c>
      <c r="N18" s="289">
        <v>6</v>
      </c>
      <c r="O18" s="256"/>
    </row>
    <row r="19" spans="1:15">
      <c r="A19" s="134"/>
      <c r="B19" s="406"/>
      <c r="C19" s="407"/>
      <c r="D19" s="124"/>
      <c r="E19" s="273"/>
      <c r="F19" s="270"/>
      <c r="H19" s="139" t="s">
        <v>144</v>
      </c>
      <c r="I19" s="415"/>
      <c r="J19" s="415"/>
      <c r="K19" s="415"/>
      <c r="L19" s="415"/>
      <c r="M19" s="415"/>
      <c r="N19" s="415"/>
      <c r="O19" s="256"/>
    </row>
    <row r="20" spans="1:15">
      <c r="A20" s="412" t="s">
        <v>151</v>
      </c>
      <c r="B20" s="413"/>
      <c r="C20" s="407"/>
      <c r="D20" s="137"/>
      <c r="E20" s="276">
        <f>E18*0.96</f>
        <v>0</v>
      </c>
      <c r="F20" s="277"/>
      <c r="H20" s="139" t="s">
        <v>146</v>
      </c>
      <c r="I20" s="415"/>
      <c r="J20" s="415"/>
      <c r="K20" s="415"/>
      <c r="L20" s="415"/>
      <c r="M20" s="415"/>
      <c r="N20" s="415"/>
      <c r="O20" s="285"/>
    </row>
    <row r="21" spans="1:15">
      <c r="A21" s="408" t="s">
        <v>153</v>
      </c>
      <c r="B21" s="413"/>
      <c r="C21" s="414" t="s">
        <v>154</v>
      </c>
      <c r="D21" s="124"/>
      <c r="E21" s="274" t="e">
        <f>E20*'5-Premies en opslagen'!$C24</f>
        <v>#DIV/0!</v>
      </c>
      <c r="F21" s="270"/>
      <c r="G21" s="138"/>
      <c r="H21" s="139" t="s">
        <v>148</v>
      </c>
      <c r="I21" s="415"/>
      <c r="J21" s="415"/>
      <c r="K21" s="415"/>
      <c r="L21" s="415"/>
      <c r="M21" s="415"/>
      <c r="N21" s="415"/>
      <c r="O21" s="256"/>
    </row>
    <row r="22" spans="1:15" s="14" customFormat="1">
      <c r="A22" s="403" t="s">
        <v>155</v>
      </c>
      <c r="B22" s="416"/>
      <c r="C22" s="135"/>
      <c r="D22" s="124"/>
      <c r="E22" s="272" t="e">
        <f>E21+E18</f>
        <v>#DIV/0!</v>
      </c>
      <c r="F22" s="411" t="e">
        <f>IF(E22=0,0,E22/E$46)</f>
        <v>#DIV/0!</v>
      </c>
      <c r="G22" s="58"/>
      <c r="H22" s="139" t="s">
        <v>150</v>
      </c>
      <c r="I22" s="415"/>
      <c r="J22" s="415"/>
      <c r="K22" s="415"/>
      <c r="L22" s="415"/>
      <c r="M22" s="415"/>
      <c r="N22" s="415"/>
      <c r="O22" s="256"/>
    </row>
    <row r="23" spans="1:15" ht="14.25" customHeight="1">
      <c r="A23" s="134"/>
      <c r="B23" s="410"/>
      <c r="C23" s="135"/>
      <c r="D23" s="124"/>
      <c r="E23" s="268"/>
      <c r="F23" s="270"/>
      <c r="H23" s="140" t="s">
        <v>162</v>
      </c>
      <c r="I23" s="419">
        <f t="shared" ref="I23:N23" si="0">SUM(I19:I22)</f>
        <v>0</v>
      </c>
      <c r="J23" s="419">
        <f t="shared" si="0"/>
        <v>0</v>
      </c>
      <c r="K23" s="419">
        <f t="shared" si="0"/>
        <v>0</v>
      </c>
      <c r="L23" s="419">
        <f t="shared" si="0"/>
        <v>0</v>
      </c>
      <c r="M23" s="419">
        <f t="shared" si="0"/>
        <v>0</v>
      </c>
      <c r="N23" s="419">
        <f t="shared" si="0"/>
        <v>0</v>
      </c>
      <c r="O23" s="420">
        <f>SUM(I23:N23)</f>
        <v>0</v>
      </c>
    </row>
    <row r="24" spans="1:15" ht="12.75" customHeight="1">
      <c r="A24" s="408" t="s">
        <v>156</v>
      </c>
      <c r="B24" s="413"/>
      <c r="C24" s="414" t="s">
        <v>154</v>
      </c>
      <c r="D24" s="124"/>
      <c r="E24" s="274" t="e">
        <f>E22*'5-Premies en opslagen'!$B53</f>
        <v>#DIV/0!</v>
      </c>
      <c r="F24" s="270"/>
    </row>
    <row r="25" spans="1:15" ht="12.75" customHeight="1">
      <c r="A25" s="403" t="s">
        <v>157</v>
      </c>
      <c r="B25" s="410"/>
      <c r="C25" s="135"/>
      <c r="D25" s="124"/>
      <c r="E25" s="272" t="e">
        <f>SUM(E22:E24)</f>
        <v>#DIV/0!</v>
      </c>
      <c r="F25" s="411" t="e">
        <f>IF(E25=0,0,E25/E$46)</f>
        <v>#DIV/0!</v>
      </c>
      <c r="H25" s="212" t="s">
        <v>135</v>
      </c>
      <c r="I25" s="549" t="s">
        <v>164</v>
      </c>
      <c r="J25" s="550"/>
      <c r="K25" s="550"/>
      <c r="L25" s="550"/>
      <c r="M25" s="550"/>
      <c r="N25" s="550"/>
    </row>
    <row r="26" spans="1:15">
      <c r="A26" s="134"/>
      <c r="B26" s="410"/>
      <c r="C26" s="135"/>
      <c r="D26" s="124"/>
      <c r="E26" s="268"/>
      <c r="F26" s="270"/>
      <c r="H26" s="291"/>
      <c r="I26" s="289">
        <v>1</v>
      </c>
      <c r="J26" s="289">
        <v>2</v>
      </c>
      <c r="K26" s="289">
        <v>3</v>
      </c>
      <c r="L26" s="289">
        <v>4</v>
      </c>
      <c r="M26" s="289">
        <v>5</v>
      </c>
      <c r="N26" s="289">
        <v>6</v>
      </c>
    </row>
    <row r="27" spans="1:15" ht="13.2" customHeight="1">
      <c r="A27" s="134" t="s">
        <v>158</v>
      </c>
      <c r="B27" s="417"/>
      <c r="C27" s="402" t="s">
        <v>159</v>
      </c>
      <c r="D27" s="124"/>
      <c r="E27" s="271"/>
      <c r="F27" s="270">
        <v>0</v>
      </c>
      <c r="H27" s="139" t="s">
        <v>144</v>
      </c>
      <c r="I27" s="487">
        <f t="shared" ref="I27:N30" si="1">I19*I12</f>
        <v>0</v>
      </c>
      <c r="J27" s="487">
        <f t="shared" si="1"/>
        <v>0</v>
      </c>
      <c r="K27" s="487">
        <f t="shared" si="1"/>
        <v>0</v>
      </c>
      <c r="L27" s="487">
        <f t="shared" si="1"/>
        <v>0</v>
      </c>
      <c r="M27" s="487">
        <f t="shared" si="1"/>
        <v>0</v>
      </c>
      <c r="N27" s="487">
        <f t="shared" si="1"/>
        <v>0</v>
      </c>
    </row>
    <row r="28" spans="1:15">
      <c r="A28" s="134" t="s">
        <v>160</v>
      </c>
      <c r="B28" s="418"/>
      <c r="C28" s="402" t="s">
        <v>159</v>
      </c>
      <c r="D28" s="124"/>
      <c r="E28" s="271"/>
      <c r="F28" s="270">
        <v>0</v>
      </c>
      <c r="H28" s="139" t="s">
        <v>146</v>
      </c>
      <c r="I28" s="487">
        <f t="shared" si="1"/>
        <v>0</v>
      </c>
      <c r="J28" s="487">
        <f t="shared" si="1"/>
        <v>0</v>
      </c>
      <c r="K28" s="487">
        <f t="shared" si="1"/>
        <v>0</v>
      </c>
      <c r="L28" s="487">
        <f t="shared" si="1"/>
        <v>0</v>
      </c>
      <c r="M28" s="487">
        <f t="shared" si="1"/>
        <v>0</v>
      </c>
      <c r="N28" s="487">
        <f t="shared" si="1"/>
        <v>0</v>
      </c>
    </row>
    <row r="29" spans="1:15">
      <c r="A29" s="134" t="s">
        <v>183</v>
      </c>
      <c r="B29" s="410"/>
      <c r="C29" s="135"/>
      <c r="D29" s="124"/>
      <c r="E29" s="271"/>
      <c r="F29" s="270"/>
      <c r="H29" s="139" t="s">
        <v>148</v>
      </c>
      <c r="I29" s="487">
        <f t="shared" si="1"/>
        <v>0</v>
      </c>
      <c r="J29" s="487">
        <f t="shared" si="1"/>
        <v>0</v>
      </c>
      <c r="K29" s="487">
        <f t="shared" si="1"/>
        <v>0</v>
      </c>
      <c r="L29" s="487">
        <f t="shared" si="1"/>
        <v>0</v>
      </c>
      <c r="M29" s="487">
        <f t="shared" si="1"/>
        <v>0</v>
      </c>
      <c r="N29" s="487">
        <f t="shared" si="1"/>
        <v>0</v>
      </c>
    </row>
    <row r="30" spans="1:15">
      <c r="A30" s="421"/>
      <c r="B30" s="422"/>
      <c r="C30" s="423" t="s">
        <v>136</v>
      </c>
      <c r="D30" s="124"/>
      <c r="E30" s="271"/>
      <c r="F30" s="270"/>
      <c r="H30" s="139" t="s">
        <v>150</v>
      </c>
      <c r="I30" s="487">
        <f t="shared" si="1"/>
        <v>0</v>
      </c>
      <c r="J30" s="487">
        <f t="shared" si="1"/>
        <v>0</v>
      </c>
      <c r="K30" s="487">
        <f t="shared" si="1"/>
        <v>0</v>
      </c>
      <c r="L30" s="487">
        <f t="shared" si="1"/>
        <v>0</v>
      </c>
      <c r="M30" s="487">
        <f t="shared" si="1"/>
        <v>0</v>
      </c>
      <c r="N30" s="487">
        <f t="shared" si="1"/>
        <v>0</v>
      </c>
    </row>
    <row r="31" spans="1:15" ht="12.75" customHeight="1">
      <c r="A31" s="403" t="s">
        <v>163</v>
      </c>
      <c r="B31" s="410"/>
      <c r="C31" s="135"/>
      <c r="D31" s="124"/>
      <c r="E31" s="272" t="e">
        <f>SUM(E25:E30)</f>
        <v>#DIV/0!</v>
      </c>
      <c r="F31" s="411" t="e">
        <f>IF(E31=0,0,E31/E$46)</f>
        <v>#DIV/0!</v>
      </c>
      <c r="H31" s="140" t="s">
        <v>162</v>
      </c>
      <c r="I31" s="436">
        <f t="shared" ref="I31:N31" si="2">SUM(I27:I30)</f>
        <v>0</v>
      </c>
      <c r="J31" s="436">
        <f t="shared" si="2"/>
        <v>0</v>
      </c>
      <c r="K31" s="436">
        <f t="shared" si="2"/>
        <v>0</v>
      </c>
      <c r="L31" s="436">
        <f t="shared" si="2"/>
        <v>0</v>
      </c>
      <c r="M31" s="436">
        <f t="shared" si="2"/>
        <v>0</v>
      </c>
      <c r="N31" s="436">
        <f t="shared" si="2"/>
        <v>0</v>
      </c>
    </row>
    <row r="32" spans="1:15" ht="12.75" customHeight="1">
      <c r="A32" s="134"/>
      <c r="B32" s="410"/>
      <c r="C32" s="135"/>
      <c r="D32" s="124"/>
      <c r="E32" s="268"/>
      <c r="F32" s="270"/>
    </row>
    <row r="33" spans="1:15" ht="12.75" customHeight="1">
      <c r="A33" s="134" t="s">
        <v>165</v>
      </c>
      <c r="B33" s="410"/>
      <c r="C33" s="424"/>
      <c r="D33" s="124"/>
      <c r="E33" s="271"/>
      <c r="F33" s="278" t="e">
        <f>E33/$E$46</f>
        <v>#DIV/0!</v>
      </c>
    </row>
    <row r="34" spans="1:15" ht="12.75" customHeight="1">
      <c r="A34" s="134" t="s">
        <v>166</v>
      </c>
      <c r="B34" s="410"/>
      <c r="C34" s="424"/>
      <c r="D34" s="124"/>
      <c r="E34" s="271"/>
      <c r="F34" s="278" t="e">
        <f t="shared" ref="F34:F40" si="3">E34/$E$46</f>
        <v>#DIV/0!</v>
      </c>
    </row>
    <row r="35" spans="1:15" ht="12.75" customHeight="1">
      <c r="A35" s="134" t="s">
        <v>167</v>
      </c>
      <c r="B35" s="410"/>
      <c r="C35" s="424"/>
      <c r="D35" s="124"/>
      <c r="E35" s="271"/>
      <c r="F35" s="278" t="e">
        <f t="shared" si="3"/>
        <v>#DIV/0!</v>
      </c>
    </row>
    <row r="36" spans="1:15" ht="14.25" customHeight="1">
      <c r="A36" s="134" t="s">
        <v>168</v>
      </c>
      <c r="B36" s="410"/>
      <c r="C36" s="425"/>
      <c r="D36" s="124"/>
      <c r="E36" s="271"/>
      <c r="F36" s="278" t="e">
        <f t="shared" si="3"/>
        <v>#DIV/0!</v>
      </c>
    </row>
    <row r="37" spans="1:15">
      <c r="A37" s="134" t="s">
        <v>169</v>
      </c>
      <c r="B37" s="410"/>
      <c r="C37" s="424"/>
      <c r="D37" s="124"/>
      <c r="E37" s="271"/>
      <c r="F37" s="278" t="e">
        <f t="shared" si="3"/>
        <v>#DIV/0!</v>
      </c>
    </row>
    <row r="38" spans="1:15">
      <c r="A38" s="134" t="s">
        <v>170</v>
      </c>
      <c r="B38" s="410"/>
      <c r="C38" s="425"/>
      <c r="D38" s="124"/>
      <c r="E38" s="271"/>
      <c r="F38" s="278" t="e">
        <f t="shared" si="3"/>
        <v>#DIV/0!</v>
      </c>
    </row>
    <row r="39" spans="1:15">
      <c r="A39" s="134" t="s">
        <v>171</v>
      </c>
      <c r="B39" s="410"/>
      <c r="C39" s="402" t="s">
        <v>159</v>
      </c>
      <c r="D39" s="124"/>
      <c r="E39" s="271"/>
      <c r="F39" s="278" t="e">
        <f t="shared" si="3"/>
        <v>#DIV/0!</v>
      </c>
    </row>
    <row r="40" spans="1:15">
      <c r="A40" s="134" t="s">
        <v>180</v>
      </c>
      <c r="B40" s="410"/>
      <c r="C40" s="402"/>
      <c r="D40" s="124"/>
      <c r="E40" s="271"/>
      <c r="F40" s="278" t="e">
        <f t="shared" si="3"/>
        <v>#DIV/0!</v>
      </c>
    </row>
    <row r="41" spans="1:15">
      <c r="A41" s="421"/>
      <c r="B41" s="422"/>
      <c r="C41" s="426"/>
      <c r="D41" s="124"/>
      <c r="E41" s="271"/>
      <c r="F41" s="270"/>
      <c r="H41" s="138"/>
      <c r="I41" s="138"/>
      <c r="J41" s="138"/>
      <c r="K41" s="138"/>
      <c r="L41" s="138"/>
      <c r="M41" s="138"/>
      <c r="N41" s="138"/>
      <c r="O41" s="138"/>
    </row>
    <row r="42" spans="1:15">
      <c r="A42" s="403" t="s">
        <v>173</v>
      </c>
      <c r="B42" s="410"/>
      <c r="C42" s="135"/>
      <c r="D42" s="124"/>
      <c r="E42" s="272" t="e">
        <f>SUM(E31:E41)</f>
        <v>#DIV/0!</v>
      </c>
      <c r="F42" s="411" t="e">
        <f>IF(E42=0,0,E42/E$46)</f>
        <v>#DIV/0!</v>
      </c>
      <c r="H42" s="138"/>
      <c r="I42" s="138"/>
      <c r="J42" s="138"/>
      <c r="K42" s="138"/>
      <c r="L42" s="138"/>
      <c r="M42" s="138"/>
      <c r="N42" s="138"/>
      <c r="O42" s="138"/>
    </row>
    <row r="43" spans="1:15" ht="45">
      <c r="A43" s="134"/>
      <c r="B43" s="410"/>
      <c r="C43" s="135"/>
      <c r="D43" s="124"/>
      <c r="E43" s="268"/>
      <c r="F43" s="279"/>
      <c r="H43" s="434" t="s">
        <v>174</v>
      </c>
      <c r="I43" s="395"/>
      <c r="J43" s="396"/>
      <c r="K43" s="213" t="s">
        <v>134</v>
      </c>
      <c r="L43" s="138"/>
      <c r="M43" s="138"/>
      <c r="N43" s="138"/>
    </row>
    <row r="44" spans="1:15">
      <c r="A44" s="134" t="s">
        <v>175</v>
      </c>
      <c r="B44" s="410"/>
      <c r="C44" s="425"/>
      <c r="D44" s="124"/>
      <c r="E44" s="271"/>
      <c r="F44" s="411">
        <f>(IF(E44=0,0,E44/E$46))</f>
        <v>0</v>
      </c>
      <c r="H44" s="139"/>
      <c r="I44" s="397" t="s">
        <v>136</v>
      </c>
      <c r="J44" s="398" t="s">
        <v>136</v>
      </c>
      <c r="K44" s="268"/>
      <c r="L44" s="138"/>
      <c r="M44" s="138"/>
      <c r="N44" s="138"/>
    </row>
    <row r="45" spans="1:15">
      <c r="A45" s="134"/>
      <c r="B45" s="427"/>
      <c r="C45" s="135"/>
      <c r="D45" s="124"/>
      <c r="E45" s="268"/>
      <c r="F45" s="270"/>
      <c r="H45" s="142" t="s">
        <v>142</v>
      </c>
      <c r="I45" s="143"/>
      <c r="J45" s="144"/>
      <c r="K45" s="272">
        <f>E14</f>
        <v>0</v>
      </c>
      <c r="L45" s="138"/>
      <c r="M45" s="138"/>
      <c r="N45" s="138"/>
    </row>
    <row r="46" spans="1:15">
      <c r="A46" s="403" t="s">
        <v>176</v>
      </c>
      <c r="B46" s="428"/>
      <c r="C46" s="429"/>
      <c r="D46" s="124"/>
      <c r="E46" s="280" t="e">
        <f>SUM(E42:E45)</f>
        <v>#DIV/0!</v>
      </c>
      <c r="F46" s="281" t="e">
        <f>SUM(F42:F45)</f>
        <v>#DIV/0!</v>
      </c>
      <c r="H46" s="145" t="s">
        <v>145</v>
      </c>
      <c r="I46" s="146"/>
      <c r="J46" s="147"/>
      <c r="K46" s="274">
        <f>E16</f>
        <v>0</v>
      </c>
      <c r="L46" s="138"/>
      <c r="M46" s="138"/>
      <c r="N46" s="138"/>
    </row>
    <row r="47" spans="1:15">
      <c r="B47" s="141"/>
      <c r="C47" s="430"/>
      <c r="D47" s="124"/>
      <c r="E47" s="256"/>
      <c r="F47" s="282"/>
      <c r="H47" s="408" t="s">
        <v>147</v>
      </c>
      <c r="I47" s="146"/>
      <c r="J47" s="147"/>
      <c r="K47" s="275">
        <f>E17</f>
        <v>0</v>
      </c>
      <c r="L47" s="138"/>
      <c r="M47" s="138"/>
      <c r="N47" s="138"/>
      <c r="O47" s="138"/>
    </row>
    <row r="48" spans="1:15">
      <c r="A48" s="431" t="s">
        <v>177</v>
      </c>
      <c r="B48" s="432"/>
      <c r="C48" s="433"/>
      <c r="D48" s="138"/>
      <c r="E48" s="283" t="e">
        <f>(E$25*1.3)+($E$46-$E$25)</f>
        <v>#DIV/0!</v>
      </c>
      <c r="F48" s="284"/>
      <c r="H48" s="408" t="s">
        <v>153</v>
      </c>
      <c r="I48" s="146"/>
      <c r="J48" s="147"/>
      <c r="K48" s="274" t="e">
        <f>E21</f>
        <v>#DIV/0!</v>
      </c>
      <c r="L48" s="138"/>
      <c r="M48" s="138"/>
      <c r="N48" s="138"/>
      <c r="O48" s="138"/>
    </row>
    <row r="49" spans="1:15">
      <c r="A49" s="138"/>
      <c r="B49" s="148"/>
      <c r="C49" s="149"/>
      <c r="D49" s="138"/>
      <c r="E49" s="285"/>
      <c r="F49" s="285"/>
      <c r="G49" s="138"/>
      <c r="H49" s="408" t="s">
        <v>156</v>
      </c>
      <c r="I49" s="413"/>
      <c r="J49" s="414"/>
      <c r="K49" s="274" t="e">
        <f>E24</f>
        <v>#DIV/0!</v>
      </c>
      <c r="L49" s="138"/>
      <c r="M49" s="138"/>
      <c r="N49" s="138"/>
      <c r="O49" s="138"/>
    </row>
    <row r="50" spans="1:15" s="14" customFormat="1">
      <c r="A50" s="431" t="s">
        <v>178</v>
      </c>
      <c r="B50" s="432"/>
      <c r="C50" s="433"/>
      <c r="D50" s="138"/>
      <c r="E50" s="283" t="e">
        <f>(E$25*1.5)+($E$46-$E$25)</f>
        <v>#DIV/0!</v>
      </c>
      <c r="F50" s="284"/>
      <c r="G50" s="138"/>
      <c r="H50" s="134" t="s">
        <v>158</v>
      </c>
      <c r="I50" s="417"/>
      <c r="J50" s="402"/>
      <c r="K50" s="269">
        <f>E27</f>
        <v>0</v>
      </c>
      <c r="L50" s="138"/>
      <c r="M50" s="138"/>
      <c r="N50" s="138"/>
      <c r="O50" s="138"/>
    </row>
    <row r="51" spans="1:15" s="14" customFormat="1">
      <c r="A51" s="138"/>
      <c r="B51" s="148"/>
      <c r="C51" s="149"/>
      <c r="D51" s="138"/>
      <c r="E51" s="285"/>
      <c r="F51" s="285"/>
      <c r="G51" s="138"/>
      <c r="H51" s="134" t="s">
        <v>160</v>
      </c>
      <c r="I51" s="418"/>
      <c r="J51" s="402"/>
      <c r="K51" s="269">
        <f t="shared" ref="K51:K52" si="4">E28</f>
        <v>0</v>
      </c>
      <c r="L51" s="138"/>
      <c r="M51" s="58"/>
      <c r="N51" s="138"/>
      <c r="O51" s="138"/>
    </row>
    <row r="52" spans="1:15" s="14" customFormat="1">
      <c r="A52" s="431" t="s">
        <v>179</v>
      </c>
      <c r="B52" s="432"/>
      <c r="C52" s="433"/>
      <c r="D52" s="138"/>
      <c r="E52" s="283" t="e">
        <f>(E$25*2.5)+($E$46-$E$25)</f>
        <v>#DIV/0!</v>
      </c>
      <c r="F52" s="285"/>
      <c r="G52" s="138"/>
      <c r="H52" s="134" t="s">
        <v>161</v>
      </c>
      <c r="I52" s="410"/>
      <c r="J52" s="135" t="s">
        <v>136</v>
      </c>
      <c r="K52" s="269">
        <f t="shared" si="4"/>
        <v>0</v>
      </c>
      <c r="L52" s="138"/>
      <c r="M52" s="58"/>
      <c r="N52" s="138"/>
      <c r="O52" s="138"/>
    </row>
    <row r="53" spans="1:15" s="14" customFormat="1">
      <c r="A53" s="138"/>
      <c r="B53" s="148"/>
      <c r="C53" s="150"/>
      <c r="D53" s="138"/>
      <c r="E53" s="138"/>
      <c r="F53" s="151"/>
      <c r="G53" s="138"/>
      <c r="H53" s="134" t="s">
        <v>165</v>
      </c>
      <c r="I53" s="410"/>
      <c r="J53" s="424"/>
      <c r="K53" s="269">
        <f>E33</f>
        <v>0</v>
      </c>
      <c r="L53" s="138"/>
      <c r="M53" s="58"/>
      <c r="N53" s="138"/>
      <c r="O53" s="138"/>
    </row>
    <row r="54" spans="1:15" s="14" customFormat="1">
      <c r="A54" s="138"/>
      <c r="B54" s="148"/>
      <c r="C54" s="150"/>
      <c r="D54" s="138"/>
      <c r="E54" s="138"/>
      <c r="F54" s="151"/>
      <c r="G54" s="138"/>
      <c r="H54" s="134" t="s">
        <v>166</v>
      </c>
      <c r="I54" s="410"/>
      <c r="J54" s="424"/>
      <c r="K54" s="269">
        <f t="shared" ref="K54:K60" si="5">E34</f>
        <v>0</v>
      </c>
      <c r="L54" s="138"/>
      <c r="M54" s="58"/>
      <c r="N54" s="138"/>
      <c r="O54" s="138"/>
    </row>
    <row r="55" spans="1:15" s="14" customFormat="1">
      <c r="A55" s="138"/>
      <c r="B55" s="138"/>
      <c r="C55" s="152"/>
      <c r="D55" s="138"/>
      <c r="E55" s="138"/>
      <c r="F55" s="151"/>
      <c r="G55" s="138"/>
      <c r="H55" s="134" t="s">
        <v>167</v>
      </c>
      <c r="I55" s="410"/>
      <c r="J55" s="424"/>
      <c r="K55" s="269">
        <f t="shared" si="5"/>
        <v>0</v>
      </c>
      <c r="L55" s="138"/>
      <c r="M55" s="58"/>
      <c r="N55" s="138"/>
      <c r="O55" s="138"/>
    </row>
    <row r="56" spans="1:15" s="14" customFormat="1">
      <c r="A56" s="138"/>
      <c r="B56" s="138"/>
      <c r="C56" s="152"/>
      <c r="D56" s="138"/>
      <c r="E56" s="138"/>
      <c r="F56" s="151"/>
      <c r="G56" s="138"/>
      <c r="H56" s="134" t="s">
        <v>168</v>
      </c>
      <c r="I56" s="410"/>
      <c r="J56" s="425"/>
      <c r="K56" s="269">
        <f t="shared" si="5"/>
        <v>0</v>
      </c>
      <c r="L56" s="138"/>
      <c r="M56" s="58"/>
      <c r="N56" s="138"/>
      <c r="O56" s="138"/>
    </row>
    <row r="57" spans="1:15" s="14" customFormat="1">
      <c r="A57" s="58"/>
      <c r="B57" s="138"/>
      <c r="C57" s="152"/>
      <c r="D57" s="138"/>
      <c r="E57" s="138"/>
      <c r="F57" s="151"/>
      <c r="G57" s="138"/>
      <c r="H57" s="134" t="s">
        <v>169</v>
      </c>
      <c r="I57" s="410"/>
      <c r="J57" s="424"/>
      <c r="K57" s="269">
        <f t="shared" si="5"/>
        <v>0</v>
      </c>
      <c r="L57" s="138"/>
      <c r="M57" s="58"/>
      <c r="N57" s="138"/>
      <c r="O57" s="138"/>
    </row>
    <row r="58" spans="1:15" s="14" customFormat="1">
      <c r="A58" s="138"/>
      <c r="B58" s="138"/>
      <c r="C58" s="152"/>
      <c r="D58" s="138"/>
      <c r="E58" s="138"/>
      <c r="F58" s="151"/>
      <c r="G58" s="138"/>
      <c r="H58" s="134" t="s">
        <v>170</v>
      </c>
      <c r="I58" s="410"/>
      <c r="J58" s="425"/>
      <c r="K58" s="269">
        <f t="shared" si="5"/>
        <v>0</v>
      </c>
      <c r="L58" s="138"/>
      <c r="M58" s="58"/>
      <c r="N58" s="58"/>
      <c r="O58" s="138"/>
    </row>
    <row r="59" spans="1:15" s="14" customFormat="1">
      <c r="A59" s="138"/>
      <c r="B59" s="138"/>
      <c r="C59" s="152"/>
      <c r="D59" s="138"/>
      <c r="E59" s="138"/>
      <c r="F59" s="151"/>
      <c r="G59" s="138"/>
      <c r="H59" s="134" t="s">
        <v>171</v>
      </c>
      <c r="I59" s="410"/>
      <c r="J59" s="402"/>
      <c r="K59" s="269">
        <f t="shared" si="5"/>
        <v>0</v>
      </c>
      <c r="L59" s="138"/>
      <c r="M59" s="58"/>
      <c r="N59" s="58"/>
      <c r="O59" s="138"/>
    </row>
    <row r="60" spans="1:15" s="14" customFormat="1">
      <c r="A60" s="138"/>
      <c r="B60" s="138"/>
      <c r="C60" s="152"/>
      <c r="D60" s="138"/>
      <c r="E60" s="138"/>
      <c r="F60" s="151"/>
      <c r="G60" s="138"/>
      <c r="H60" s="134" t="s">
        <v>180</v>
      </c>
      <c r="I60" s="410"/>
      <c r="J60" s="402"/>
      <c r="K60" s="269">
        <f t="shared" si="5"/>
        <v>0</v>
      </c>
      <c r="L60" s="138"/>
      <c r="M60" s="58"/>
      <c r="N60" s="58"/>
      <c r="O60" s="138"/>
    </row>
    <row r="61" spans="1:15" s="14" customFormat="1">
      <c r="A61" s="138"/>
      <c r="B61" s="138"/>
      <c r="C61" s="152"/>
      <c r="D61" s="138"/>
      <c r="E61" s="138"/>
      <c r="F61" s="151"/>
      <c r="G61" s="138"/>
      <c r="H61" s="134" t="s">
        <v>175</v>
      </c>
      <c r="I61" s="410"/>
      <c r="J61" s="425"/>
      <c r="K61" s="269">
        <f>E44</f>
        <v>0</v>
      </c>
      <c r="L61" s="138"/>
      <c r="M61" s="58"/>
      <c r="N61" s="58"/>
      <c r="O61" s="138"/>
    </row>
    <row r="62" spans="1:15" s="14" customFormat="1">
      <c r="A62" s="138"/>
      <c r="B62" s="138"/>
      <c r="C62" s="152"/>
      <c r="D62" s="138"/>
      <c r="E62" s="138"/>
      <c r="F62" s="151"/>
      <c r="G62" s="138"/>
      <c r="H62" s="134"/>
      <c r="I62" s="427"/>
      <c r="J62" s="135"/>
      <c r="K62" s="268"/>
      <c r="L62" s="138"/>
      <c r="M62" s="58"/>
      <c r="N62" s="58"/>
      <c r="O62" s="138"/>
    </row>
    <row r="63" spans="1:15" s="14" customFormat="1">
      <c r="A63" s="138"/>
      <c r="B63" s="138"/>
      <c r="C63" s="152"/>
      <c r="D63" s="138"/>
      <c r="E63" s="138"/>
      <c r="F63" s="151"/>
      <c r="G63" s="138"/>
      <c r="H63" s="403" t="s">
        <v>176</v>
      </c>
      <c r="I63" s="428"/>
      <c r="J63" s="429"/>
      <c r="K63" s="280" t="e">
        <f>SUM(K45:K62)</f>
        <v>#DIV/0!</v>
      </c>
      <c r="L63" s="138"/>
      <c r="M63" s="58"/>
      <c r="N63" s="58"/>
      <c r="O63" s="138"/>
    </row>
    <row r="64" spans="1:15" s="14" customFormat="1">
      <c r="A64" s="138"/>
      <c r="B64" s="138"/>
      <c r="C64" s="152"/>
      <c r="D64" s="138"/>
      <c r="E64" s="58"/>
      <c r="F64" s="151"/>
      <c r="G64" s="138"/>
      <c r="H64" s="58"/>
      <c r="I64" s="141"/>
      <c r="J64" s="430"/>
      <c r="K64" s="256"/>
      <c r="L64" s="138"/>
      <c r="M64" s="58"/>
      <c r="N64" s="58"/>
      <c r="O64" s="58"/>
    </row>
    <row r="65" spans="1:15" s="14" customFormat="1">
      <c r="A65" s="58"/>
      <c r="B65" s="58"/>
      <c r="C65" s="58"/>
      <c r="D65" s="58"/>
      <c r="E65" s="58"/>
      <c r="F65" s="58"/>
      <c r="G65" s="138"/>
      <c r="H65" s="431" t="s">
        <v>177</v>
      </c>
      <c r="I65" s="432"/>
      <c r="J65" s="433"/>
      <c r="K65" s="283" t="e">
        <f>E48</f>
        <v>#DIV/0!</v>
      </c>
      <c r="L65" s="138"/>
      <c r="M65" s="58"/>
      <c r="N65" s="58"/>
      <c r="O65" s="58"/>
    </row>
    <row r="66" spans="1:15">
      <c r="H66" s="138"/>
      <c r="I66" s="148"/>
      <c r="J66" s="149"/>
      <c r="K66" s="285"/>
      <c r="L66" s="138"/>
    </row>
    <row r="67" spans="1:15">
      <c r="H67" s="431" t="s">
        <v>178</v>
      </c>
      <c r="I67" s="432"/>
      <c r="J67" s="433"/>
      <c r="K67" s="283" t="e">
        <f>E50</f>
        <v>#DIV/0!</v>
      </c>
      <c r="L67" s="138"/>
    </row>
    <row r="68" spans="1:15">
      <c r="H68" s="138"/>
      <c r="I68" s="148"/>
      <c r="J68" s="149"/>
      <c r="K68" s="285"/>
      <c r="L68" s="138"/>
    </row>
    <row r="69" spans="1:15">
      <c r="H69" s="431" t="s">
        <v>179</v>
      </c>
      <c r="I69" s="432"/>
      <c r="J69" s="433"/>
      <c r="K69" s="283" t="e">
        <f>E52</f>
        <v>#DIV/0!</v>
      </c>
      <c r="L69" s="138"/>
    </row>
    <row r="70" spans="1:15">
      <c r="L70" s="138"/>
      <c r="O70" s="138"/>
    </row>
    <row r="71" spans="1:15">
      <c r="O71" s="138"/>
    </row>
    <row r="72" spans="1:15">
      <c r="O72" s="138"/>
    </row>
    <row r="73" spans="1:15">
      <c r="O73" s="138"/>
    </row>
    <row r="74" spans="1:15">
      <c r="O74" s="138"/>
    </row>
    <row r="75" spans="1:15">
      <c r="O75" s="138"/>
    </row>
    <row r="76" spans="1:15">
      <c r="O76" s="138"/>
    </row>
  </sheetData>
  <mergeCells count="7">
    <mergeCell ref="I25:N25"/>
    <mergeCell ref="I17:N17"/>
    <mergeCell ref="E10:F10"/>
    <mergeCell ref="I10:N10"/>
    <mergeCell ref="H1:N2"/>
    <mergeCell ref="H3:N3"/>
    <mergeCell ref="H4:N5"/>
  </mergeCells>
  <conditionalFormatting sqref="O23">
    <cfRule type="cellIs" dxfId="5" priority="1" operator="greaterThan">
      <formula>1</formula>
    </cfRule>
    <cfRule type="cellIs" dxfId="4" priority="2" operator="between">
      <formula>0.999999</formula>
      <formula>0</formula>
    </cfRule>
    <cfRule type="cellIs" dxfId="3"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27"/>
  <sheetViews>
    <sheetView showGridLines="0" zoomScaleNormal="100" workbookViewId="0">
      <pane ySplit="10" topLeftCell="A11" activePane="bottomLeft" state="frozen"/>
      <selection activeCell="B1" sqref="B1"/>
      <selection pane="bottomLeft"/>
    </sheetView>
  </sheetViews>
  <sheetFormatPr defaultColWidth="9.109375" defaultRowHeight="13.2"/>
  <cols>
    <col min="1" max="1" width="28.109375" style="58" customWidth="1"/>
    <col min="2" max="2" width="52.33203125" style="58" bestFit="1" customWidth="1"/>
    <col min="3" max="3" width="12.88671875" style="58" customWidth="1"/>
    <col min="4" max="4" width="20.44140625" style="58" bestFit="1" customWidth="1"/>
    <col min="5" max="5" width="15.33203125" style="58" customWidth="1"/>
    <col min="6" max="6" width="12.88671875" style="58" customWidth="1"/>
    <col min="7" max="7" width="12.33203125" style="58" bestFit="1" customWidth="1"/>
    <col min="8" max="8" width="13.6640625" style="58" bestFit="1" customWidth="1"/>
    <col min="9" max="9" width="19.88671875" style="2" customWidth="1"/>
    <col min="10" max="16384" width="9.109375" style="2"/>
  </cols>
  <sheetData>
    <row r="1" spans="1:9">
      <c r="A1" s="485" t="s">
        <v>5</v>
      </c>
      <c r="I1" s="58"/>
    </row>
    <row r="2" spans="1:9">
      <c r="A2" s="96"/>
      <c r="I2" s="58"/>
    </row>
    <row r="3" spans="1:9" ht="15.6">
      <c r="A3" s="40" t="str">
        <f>'2-Kosten per locatie'!A3</f>
        <v>Naam opdrachtgever</v>
      </c>
      <c r="B3" s="154" t="str">
        <f>'2-Kosten per locatie'!B3</f>
        <v>Gemeente Barneveld</v>
      </c>
      <c r="I3" s="58"/>
    </row>
    <row r="4" spans="1:9" ht="15.6">
      <c r="A4" s="40" t="str">
        <f>'2-Kosten per locatie'!A4</f>
        <v>Calculatie onderdeel</v>
      </c>
      <c r="B4" s="49" t="str">
        <f ca="1">MID(CELL("bestandsnaam",$C$9),SEARCH("]",CELL("bestandsnaam",$C$9),1)+1,256)</f>
        <v>8-Additionele kosten</v>
      </c>
      <c r="I4" s="58"/>
    </row>
    <row r="5" spans="1:9" ht="15.6">
      <c r="A5" s="40" t="str">
        <f>'2-Kosten per locatie'!A5</f>
        <v>Gebouw/plaats</v>
      </c>
      <c r="B5" s="154" t="str">
        <f>'2-Kosten per locatie'!B5</f>
        <v>Divers</v>
      </c>
      <c r="I5" s="58"/>
    </row>
    <row r="6" spans="1:9" ht="15.6">
      <c r="A6" s="40" t="str">
        <f>'2-Kosten per locatie'!A6</f>
        <v>Referentie nummer</v>
      </c>
      <c r="B6" s="154">
        <f>'2-Kosten per locatie'!B6</f>
        <v>0</v>
      </c>
      <c r="I6" s="58"/>
    </row>
    <row r="7" spans="1:9" ht="15" customHeight="1">
      <c r="A7" s="40" t="str">
        <f>'2-Kosten per locatie'!A7</f>
        <v>Naam dienstverlener</v>
      </c>
      <c r="B7" s="154">
        <f>'2-Kosten per locatie'!B7</f>
        <v>0</v>
      </c>
      <c r="I7" s="58"/>
    </row>
    <row r="8" spans="1:9" ht="15.6">
      <c r="A8" s="40" t="str">
        <f>'2-Kosten per locatie'!A8</f>
        <v>Prijspeil</v>
      </c>
      <c r="B8" s="293">
        <f>'2-Kosten per locatie'!B8</f>
        <v>46388</v>
      </c>
      <c r="I8" s="58"/>
    </row>
    <row r="10" spans="1:9" ht="48.6">
      <c r="A10" s="437" t="s">
        <v>25</v>
      </c>
      <c r="B10" s="437" t="s">
        <v>184</v>
      </c>
      <c r="C10" s="437" t="s">
        <v>185</v>
      </c>
      <c r="D10" s="437" t="s">
        <v>186</v>
      </c>
      <c r="E10" s="437" t="s">
        <v>187</v>
      </c>
      <c r="F10" s="437" t="s">
        <v>188</v>
      </c>
      <c r="G10" s="437" t="s">
        <v>189</v>
      </c>
      <c r="H10" s="437" t="s">
        <v>190</v>
      </c>
    </row>
    <row r="11" spans="1:9">
      <c r="A11" s="322" t="s">
        <v>272</v>
      </c>
      <c r="B11" s="72" t="s">
        <v>508</v>
      </c>
      <c r="C11" s="438">
        <v>729</v>
      </c>
      <c r="D11" s="438">
        <v>1</v>
      </c>
      <c r="E11" s="520"/>
      <c r="F11" s="439">
        <f>E11*D11</f>
        <v>0</v>
      </c>
      <c r="G11" s="292"/>
      <c r="H11" s="239">
        <f>G11*F11</f>
        <v>0</v>
      </c>
    </row>
    <row r="12" spans="1:9">
      <c r="A12" s="322" t="s">
        <v>272</v>
      </c>
      <c r="B12" s="72" t="s">
        <v>509</v>
      </c>
      <c r="C12" s="438">
        <v>729</v>
      </c>
      <c r="D12" s="438">
        <v>4</v>
      </c>
      <c r="E12" s="520"/>
      <c r="F12" s="439">
        <f t="shared" ref="F12:F20" si="0">E12*D12</f>
        <v>0</v>
      </c>
      <c r="G12" s="292"/>
      <c r="H12" s="239">
        <f t="shared" ref="H12:H20" si="1">G12*F12</f>
        <v>0</v>
      </c>
    </row>
    <row r="13" spans="1:9">
      <c r="A13" s="322" t="s">
        <v>272</v>
      </c>
      <c r="B13" s="72" t="s">
        <v>524</v>
      </c>
      <c r="C13" s="438">
        <v>12</v>
      </c>
      <c r="D13" s="438">
        <v>12</v>
      </c>
      <c r="E13" s="520"/>
      <c r="F13" s="439">
        <f t="shared" ref="F13" si="2">E13*D13</f>
        <v>0</v>
      </c>
      <c r="G13" s="292"/>
      <c r="H13" s="239">
        <f t="shared" si="1"/>
        <v>0</v>
      </c>
    </row>
    <row r="14" spans="1:9">
      <c r="A14" s="322" t="s">
        <v>464</v>
      </c>
      <c r="B14" s="72" t="s">
        <v>524</v>
      </c>
      <c r="C14" s="438">
        <v>1</v>
      </c>
      <c r="D14" s="438">
        <v>12</v>
      </c>
      <c r="E14" s="520"/>
      <c r="F14" s="439">
        <f t="shared" si="0"/>
        <v>0</v>
      </c>
      <c r="G14" s="292"/>
      <c r="H14" s="239">
        <f t="shared" si="1"/>
        <v>0</v>
      </c>
    </row>
    <row r="15" spans="1:9">
      <c r="A15" s="322" t="s">
        <v>272</v>
      </c>
      <c r="B15" s="72" t="s">
        <v>525</v>
      </c>
      <c r="C15" s="438">
        <v>76.7</v>
      </c>
      <c r="D15" s="438">
        <v>26</v>
      </c>
      <c r="E15" s="520"/>
      <c r="F15" s="439">
        <f t="shared" ref="F15" si="3">E15*D15</f>
        <v>0</v>
      </c>
      <c r="G15" s="292"/>
      <c r="H15" s="239">
        <f t="shared" ref="H15" si="4">G15*F15</f>
        <v>0</v>
      </c>
      <c r="I15" s="36"/>
    </row>
    <row r="16" spans="1:9">
      <c r="A16" s="322" t="s">
        <v>464</v>
      </c>
      <c r="B16" s="72" t="s">
        <v>526</v>
      </c>
      <c r="C16" s="438">
        <v>23.3</v>
      </c>
      <c r="D16" s="438">
        <v>26</v>
      </c>
      <c r="E16" s="520"/>
      <c r="F16" s="439">
        <f t="shared" si="0"/>
        <v>0</v>
      </c>
      <c r="G16" s="292"/>
      <c r="H16" s="239">
        <f t="shared" si="1"/>
        <v>0</v>
      </c>
    </row>
    <row r="17" spans="1:8">
      <c r="A17" s="322" t="s">
        <v>272</v>
      </c>
      <c r="B17" s="72" t="s">
        <v>527</v>
      </c>
      <c r="C17" s="438"/>
      <c r="D17" s="438">
        <v>255</v>
      </c>
      <c r="E17" s="520"/>
      <c r="F17" s="439">
        <f t="shared" si="0"/>
        <v>0</v>
      </c>
      <c r="G17" s="292"/>
      <c r="H17" s="239">
        <f t="shared" si="1"/>
        <v>0</v>
      </c>
    </row>
    <row r="18" spans="1:8">
      <c r="A18" s="322"/>
      <c r="B18" s="72"/>
      <c r="C18" s="438"/>
      <c r="D18" s="438"/>
      <c r="E18" s="309"/>
      <c r="F18" s="439">
        <f t="shared" si="0"/>
        <v>0</v>
      </c>
      <c r="G18" s="292"/>
      <c r="H18" s="239">
        <f t="shared" si="1"/>
        <v>0</v>
      </c>
    </row>
    <row r="19" spans="1:8">
      <c r="A19" s="322"/>
      <c r="B19" s="72"/>
      <c r="C19" s="438"/>
      <c r="D19" s="438"/>
      <c r="E19" s="309"/>
      <c r="F19" s="439">
        <f t="shared" si="0"/>
        <v>0</v>
      </c>
      <c r="G19" s="292"/>
      <c r="H19" s="239">
        <f t="shared" si="1"/>
        <v>0</v>
      </c>
    </row>
    <row r="20" spans="1:8">
      <c r="A20" s="322"/>
      <c r="B20" s="72"/>
      <c r="C20" s="438"/>
      <c r="D20" s="438"/>
      <c r="E20" s="309"/>
      <c r="F20" s="439">
        <f t="shared" si="0"/>
        <v>0</v>
      </c>
      <c r="G20" s="292"/>
      <c r="H20" s="239">
        <f t="shared" si="1"/>
        <v>0</v>
      </c>
    </row>
    <row r="21" spans="1:8">
      <c r="A21" s="94"/>
      <c r="C21" s="84"/>
      <c r="D21" s="84"/>
      <c r="E21" s="84"/>
      <c r="F21" s="84"/>
      <c r="G21" s="84"/>
      <c r="H21" s="84"/>
    </row>
    <row r="22" spans="1:8" ht="32.4">
      <c r="A22" s="437" t="s">
        <v>25</v>
      </c>
      <c r="B22" s="214" t="s">
        <v>191</v>
      </c>
      <c r="C22" s="214"/>
      <c r="D22" s="215"/>
      <c r="E22" s="215"/>
      <c r="F22" s="215"/>
      <c r="G22" s="216"/>
      <c r="H22" s="216" t="s">
        <v>192</v>
      </c>
    </row>
    <row r="23" spans="1:8">
      <c r="A23" s="322" t="s">
        <v>0</v>
      </c>
      <c r="B23" s="72" t="s">
        <v>161</v>
      </c>
      <c r="C23" s="155"/>
      <c r="D23" s="156"/>
      <c r="E23" s="156"/>
      <c r="F23" s="156"/>
      <c r="G23" s="157"/>
      <c r="H23" s="440">
        <f>'13-Machinekosten'!Q30</f>
        <v>0</v>
      </c>
    </row>
    <row r="24" spans="1:8">
      <c r="A24" s="322"/>
      <c r="B24" s="72"/>
      <c r="C24" s="155"/>
      <c r="D24" s="156"/>
      <c r="E24" s="156"/>
      <c r="F24" s="156"/>
      <c r="G24" s="157"/>
      <c r="H24" s="290"/>
    </row>
    <row r="25" spans="1:8">
      <c r="A25" s="322"/>
      <c r="B25" s="72"/>
      <c r="C25" s="155"/>
      <c r="D25" s="156"/>
      <c r="E25" s="156"/>
      <c r="F25" s="156"/>
      <c r="G25" s="157"/>
      <c r="H25" s="290"/>
    </row>
    <row r="26" spans="1:8">
      <c r="H26" s="256"/>
    </row>
    <row r="27" spans="1:8" s="13" customFormat="1">
      <c r="A27" s="366" t="s">
        <v>36</v>
      </c>
      <c r="B27" s="378"/>
      <c r="C27" s="378"/>
      <c r="D27" s="378"/>
      <c r="E27" s="378"/>
      <c r="F27" s="441">
        <f>SUM(F11:F20)</f>
        <v>0</v>
      </c>
      <c r="G27" s="378"/>
      <c r="H27" s="288">
        <f>SUM(H11:H26)</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36"/>
  <sheetViews>
    <sheetView showGridLines="0" showZeros="0" zoomScaleNormal="100" zoomScaleSheetLayoutView="75" zoomScalePageLayoutView="50" workbookViewId="0">
      <pane ySplit="10" topLeftCell="A11" activePane="bottomLeft" state="frozen"/>
      <selection activeCell="B1" sqref="B1"/>
      <selection pane="bottomLeft"/>
    </sheetView>
  </sheetViews>
  <sheetFormatPr defaultColWidth="11.44140625" defaultRowHeight="13.2"/>
  <cols>
    <col min="1" max="1" width="32.44140625" style="58" customWidth="1"/>
    <col min="2" max="6" width="21.77734375" style="58" customWidth="1"/>
    <col min="7" max="16384" width="11.44140625" style="2"/>
  </cols>
  <sheetData>
    <row r="1" spans="1:6">
      <c r="A1" s="485" t="s">
        <v>5</v>
      </c>
      <c r="B1" s="158"/>
      <c r="C1" s="158"/>
      <c r="D1" s="159"/>
    </row>
    <row r="2" spans="1:6">
      <c r="A2" s="96"/>
    </row>
    <row r="3" spans="1:6" ht="15.6">
      <c r="A3" s="40" t="str">
        <f>'2-Kosten per locatie'!A3</f>
        <v>Naam opdrachtgever</v>
      </c>
      <c r="B3" s="49" t="str">
        <f>'2-Kosten per locatie'!B3</f>
        <v>Gemeente Barneveld</v>
      </c>
      <c r="C3" s="160"/>
      <c r="D3" s="160"/>
    </row>
    <row r="4" spans="1:6" ht="15.6">
      <c r="A4" s="40" t="str">
        <f>'2-Kosten per locatie'!A4</f>
        <v>Calculatie onderdeel</v>
      </c>
      <c r="B4" s="49" t="str">
        <f ca="1">MID(CELL("bestandsnaam",$C$9),SEARCH("]",CELL("bestandsnaam",$C$9),1)+1,256)</f>
        <v>9-Afroepprijs</v>
      </c>
      <c r="C4" s="161"/>
      <c r="D4" s="162"/>
    </row>
    <row r="5" spans="1:6" ht="15.6">
      <c r="A5" s="40" t="str">
        <f>'2-Kosten per locatie'!A5</f>
        <v>Gebouw/plaats</v>
      </c>
      <c r="B5" s="49" t="str">
        <f>'2-Kosten per locatie'!B5</f>
        <v>Divers</v>
      </c>
      <c r="C5" s="161"/>
      <c r="D5" s="162"/>
    </row>
    <row r="6" spans="1:6" ht="15.6">
      <c r="A6" s="40" t="str">
        <f>'2-Kosten per locatie'!A6</f>
        <v>Referentie nummer</v>
      </c>
      <c r="B6" s="49">
        <f>'2-Kosten per locatie'!B6</f>
        <v>0</v>
      </c>
      <c r="C6" s="161"/>
      <c r="D6" s="162"/>
    </row>
    <row r="7" spans="1:6" ht="15.6">
      <c r="A7" s="40" t="str">
        <f>'2-Kosten per locatie'!A7</f>
        <v>Naam dienstverlener</v>
      </c>
      <c r="B7" s="49">
        <f>'2-Kosten per locatie'!B7</f>
        <v>0</v>
      </c>
      <c r="C7" s="161"/>
      <c r="D7" s="162"/>
    </row>
    <row r="8" spans="1:6" ht="15.6">
      <c r="A8" s="40" t="str">
        <f>'2-Kosten per locatie'!A8</f>
        <v>Prijspeil</v>
      </c>
      <c r="B8" s="264">
        <f>'2-Kosten per locatie'!B8</f>
        <v>46388</v>
      </c>
      <c r="C8" s="161"/>
      <c r="D8" s="162"/>
    </row>
    <row r="9" spans="1:6" ht="15.6">
      <c r="A9" s="163"/>
      <c r="B9" s="164"/>
      <c r="C9" s="161"/>
      <c r="D9" s="162"/>
    </row>
    <row r="10" spans="1:6">
      <c r="A10" s="165"/>
      <c r="B10" s="166"/>
      <c r="C10" s="166"/>
      <c r="D10" s="166"/>
    </row>
    <row r="11" spans="1:6" ht="18.600000000000001">
      <c r="A11" s="442" t="s">
        <v>559</v>
      </c>
      <c r="B11" s="447"/>
      <c r="C11" s="447"/>
      <c r="D11" s="447"/>
      <c r="E11" s="447"/>
      <c r="F11" s="448"/>
    </row>
    <row r="12" spans="1:6">
      <c r="A12" s="449"/>
      <c r="B12" s="449"/>
      <c r="C12" s="449"/>
      <c r="D12" s="449"/>
    </row>
    <row r="13" spans="1:6">
      <c r="A13" s="450" t="s">
        <v>195</v>
      </c>
      <c r="B13" s="554" t="s">
        <v>194</v>
      </c>
      <c r="C13" s="555"/>
      <c r="D13" s="555"/>
      <c r="E13" s="556"/>
      <c r="F13" s="451" t="s">
        <v>563</v>
      </c>
    </row>
    <row r="14" spans="1:6">
      <c r="A14" s="445" t="s">
        <v>560</v>
      </c>
      <c r="B14" s="551" t="s">
        <v>561</v>
      </c>
      <c r="C14" s="552"/>
      <c r="D14" s="552"/>
      <c r="E14" s="553"/>
      <c r="F14" s="446"/>
    </row>
    <row r="15" spans="1:6">
      <c r="A15" s="445" t="s">
        <v>562</v>
      </c>
      <c r="B15" s="551" t="s">
        <v>561</v>
      </c>
      <c r="C15" s="552"/>
      <c r="D15" s="552"/>
      <c r="E15" s="553"/>
      <c r="F15" s="446"/>
    </row>
    <row r="17" spans="1:6" ht="18.600000000000001">
      <c r="A17" s="442" t="s">
        <v>196</v>
      </c>
      <c r="B17" s="447"/>
      <c r="C17" s="447"/>
      <c r="D17" s="447"/>
      <c r="E17" s="447"/>
      <c r="F17" s="448"/>
    </row>
    <row r="18" spans="1:6">
      <c r="A18" s="168"/>
      <c r="B18" s="167"/>
      <c r="C18" s="167"/>
      <c r="D18" s="158"/>
    </row>
    <row r="19" spans="1:6">
      <c r="A19" s="444" t="s">
        <v>193</v>
      </c>
      <c r="B19" s="443" t="s">
        <v>194</v>
      </c>
      <c r="C19" s="449"/>
      <c r="D19" s="449"/>
      <c r="E19" s="449"/>
      <c r="F19" s="452" t="s">
        <v>197</v>
      </c>
    </row>
    <row r="20" spans="1:6">
      <c r="A20" s="445" t="s">
        <v>198</v>
      </c>
      <c r="B20" s="169" t="s">
        <v>199</v>
      </c>
      <c r="C20" s="169"/>
      <c r="D20" s="169"/>
      <c r="E20" s="169"/>
      <c r="F20" s="446"/>
    </row>
    <row r="21" spans="1:6">
      <c r="A21" s="445" t="s">
        <v>198</v>
      </c>
      <c r="B21" s="169" t="s">
        <v>200</v>
      </c>
      <c r="C21" s="169"/>
      <c r="D21" s="169"/>
      <c r="E21" s="169"/>
      <c r="F21" s="446"/>
    </row>
    <row r="22" spans="1:6">
      <c r="A22" s="445" t="s">
        <v>198</v>
      </c>
      <c r="B22" s="169" t="s">
        <v>201</v>
      </c>
      <c r="C22" s="169"/>
      <c r="D22" s="169"/>
      <c r="E22" s="169"/>
      <c r="F22" s="446"/>
    </row>
    <row r="23" spans="1:6">
      <c r="A23" s="445" t="s">
        <v>202</v>
      </c>
      <c r="B23" s="169" t="s">
        <v>199</v>
      </c>
      <c r="C23" s="169"/>
      <c r="D23" s="169"/>
      <c r="E23" s="169"/>
      <c r="F23" s="446"/>
    </row>
    <row r="24" spans="1:6">
      <c r="A24" s="167"/>
      <c r="B24" s="158"/>
      <c r="C24" s="158"/>
      <c r="D24" s="167"/>
    </row>
    <row r="25" spans="1:6" s="12" customFormat="1">
      <c r="A25" s="167"/>
      <c r="B25" s="167"/>
      <c r="C25" s="42"/>
      <c r="D25" s="42"/>
      <c r="E25" s="42"/>
      <c r="F25" s="42"/>
    </row>
    <row r="26" spans="1:6" ht="15.6">
      <c r="A26" s="217" t="s">
        <v>203</v>
      </c>
      <c r="B26" s="158"/>
      <c r="C26" s="158"/>
      <c r="D26" s="167"/>
    </row>
    <row r="27" spans="1:6">
      <c r="A27" s="167" t="s">
        <v>204</v>
      </c>
    </row>
    <row r="28" spans="1:6">
      <c r="A28" s="167" t="s">
        <v>205</v>
      </c>
      <c r="B28" s="158"/>
      <c r="C28" s="158"/>
      <c r="D28" s="167"/>
    </row>
    <row r="29" spans="1:6" ht="12.75" customHeight="1">
      <c r="A29" s="167"/>
      <c r="B29" s="158"/>
      <c r="C29" s="158"/>
      <c r="D29" s="167"/>
    </row>
    <row r="30" spans="1:6">
      <c r="A30" s="167"/>
      <c r="B30" s="158"/>
      <c r="C30" s="158"/>
      <c r="D30" s="167"/>
    </row>
    <row r="31" spans="1:6">
      <c r="A31" s="167"/>
      <c r="B31" s="158"/>
      <c r="C31" s="158"/>
      <c r="D31" s="167"/>
    </row>
    <row r="33" spans="1:4">
      <c r="A33" s="170"/>
      <c r="B33" s="158"/>
      <c r="C33" s="158"/>
      <c r="D33" s="158"/>
    </row>
    <row r="34" spans="1:4">
      <c r="A34" s="170"/>
    </row>
    <row r="35" spans="1:4">
      <c r="A35" s="170"/>
    </row>
    <row r="36" spans="1:4">
      <c r="A36" s="170"/>
    </row>
  </sheetData>
  <mergeCells count="3">
    <mergeCell ref="B14:E14"/>
    <mergeCell ref="B15:E15"/>
    <mergeCell ref="B13:E13"/>
  </mergeCells>
  <phoneticPr fontId="11"/>
  <conditionalFormatting sqref="E11:F12 F13:F15">
    <cfRule type="cellIs" dxfId="2" priority="1" stopIfTrue="1" operator="equal">
      <formula>"nvt"</formula>
    </cfRule>
  </conditionalFormatting>
  <conditionalFormatting sqref="F20:F23">
    <cfRule type="cellIs" dxfId="1"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beaf7aa-9b33-4abc-bc0f-b926eb6c1d69">
      <Terms xmlns="http://schemas.microsoft.com/office/infopath/2007/PartnerControls"/>
    </lcf76f155ced4ddcb4097134ff3c332f>
    <TaxCatchAll xmlns="277ecb1c-f5e5-4756-8487-fc551feec2f0" xsi:nil="true"/>
    <SharedWithUsers xmlns="277ecb1c-f5e5-4756-8487-fc551feec2f0">
      <UserInfo>
        <DisplayName>Rob Toorenburgh</DisplayName>
        <AccountId>31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5" ma:contentTypeDescription="Een nieuw document maken." ma:contentTypeScope="" ma:versionID="66dbf32f5214b085cc8b15242e35fd4e">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29ad2d680fe5f73fd2c7c3e5d1f65d18"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3E4837-CE50-4A32-A54A-9639DA900BA8}">
  <ds:schemaRefs>
    <ds:schemaRef ds:uri="http://schemas.openxmlformats.org/package/2006/metadata/core-properties"/>
    <ds:schemaRef ds:uri="http://www.w3.org/XML/1998/namespace"/>
    <ds:schemaRef ds:uri="http://purl.org/dc/terms/"/>
    <ds:schemaRef ds:uri="http://schemas.microsoft.com/office/infopath/2007/PartnerControls"/>
    <ds:schemaRef ds:uri="http://schemas.microsoft.com/office/2006/metadata/properties"/>
    <ds:schemaRef ds:uri="http://purl.org/dc/dcmitype/"/>
    <ds:schemaRef ds:uri="http://schemas.microsoft.com/office/2006/documentManagement/types"/>
    <ds:schemaRef ds:uri="2bdcc3f3-49a5-47c4-ae00-3e6a3f4b5f23"/>
    <ds:schemaRef ds:uri="96af1940-cf19-4b50-92f4-053594182cfa"/>
    <ds:schemaRef ds:uri="http://purl.org/dc/elements/1.1/"/>
  </ds:schemaRefs>
</ds:datastoreItem>
</file>

<file path=customXml/itemProps2.xml><?xml version="1.0" encoding="utf-8"?>
<ds:datastoreItem xmlns:ds="http://schemas.openxmlformats.org/officeDocument/2006/customXml" ds:itemID="{EFC1FBAD-64C0-4561-9016-D2D0B555B83F}"/>
</file>

<file path=customXml/itemProps3.xml><?xml version="1.0" encoding="utf-8"?>
<ds:datastoreItem xmlns:ds="http://schemas.openxmlformats.org/officeDocument/2006/customXml" ds:itemID="{CB9357A0-74EE-4EF5-91F0-DC5FEC2CAE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18</vt:i4>
      </vt:variant>
    </vt:vector>
  </HeadingPairs>
  <TitlesOfParts>
    <vt:vector size="31"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11-Vloeronderhoud</vt:lpstr>
      <vt:lpstr>12-Sanitaire voorzieningen</vt:lpstr>
      <vt:lpstr>13-Machinekosten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'11-Vloeronderhoud'!Afdruktitels</vt:lpstr>
      <vt:lpstr>'12-Sanitaire voorzieningen'!Afdruktitels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Matthijs Bergers | CONTRAST</cp:lastModifiedBy>
  <cp:revision/>
  <dcterms:created xsi:type="dcterms:W3CDTF">1999-10-05T12:28:40Z</dcterms:created>
  <dcterms:modified xsi:type="dcterms:W3CDTF">2026-05-29T11:00:18Z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y fmtid="{D5CDD505-2E9C-101B-9397-08002B2CF9AE}" pid="3" name="MediaServiceImageTags">
    <vt:lpwstr/>
  </property>
</Properties>
</file>