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A\EXTERN\Meerscholen (voorheen meerwegen)\Aanbesteding 2026\Uitlever concept\"/>
    </mc:Choice>
  </mc:AlternateContent>
  <xr:revisionPtr revIDLastSave="0" documentId="8_{4023C0B6-C6B5-4D42-9822-0ECF01484736}" xr6:coauthVersionLast="47" xr6:coauthVersionMax="47" xr10:uidLastSave="{00000000-0000-0000-0000-000000000000}"/>
  <bookViews>
    <workbookView xWindow="-28920" yWindow="-120" windowWidth="29040" windowHeight="15720" tabRatio="933" firstSheet="2" activeTab="14" xr2:uid="{E190E26A-33F6-45B9-AABF-D8C962F1B979}"/>
  </bookViews>
  <sheets>
    <sheet name="Omreken" sheetId="1" r:id="rId1"/>
    <sheet name="Tariefopbouw" sheetId="2" r:id="rId2"/>
    <sheet name="Categorienormen" sheetId="3" r:id="rId3"/>
    <sheet name="Regulier werk" sheetId="4" r:id="rId4"/>
    <sheet name="Ruimten werkdag" sheetId="5" r:id="rId5"/>
    <sheet name="Objectinformatie" sheetId="6" r:id="rId6"/>
    <sheet name="Objecten" sheetId="7" r:id="rId7"/>
    <sheet name="Totaalblad Objecten" sheetId="8" r:id="rId8"/>
    <sheet name="Additioneel werk" sheetId="9" r:id="rId9"/>
    <sheet name="Additioneel werk per locatie" sheetId="10" r:id="rId10"/>
    <sheet name="Afroep incidenteel" sheetId="11" r:id="rId11"/>
    <sheet name="Regiewerk" sheetId="12" r:id="rId12"/>
    <sheet name="Glas" sheetId="13" r:id="rId13"/>
    <sheet name="Glas per locatie" sheetId="14" r:id="rId14"/>
    <sheet name="Totaal" sheetId="15" r:id="rId15"/>
  </sheets>
  <definedNames>
    <definedName name="_xlnm._FilterDatabase" localSheetId="4" hidden="1">'Ruimten werkdag'!$A$3:$U$734</definedName>
    <definedName name="_xlnm.Print_Titles" localSheetId="8">'Additioneel werk'!$1:$3</definedName>
    <definedName name="_xlnm.Print_Titles" localSheetId="9">'Additioneel werk per locatie'!$1:$3</definedName>
    <definedName name="_xlnm.Print_Titles" localSheetId="10">'Afroep incidenteel'!$1:$3</definedName>
    <definedName name="_xlnm.Print_Titles" localSheetId="2">Categorienormen!$1:$3</definedName>
    <definedName name="_xlnm.Print_Titles" localSheetId="12">Glas!$1:$3</definedName>
    <definedName name="_xlnm.Print_Titles" localSheetId="13">'Glas per locatie'!$1:$3</definedName>
    <definedName name="_xlnm.Print_Titles" localSheetId="6">Objecten!$1:$3</definedName>
    <definedName name="_xlnm.Print_Titles" localSheetId="5">Objectinformatie!$A:$D,Objectinformatie!$1:$4</definedName>
    <definedName name="_xlnm.Print_Titles" localSheetId="11">Regiewerk!$1:$3</definedName>
    <definedName name="_xlnm.Print_Titles" localSheetId="3">'Regulier werk'!$1:$3</definedName>
    <definedName name="_xlnm.Print_Titles" localSheetId="4">'Ruimten werkdag'!$1:$3</definedName>
    <definedName name="_xlnm.Print_Titles" localSheetId="1">Tariefopbouw!$A:$A,Tariefopbouw!$1:$2</definedName>
    <definedName name="_xlnm.Print_Titles" localSheetId="14">Totaal!$1:$3</definedName>
    <definedName name="_xlnm.Print_Titles" localSheetId="7">'Totaalblad Objecten'!$1:$3</definedName>
    <definedName name="catdw_1_AHB_1">Categorienormen!$F$34</definedName>
    <definedName name="catdw_1_AHV_40">Categorienormen!$F$35</definedName>
    <definedName name="catdw_1_AZB_1">Categorienormen!$F$36</definedName>
    <definedName name="catdw_1_AZV_40">Categorienormen!$F$37</definedName>
    <definedName name="catdw_1_BHB_1">Categorienormen!$F$6</definedName>
    <definedName name="catdw_1_BHV_40">Categorienormen!$F$7</definedName>
    <definedName name="catdw_1_BZB_1">Categorienormen!$F$8</definedName>
    <definedName name="catdw_1_BZV_40">Categorienormen!$F$9</definedName>
    <definedName name="catdw_1_BZV_42">Categorienormen!$F$10</definedName>
    <definedName name="catdw_1_DHB_1">Categorienormen!$F$27</definedName>
    <definedName name="catdw_1_DHV_40">Categorienormen!$F$28</definedName>
    <definedName name="catdw_1_EHB_1">Categorienormen!$F$38</definedName>
    <definedName name="catdw_1_EHV_40">Categorienormen!$F$39</definedName>
    <definedName name="catdw_1_EZB_1">Categorienormen!$F$40</definedName>
    <definedName name="catdw_1_EZV_40">Categorienormen!$F$41</definedName>
    <definedName name="catdw_1_EZV_42">Categorienormen!$F$42</definedName>
    <definedName name="catdw_1_FHB_1">Categorienormen!$F$43</definedName>
    <definedName name="catdw_1_FHV_40">Categorienormen!$F$44</definedName>
    <definedName name="catdw_1_GHB_1">Categorienormen!$F$45</definedName>
    <definedName name="catdw_1_GHV_40">Categorienormen!$F$46</definedName>
    <definedName name="catdw_1_IHB_1">Categorienormen!$F$47</definedName>
    <definedName name="catdw_1_IHV_40">Categorienormen!$F$48</definedName>
    <definedName name="catdw_1_KHB_1">Categorienormen!$F$29</definedName>
    <definedName name="catdw_1_KHV_40">Categorienormen!$F$30</definedName>
    <definedName name="catdw_1_LHB_1">Categorienormen!$F$11</definedName>
    <definedName name="catdw_1_LHV_40">Categorienormen!$F$12</definedName>
    <definedName name="catdw_1_LZB_1">Categorienormen!$F$13</definedName>
    <definedName name="catdw_1_LZV_40">Categorienormen!$F$14</definedName>
    <definedName name="catdw_1_MHB_1">Categorienormen!$F$15</definedName>
    <definedName name="catdw_1_MHV_40">Categorienormen!$F$16</definedName>
    <definedName name="catdw_1_MZB_1">Categorienormen!$F$17</definedName>
    <definedName name="catdw_1_MZV_40">Categorienormen!$F$18</definedName>
    <definedName name="catdw_1_OHB_1">Categorienormen!$F$49</definedName>
    <definedName name="catdw_1_OHV_10">Categorienormen!$F$50</definedName>
    <definedName name="catdw_1_OHV_40">Categorienormen!$F$51</definedName>
    <definedName name="catdw_1_PHB_1">Categorienormen!$F$52</definedName>
    <definedName name="catdw_1_PHV_40">Categorienormen!$F$53</definedName>
    <definedName name="catdw_1_PHV_42">Categorienormen!$F$54</definedName>
    <definedName name="catdw_1_PMHB_1">Categorienormen!$F$21</definedName>
    <definedName name="catdw_1_PMHV_40">Categorienormen!$F$22</definedName>
    <definedName name="catdw_1_PTHB_1">Categorienormen!$F$23</definedName>
    <definedName name="catdw_1_PTHV_40">Categorienormen!$F$24</definedName>
    <definedName name="catdw_1_PUHB_1">Categorienormen!$F$25</definedName>
    <definedName name="catdw_1_PUHV_40">Categorienormen!$F$26</definedName>
    <definedName name="catdw_1_RHB_1">Categorienormen!$F$19</definedName>
    <definedName name="catdw_1_RHV_40">Categorienormen!$F$20</definedName>
    <definedName name="catdw_1_SHB_1">Categorienormen!$F$31</definedName>
    <definedName name="catdw_1_SHV_40">Categorienormen!$F$32</definedName>
    <definedName name="catdw_1_SHV_42">Categorienormen!$F$33</definedName>
    <definedName name="catdw_1_THB_1">Categorienormen!$F$55</definedName>
    <definedName name="catdw_1_THV_40">Categorienormen!$F$56</definedName>
    <definedName name="catdw_1_THV_42">Categorienormen!$F$57</definedName>
    <definedName name="catdw_1_VHB_1">Categorienormen!$F$58</definedName>
    <definedName name="catdw_1_VHV_40">Categorienormen!$F$59</definedName>
    <definedName name="catdw_1_VHV_42">Categorienormen!$F$60</definedName>
    <definedName name="catdw_1_VZB_1">Categorienormen!$F$61</definedName>
    <definedName name="catdw_1_VZV_40">Categorienormen!$F$62</definedName>
    <definedName name="catfd_1_AHB_1">Categorienormen!$C$34</definedName>
    <definedName name="catfd_1_AHV_40">Categorienormen!$C$35</definedName>
    <definedName name="catfd_1_AZB_1">Categorienormen!$C$36</definedName>
    <definedName name="catfd_1_AZV_40">Categorienormen!$C$37</definedName>
    <definedName name="catfd_1_BHB_1">Categorienormen!$C$6</definedName>
    <definedName name="catfd_1_BHV_40">Categorienormen!$C$7</definedName>
    <definedName name="catfd_1_BZB_1">Categorienormen!$C$8</definedName>
    <definedName name="catfd_1_BZV_40">Categorienormen!$C$9</definedName>
    <definedName name="catfd_1_BZV_42">Categorienormen!$C$10</definedName>
    <definedName name="catfd_1_DHB_1">Categorienormen!$C$27</definedName>
    <definedName name="catfd_1_DHV_40">Categorienormen!$C$28</definedName>
    <definedName name="catfd_1_EHB_1">Categorienormen!$C$38</definedName>
    <definedName name="catfd_1_EHV_40">Categorienormen!$C$39</definedName>
    <definedName name="catfd_1_EZB_1">Categorienormen!$C$40</definedName>
    <definedName name="catfd_1_EZV_40">Categorienormen!$C$41</definedName>
    <definedName name="catfd_1_EZV_42">Categorienormen!$C$42</definedName>
    <definedName name="catfd_1_FHB_1">Categorienormen!$C$43</definedName>
    <definedName name="catfd_1_FHV_40">Categorienormen!$C$44</definedName>
    <definedName name="catfd_1_GHB_1">Categorienormen!$C$45</definedName>
    <definedName name="catfd_1_GHV_40">Categorienormen!$C$46</definedName>
    <definedName name="catfd_1_IHB_1">Categorienormen!$C$47</definedName>
    <definedName name="catfd_1_IHV_40">Categorienormen!$C$48</definedName>
    <definedName name="catfd_1_KHB_1">Categorienormen!$C$29</definedName>
    <definedName name="catfd_1_KHV_40">Categorienormen!$C$30</definedName>
    <definedName name="catfd_1_LHB_1">Categorienormen!$C$11</definedName>
    <definedName name="catfd_1_LHV_40">Categorienormen!$C$12</definedName>
    <definedName name="catfd_1_LZB_1">Categorienormen!$C$13</definedName>
    <definedName name="catfd_1_LZV_40">Categorienormen!$C$14</definedName>
    <definedName name="catfd_1_MHB_1">Categorienormen!$C$15</definedName>
    <definedName name="catfd_1_MHV_40">Categorienormen!$C$16</definedName>
    <definedName name="catfd_1_MZB_1">Categorienormen!$C$17</definedName>
    <definedName name="catfd_1_MZV_40">Categorienormen!$C$18</definedName>
    <definedName name="catfd_1_OHB_1">Categorienormen!$C$49</definedName>
    <definedName name="catfd_1_OHV_10">Categorienormen!$C$50</definedName>
    <definedName name="catfd_1_OHV_40">Categorienormen!$C$51</definedName>
    <definedName name="catfd_1_PHB_1">Categorienormen!$C$52</definedName>
    <definedName name="catfd_1_PHV_40">Categorienormen!$C$53</definedName>
    <definedName name="catfd_1_PHV_42">Categorienormen!$C$54</definedName>
    <definedName name="catfd_1_PMHB_1">Categorienormen!$C$21</definedName>
    <definedName name="catfd_1_PMHV_40">Categorienormen!$C$22</definedName>
    <definedName name="catfd_1_PTHB_1">Categorienormen!$C$23</definedName>
    <definedName name="catfd_1_PTHV_40">Categorienormen!$C$24</definedName>
    <definedName name="catfd_1_PUHB_1">Categorienormen!$C$25</definedName>
    <definedName name="catfd_1_PUHV_40">Categorienormen!$C$26</definedName>
    <definedName name="catfd_1_RHB_1">Categorienormen!$C$19</definedName>
    <definedName name="catfd_1_RHV_40">Categorienormen!$C$20</definedName>
    <definedName name="catfd_1_SHB_1">Categorienormen!$C$31</definedName>
    <definedName name="catfd_1_SHV_40">Categorienormen!$C$32</definedName>
    <definedName name="catfd_1_SHV_42">Categorienormen!$C$33</definedName>
    <definedName name="catfd_1_THB_1">Categorienormen!$C$55</definedName>
    <definedName name="catfd_1_THV_40">Categorienormen!$C$56</definedName>
    <definedName name="catfd_1_THV_42">Categorienormen!$C$57</definedName>
    <definedName name="catfd_1_VHB_1">Categorienormen!$C$58</definedName>
    <definedName name="catfd_1_VHV_40">Categorienormen!$C$59</definedName>
    <definedName name="catfd_1_VHV_42">Categorienormen!$C$60</definedName>
    <definedName name="catfd_1_VZB_1">Categorienormen!$C$61</definedName>
    <definedName name="catfd_1_VZV_40">Categorienormen!$C$62</definedName>
    <definedName name="catpn_1_AHB_1">Categorienormen!$E$34</definedName>
    <definedName name="catpn_1_AHV_40">Categorienormen!$E$35</definedName>
    <definedName name="catpn_1_AZB_1">Categorienormen!$E$36</definedName>
    <definedName name="catpn_1_AZV_40">Categorienormen!$E$37</definedName>
    <definedName name="catpn_1_BHB_1">Categorienormen!$E$6</definedName>
    <definedName name="catpn_1_BHV_40">Categorienormen!$E$7</definedName>
    <definedName name="catpn_1_BZB_1">Categorienormen!$E$8</definedName>
    <definedName name="catpn_1_BZV_40">Categorienormen!$E$9</definedName>
    <definedName name="catpn_1_BZV_42">Categorienormen!$E$10</definedName>
    <definedName name="catpn_1_DHB_1">Categorienormen!$E$27</definedName>
    <definedName name="catpn_1_DHV_40">Categorienormen!$E$28</definedName>
    <definedName name="catpn_1_EHB_1">Categorienormen!$E$38</definedName>
    <definedName name="catpn_1_EHV_40">Categorienormen!$E$39</definedName>
    <definedName name="catpn_1_EZB_1">Categorienormen!$E$40</definedName>
    <definedName name="catpn_1_EZV_40">Categorienormen!$E$41</definedName>
    <definedName name="catpn_1_EZV_42">Categorienormen!$E$42</definedName>
    <definedName name="catpn_1_FHB_1">Categorienormen!$E$43</definedName>
    <definedName name="catpn_1_FHV_40">Categorienormen!$E$44</definedName>
    <definedName name="catpn_1_GHB_1">Categorienormen!$E$45</definedName>
    <definedName name="catpn_1_GHV_40">Categorienormen!$E$46</definedName>
    <definedName name="catpn_1_IHB_1">Categorienormen!$E$47</definedName>
    <definedName name="catpn_1_IHV_40">Categorienormen!$E$48</definedName>
    <definedName name="catpn_1_KHB_1">Categorienormen!$E$29</definedName>
    <definedName name="catpn_1_KHV_40">Categorienormen!$E$30</definedName>
    <definedName name="catpn_1_LHB_1">Categorienormen!$E$11</definedName>
    <definedName name="catpn_1_LHV_40">Categorienormen!$E$12</definedName>
    <definedName name="catpn_1_LZB_1">Categorienormen!$E$13</definedName>
    <definedName name="catpn_1_LZV_40">Categorienormen!$E$14</definedName>
    <definedName name="catpn_1_MHB_1">Categorienormen!$E$15</definedName>
    <definedName name="catpn_1_MHV_40">Categorienormen!$E$16</definedName>
    <definedName name="catpn_1_MZB_1">Categorienormen!$E$17</definedName>
    <definedName name="catpn_1_MZV_40">Categorienormen!$E$18</definedName>
    <definedName name="catpn_1_OHB_1">Categorienormen!$E$49</definedName>
    <definedName name="catpn_1_OHV_10">Categorienormen!$E$50</definedName>
    <definedName name="catpn_1_OHV_40">Categorienormen!$E$51</definedName>
    <definedName name="catpn_1_PHB_1">Categorienormen!$E$52</definedName>
    <definedName name="catpn_1_PHV_40">Categorienormen!$E$53</definedName>
    <definedName name="catpn_1_PHV_42">Categorienormen!$E$54</definedName>
    <definedName name="catpn_1_PMHB_1">Categorienormen!$E$21</definedName>
    <definedName name="catpn_1_PMHV_40">Categorienormen!$E$22</definedName>
    <definedName name="catpn_1_PTHB_1">Categorienormen!$E$23</definedName>
    <definedName name="catpn_1_PTHV_40">Categorienormen!$E$24</definedName>
    <definedName name="catpn_1_PUHB_1">Categorienormen!$E$25</definedName>
    <definedName name="catpn_1_PUHV_40">Categorienormen!$E$26</definedName>
    <definedName name="catpn_1_RHB_1">Categorienormen!$E$19</definedName>
    <definedName name="catpn_1_RHV_40">Categorienormen!$E$20</definedName>
    <definedName name="catpn_1_SHB_1">Categorienormen!$E$31</definedName>
    <definedName name="catpn_1_SHV_40">Categorienormen!$E$32</definedName>
    <definedName name="catpn_1_SHV_42">Categorienormen!$E$33</definedName>
    <definedName name="catpn_1_THB_1">Categorienormen!$E$55</definedName>
    <definedName name="catpn_1_THV_40">Categorienormen!$E$56</definedName>
    <definedName name="catpn_1_THV_42">Categorienormen!$E$57</definedName>
    <definedName name="catpn_1_VHB_1">Categorienormen!$E$58</definedName>
    <definedName name="catpn_1_VHV_40">Categorienormen!$E$59</definedName>
    <definedName name="catpn_1_VHV_42">Categorienormen!$E$60</definedName>
    <definedName name="catpn_1_VZB_1">Categorienormen!$E$61</definedName>
    <definedName name="catpn_1_VZV_40">Categorienormen!$E$62</definedName>
    <definedName name="cattf_1_AHB_1">Categorienormen!$H$34</definedName>
    <definedName name="cattf_1_AHV_40">Categorienormen!$H$35</definedName>
    <definedName name="cattf_1_AZB_1">Categorienormen!$H$36</definedName>
    <definedName name="cattf_1_AZV_40">Categorienormen!$H$37</definedName>
    <definedName name="cattf_1_BHB_1">Categorienormen!$H$6</definedName>
    <definedName name="cattf_1_BHV_40">Categorienormen!$H$7</definedName>
    <definedName name="cattf_1_BZB_1">Categorienormen!$H$8</definedName>
    <definedName name="cattf_1_BZV_40">Categorienormen!$H$9</definedName>
    <definedName name="cattf_1_BZV_42">Categorienormen!$H$10</definedName>
    <definedName name="cattf_1_DHB_1">Categorienormen!$H$27</definedName>
    <definedName name="cattf_1_DHV_40">Categorienormen!$H$28</definedName>
    <definedName name="cattf_1_EHB_1">Categorienormen!$H$38</definedName>
    <definedName name="cattf_1_EHV_40">Categorienormen!$H$39</definedName>
    <definedName name="cattf_1_EZB_1">Categorienormen!$H$40</definedName>
    <definedName name="cattf_1_EZV_40">Categorienormen!$H$41</definedName>
    <definedName name="cattf_1_EZV_42">Categorienormen!$H$42</definedName>
    <definedName name="cattf_1_FHB_1">Categorienormen!$H$43</definedName>
    <definedName name="cattf_1_FHV_40">Categorienormen!$H$44</definedName>
    <definedName name="cattf_1_GHB_1">Categorienormen!$H$45</definedName>
    <definedName name="cattf_1_GHV_40">Categorienormen!$H$46</definedName>
    <definedName name="cattf_1_IHB_1">Categorienormen!$H$47</definedName>
    <definedName name="cattf_1_IHV_40">Categorienormen!$H$48</definedName>
    <definedName name="cattf_1_KHB_1">Categorienormen!$H$29</definedName>
    <definedName name="cattf_1_KHV_40">Categorienormen!$H$30</definedName>
    <definedName name="cattf_1_LHB_1">Categorienormen!$H$11</definedName>
    <definedName name="cattf_1_LHV_40">Categorienormen!$H$12</definedName>
    <definedName name="cattf_1_LZB_1">Categorienormen!$H$13</definedName>
    <definedName name="cattf_1_LZV_40">Categorienormen!$H$14</definedName>
    <definedName name="cattf_1_MHB_1">Categorienormen!$H$15</definedName>
    <definedName name="cattf_1_MHV_40">Categorienormen!$H$16</definedName>
    <definedName name="cattf_1_MZB_1">Categorienormen!$H$17</definedName>
    <definedName name="cattf_1_MZV_40">Categorienormen!$H$18</definedName>
    <definedName name="cattf_1_OHB_1">Categorienormen!$H$49</definedName>
    <definedName name="cattf_1_OHV_10">Categorienormen!$H$50</definedName>
    <definedName name="cattf_1_OHV_40">Categorienormen!$H$51</definedName>
    <definedName name="cattf_1_PHB_1">Categorienormen!$H$52</definedName>
    <definedName name="cattf_1_PHV_40">Categorienormen!$H$53</definedName>
    <definedName name="cattf_1_PHV_42">Categorienormen!$H$54</definedName>
    <definedName name="cattf_1_PMHB_1">Categorienormen!$H$21</definedName>
    <definedName name="cattf_1_PMHV_40">Categorienormen!$H$22</definedName>
    <definedName name="cattf_1_PTHB_1">Categorienormen!$H$23</definedName>
    <definedName name="cattf_1_PTHV_40">Categorienormen!$H$24</definedName>
    <definedName name="cattf_1_PUHB_1">Categorienormen!$H$25</definedName>
    <definedName name="cattf_1_PUHV_40">Categorienormen!$H$26</definedName>
    <definedName name="cattf_1_RHB_1">Categorienormen!$H$19</definedName>
    <definedName name="cattf_1_RHV_40">Categorienormen!$H$20</definedName>
    <definedName name="cattf_1_SHB_1">Categorienormen!$H$31</definedName>
    <definedName name="cattf_1_SHV_40">Categorienormen!$H$32</definedName>
    <definedName name="cattf_1_SHV_42">Categorienormen!$H$33</definedName>
    <definedName name="cattf_1_THB_1">Categorienormen!$H$55</definedName>
    <definedName name="cattf_1_THV_40">Categorienormen!$H$56</definedName>
    <definedName name="cattf_1_THV_42">Categorienormen!$H$57</definedName>
    <definedName name="cattf_1_VHB_1">Categorienormen!$H$58</definedName>
    <definedName name="cattf_1_VHV_40">Categorienormen!$H$59</definedName>
    <definedName name="cattf_1_VHV_42">Categorienormen!$H$60</definedName>
    <definedName name="cattf_1_VZB_1">Categorienormen!$H$61</definedName>
    <definedName name="cattf_1_VZV_40">Categorienormen!$H$62</definedName>
    <definedName name="dagenperjaar1">Omreken!$B$9</definedName>
    <definedName name="dagenperweek1">Omreken!$B$10</definedName>
    <definedName name="dagsoorttabel1">Omreken!$A$13:$B$30</definedName>
    <definedName name="dagwerk15">'Regulier werk'!$H$55</definedName>
    <definedName name="dagwerk16">'Regulier werk'!$H$6</definedName>
    <definedName name="dagwerk17">'Regulier werk'!$H$7</definedName>
    <definedName name="dagwerk18">'Regulier werk'!$H$8</definedName>
    <definedName name="dagwerk19">'Regulier werk'!$H$9</definedName>
    <definedName name="dagwerk20">'Regulier werk'!$H$10</definedName>
    <definedName name="dagwerk21">'Regulier werk'!$H$11</definedName>
    <definedName name="dagwerk22">'Regulier werk'!$H$12</definedName>
    <definedName name="dagwerk23">'Regulier werk'!$H$13</definedName>
    <definedName name="dagwerk24">'Regulier werk'!$H$14</definedName>
    <definedName name="dagwerk25">'Regulier werk'!$H$15</definedName>
    <definedName name="dagwerk26">'Regulier werk'!$H$16</definedName>
    <definedName name="dagwerk27">'Regulier werk'!$H$17</definedName>
    <definedName name="dagwerk28">'Regulier werk'!$H$18</definedName>
    <definedName name="dagwerk29">'Regulier werk'!$H$19</definedName>
    <definedName name="dagwerk30">'Regulier werk'!$H$20</definedName>
    <definedName name="dagwerk31">'Regulier werk'!$H$21</definedName>
    <definedName name="dagwerk32">'Regulier werk'!$H$22</definedName>
    <definedName name="dagwerk33">'Regulier werk'!$H$23</definedName>
    <definedName name="dagwerk34">'Regulier werk'!$H$24</definedName>
    <definedName name="dagwerk35">'Regulier werk'!$H$25</definedName>
    <definedName name="dagwerk36">'Regulier werk'!$H$26</definedName>
    <definedName name="dagwerk37">'Regulier werk'!$H$27</definedName>
    <definedName name="dagwerk38">'Regulier werk'!$H$28</definedName>
    <definedName name="dagwerk39">'Regulier werk'!$H$29</definedName>
    <definedName name="dagwerk40">'Regulier werk'!$H$30</definedName>
    <definedName name="dagwerk41">'Regulier werk'!$H$31</definedName>
    <definedName name="dagwerk42">'Regulier werk'!$H$32</definedName>
    <definedName name="dagwerk43">'Regulier werk'!$H$33</definedName>
    <definedName name="dagwerk44">'Regulier werk'!$H$34</definedName>
    <definedName name="dagwerk45">'Regulier werk'!$H$35</definedName>
    <definedName name="dagwerk46">'Regulier werk'!$H$36</definedName>
    <definedName name="dagwerk47">'Regulier werk'!$H$37</definedName>
    <definedName name="dagwerk48">'Regulier werk'!$H$38</definedName>
    <definedName name="dagwerk49">'Regulier werk'!$H$39</definedName>
    <definedName name="dagwerk50">'Regulier werk'!$H$40</definedName>
    <definedName name="dagwerk51">'Regulier werk'!$H$41</definedName>
    <definedName name="dagwerk52">'Regulier werk'!$H$42</definedName>
    <definedName name="dagwerk53">'Regulier werk'!$H$43</definedName>
    <definedName name="dagwerk54">'Regulier werk'!$H$44</definedName>
    <definedName name="dagwerk55">'Regulier werk'!$H$45</definedName>
    <definedName name="dagwerk56">'Regulier werk'!$H$46</definedName>
    <definedName name="dagwerk57">'Regulier werk'!$H$47</definedName>
    <definedName name="dagwerk58">'Regulier werk'!$H$48</definedName>
    <definedName name="dagwerk59">'Regulier werk'!$H$49</definedName>
    <definedName name="dagwerk60">'Regulier werk'!$H$50</definedName>
    <definedName name="dagwerk61">'Regulier werk'!$H$51</definedName>
    <definedName name="dagwerk62">'Regulier werk'!$H$52</definedName>
    <definedName name="dagwerk63">'Regulier werk'!$H$53</definedName>
    <definedName name="dagwerk64">'Regulier werk'!$H$54</definedName>
    <definedName name="dagwerktabel1">Objectinformatie!$H$5:$H$54</definedName>
    <definedName name="gemuurtarief1">'Regulier werk'!$J$58</definedName>
    <definedName name="kengetaltabel1">Objectinformatie!$G$5:$G$54</definedName>
    <definedName name="object1_gemuurtarief1">'Ruimten werkdag'!$P$176</definedName>
    <definedName name="object1_opptabel1">Objectinformatie!$J$5:$J$54</definedName>
    <definedName name="object1_prijsdag1">'Ruimten werkdag'!$S$176</definedName>
    <definedName name="object1_prijsjaar1">'Ruimten werkdag'!$U$176</definedName>
    <definedName name="object1_urendag1">'Ruimten werkdag'!$Q$176</definedName>
    <definedName name="object1_urendaghf1">'Ruimten werkdag'!$R$176</definedName>
    <definedName name="object1_urenjaar1">'Ruimten werkdag'!$T$176</definedName>
    <definedName name="object2_gemuurtarief1">'Ruimten werkdag'!$P$254</definedName>
    <definedName name="object2_opptabel1">Objectinformatie!$K$5:$K$54</definedName>
    <definedName name="object2_prijsdag1">'Ruimten werkdag'!$S$254</definedName>
    <definedName name="object2_prijsjaar1">'Ruimten werkdag'!$U$254</definedName>
    <definedName name="object2_urendag1">'Ruimten werkdag'!$Q$254</definedName>
    <definedName name="object2_urendaghf1">'Ruimten werkdag'!$R$254</definedName>
    <definedName name="object2_urenjaar1">'Ruimten werkdag'!$T$254</definedName>
    <definedName name="object3_gemuurtarief1">'Ruimten werkdag'!$P$293</definedName>
    <definedName name="object3_opptabel1">Objectinformatie!$L$5:$L$54</definedName>
    <definedName name="object3_prijsdag1">'Ruimten werkdag'!$S$293</definedName>
    <definedName name="object3_prijsjaar1">'Ruimten werkdag'!$U$293</definedName>
    <definedName name="object3_urendag1">'Ruimten werkdag'!$Q$293</definedName>
    <definedName name="object3_urendaghf1">'Ruimten werkdag'!$R$293</definedName>
    <definedName name="object3_urenjaar1">'Ruimten werkdag'!$T$293</definedName>
    <definedName name="object4_gemuurtarief1">'Ruimten werkdag'!$P$360</definedName>
    <definedName name="object4_opptabel1">Objectinformatie!$M$5:$M$54</definedName>
    <definedName name="object4_prijsdag1">'Ruimten werkdag'!$S$360</definedName>
    <definedName name="object4_prijsjaar1">'Ruimten werkdag'!$U$360</definedName>
    <definedName name="object4_urendag1">'Ruimten werkdag'!$Q$360</definedName>
    <definedName name="object4_urendaghf1">'Ruimten werkdag'!$R$360</definedName>
    <definedName name="object4_urenjaar1">'Ruimten werkdag'!$T$360</definedName>
    <definedName name="object5_gemuurtarief1">'Ruimten werkdag'!$P$391</definedName>
    <definedName name="object5_opptabel1">Objectinformatie!$N$5:$N$54</definedName>
    <definedName name="object5_prijsdag1">'Ruimten werkdag'!$S$391</definedName>
    <definedName name="object5_prijsjaar1">'Ruimten werkdag'!$U$391</definedName>
    <definedName name="object5_urendag1">'Ruimten werkdag'!$Q$391</definedName>
    <definedName name="object5_urendaghf1">'Ruimten werkdag'!$R$391</definedName>
    <definedName name="object5_urenjaar1">'Ruimten werkdag'!$T$391</definedName>
    <definedName name="object6_gemuurtarief1">'Ruimten werkdag'!$P$641</definedName>
    <definedName name="object6_opptabel1">Objectinformatie!$O$5:$O$54</definedName>
    <definedName name="object6_prijsdag1">'Ruimten werkdag'!$S$641</definedName>
    <definedName name="object6_prijsjaar1">'Ruimten werkdag'!$U$641</definedName>
    <definedName name="object6_urendag1">'Ruimten werkdag'!$Q$641</definedName>
    <definedName name="object6_urendaghf1">'Ruimten werkdag'!$R$641</definedName>
    <definedName name="object6_urenjaar1">'Ruimten werkdag'!$T$641</definedName>
    <definedName name="object7_gemuurtarief1">'Ruimten werkdag'!$P$734</definedName>
    <definedName name="object7_opptabel1">Objectinformatie!$P$5:$P$54</definedName>
    <definedName name="object7_prijsdag1">'Ruimten werkdag'!$S$734</definedName>
    <definedName name="object7_prijsjaar1">'Ruimten werkdag'!$U$734</definedName>
    <definedName name="object7_urendag1">'Ruimten werkdag'!$Q$734</definedName>
    <definedName name="object7_urendaghf1">'Ruimten werkdag'!$R$734</definedName>
    <definedName name="object7_urenjaar1">'Ruimten werkdag'!$T$734</definedName>
    <definedName name="objectprijs1_1">Objecten!$Q$6</definedName>
    <definedName name="objectprijs2_1">Objecten!$Q$7</definedName>
    <definedName name="objectprijs3_1">Objecten!$Q$8</definedName>
    <definedName name="objectprijs4_1">Objecten!$Q$9</definedName>
    <definedName name="objectprijs5_1">Objecten!$Q$10</definedName>
    <definedName name="objectprijs6_1">Objecten!$Q$11</definedName>
    <definedName name="objectprijs7_1">Objecten!$Q$12</definedName>
    <definedName name="objecturen1_1">Objecten!$P$6</definedName>
    <definedName name="objecturen2_1">Objecten!$P$7</definedName>
    <definedName name="objecturen3_1">Objecten!$P$8</definedName>
    <definedName name="objecturen4_1">Objecten!$P$9</definedName>
    <definedName name="objecturen5_1">Objecten!$P$10</definedName>
    <definedName name="objecturen6_1">Objecten!$P$11</definedName>
    <definedName name="objecturen7_1">Objecten!$P$12</definedName>
    <definedName name="objecturenhf1_1">Objecten!$O$6</definedName>
    <definedName name="objecturenhf2_1">Objecten!$O$7</definedName>
    <definedName name="objecturenhf3_1">Objecten!$O$8</definedName>
    <definedName name="objecturenhf4_1">Objecten!$O$9</definedName>
    <definedName name="objecturenhf5_1">Objecten!$O$10</definedName>
    <definedName name="objecturenhf6_1">Objecten!$O$11</definedName>
    <definedName name="objecturenhf7_1">Objecten!$O$12</definedName>
    <definedName name="prijsdag1">'Regulier werk'!$L$56</definedName>
    <definedName name="prijsjaar">'Regulier werk'!$N$61</definedName>
    <definedName name="prijsjaar1">'Regulier werk'!$N$56</definedName>
    <definedName name="prijsjaaradditioneel">'Additioneel werk'!$K$10</definedName>
    <definedName name="prijsjaaradditioneel1">'Additioneel werk'!$K$8</definedName>
    <definedName name="prijsjaarglas">Glas!$K$20</definedName>
    <definedName name="prijsjaarglas1">Glas!$K$18</definedName>
    <definedName name="prijsjaarregie">Regiewerk!$K$13</definedName>
    <definedName name="prijsjaarregie1">Regiewerk!$K$11</definedName>
    <definedName name="prijsjaartotaal">Objecten!$Q$16</definedName>
    <definedName name="prijsjaartotaal1">Objecten!$Q$13</definedName>
    <definedName name="prijsjaartotaaloverzicht">'Totaalblad Objecten'!$G$12</definedName>
    <definedName name="prijsmaandtotaal1">Objecten!$R$13</definedName>
    <definedName name="prodnorm0">Regiewerk!$H$10</definedName>
    <definedName name="prodnorm1">'Glas per locatie'!$I$27</definedName>
    <definedName name="prodnorm10">'Glas per locatie'!$I$37</definedName>
    <definedName name="prodnorm11">'Glas per locatie'!$I$38</definedName>
    <definedName name="prodnorm12">'Glas per locatie'!$I$39</definedName>
    <definedName name="prodnorm13">'Additioneel werk per locatie'!$I$28</definedName>
    <definedName name="prodnorm14">'Additioneel werk per locatie'!$I$29</definedName>
    <definedName name="prodnorm15">'Regulier werk'!$G$55</definedName>
    <definedName name="prodnorm16">'Regulier werk'!$G$6</definedName>
    <definedName name="prodnorm17">'Regulier werk'!$G$7</definedName>
    <definedName name="prodnorm18">'Regulier werk'!$G$8</definedName>
    <definedName name="prodnorm19">'Regulier werk'!$G$9</definedName>
    <definedName name="prodnorm2">'Glas per locatie'!$I$33</definedName>
    <definedName name="prodnorm20">'Regulier werk'!$G$10</definedName>
    <definedName name="prodnorm21">'Regulier werk'!$G$11</definedName>
    <definedName name="prodnorm22">'Regulier werk'!$G$12</definedName>
    <definedName name="prodnorm23">'Regulier werk'!$G$13</definedName>
    <definedName name="prodnorm24">'Regulier werk'!$G$14</definedName>
    <definedName name="prodnorm25">'Regulier werk'!$G$15</definedName>
    <definedName name="prodnorm26">'Regulier werk'!$G$16</definedName>
    <definedName name="prodnorm27">'Regulier werk'!$G$17</definedName>
    <definedName name="prodnorm28">'Regulier werk'!$G$18</definedName>
    <definedName name="prodnorm29">'Regulier werk'!$G$19</definedName>
    <definedName name="prodnorm3">'Glas per locatie'!$I$28</definedName>
    <definedName name="prodnorm30">'Regulier werk'!$G$20</definedName>
    <definedName name="prodnorm31">'Regulier werk'!$G$21</definedName>
    <definedName name="prodnorm32">'Regulier werk'!$G$22</definedName>
    <definedName name="prodnorm33">'Regulier werk'!$G$23</definedName>
    <definedName name="prodnorm34">'Regulier werk'!$G$24</definedName>
    <definedName name="prodnorm35">'Regulier werk'!$G$25</definedName>
    <definedName name="prodnorm36">'Regulier werk'!$G$26</definedName>
    <definedName name="prodnorm37">'Regulier werk'!$G$27</definedName>
    <definedName name="prodnorm38">'Regulier werk'!$G$28</definedName>
    <definedName name="prodnorm39">'Regulier werk'!$G$29</definedName>
    <definedName name="prodnorm4">'Glas per locatie'!$I$34</definedName>
    <definedName name="prodnorm40">'Regulier werk'!$G$30</definedName>
    <definedName name="prodnorm41">'Regulier werk'!$G$31</definedName>
    <definedName name="prodnorm42">'Regulier werk'!$G$32</definedName>
    <definedName name="prodnorm43">'Regulier werk'!$G$33</definedName>
    <definedName name="prodnorm44">'Regulier werk'!$G$34</definedName>
    <definedName name="prodnorm45">'Regulier werk'!$G$35</definedName>
    <definedName name="prodnorm46">'Regulier werk'!$G$36</definedName>
    <definedName name="prodnorm47">'Regulier werk'!$G$37</definedName>
    <definedName name="prodnorm48">'Regulier werk'!$G$38</definedName>
    <definedName name="prodnorm49">'Regulier werk'!$G$39</definedName>
    <definedName name="prodnorm5">'Glas per locatie'!$I$29</definedName>
    <definedName name="prodnorm50">'Regulier werk'!$G$40</definedName>
    <definedName name="prodnorm51">'Regulier werk'!$G$41</definedName>
    <definedName name="prodnorm52">'Regulier werk'!$G$42</definedName>
    <definedName name="prodnorm53">'Regulier werk'!$G$43</definedName>
    <definedName name="prodnorm54">'Regulier werk'!$G$44</definedName>
    <definedName name="prodnorm55">'Regulier werk'!$G$45</definedName>
    <definedName name="prodnorm56">'Regulier werk'!$G$46</definedName>
    <definedName name="prodnorm57">'Regulier werk'!$G$47</definedName>
    <definedName name="prodnorm58">'Regulier werk'!$G$48</definedName>
    <definedName name="prodnorm59">'Regulier werk'!$G$49</definedName>
    <definedName name="prodnorm6">'Glas per locatie'!$I$35</definedName>
    <definedName name="prodnorm60">'Regulier werk'!$G$50</definedName>
    <definedName name="prodnorm61">'Regulier werk'!$G$51</definedName>
    <definedName name="prodnorm62">'Regulier werk'!$G$52</definedName>
    <definedName name="prodnorm63">'Regulier werk'!$G$53</definedName>
    <definedName name="prodnorm64">'Regulier werk'!$G$54</definedName>
    <definedName name="prodnorm7">'Glas per locatie'!$I$9</definedName>
    <definedName name="prodnorm8">'Glas per locatie'!$I$17</definedName>
    <definedName name="prodnorm9">'Glas per locatie'!$I$36</definedName>
    <definedName name="taakfreqtabel1">Objectinformatie!$E$5:$E$54</definedName>
    <definedName name="tabeltype">Omreken!$B$5:$B$5</definedName>
    <definedName name="Tariefopbouw1">Tariefopbouw!$B$53</definedName>
    <definedName name="Tariefopbouw2">Tariefopbouw!$B$61</definedName>
    <definedName name="Tariefopbouw3">Tariefopbouw!$D$61</definedName>
    <definedName name="Tariefopbouw4">Tariefopbouw!$F$61</definedName>
    <definedName name="Tariefopbouw5">Tariefopbouw!$H$61</definedName>
    <definedName name="Tariefopbouw6">Tariefopbouw!$D$53</definedName>
    <definedName name="Tariefopbouw7">Tariefopbouw!$F$53</definedName>
    <definedName name="TariefOpbouwBasisloon1">Tariefopbouw!$B$9</definedName>
    <definedName name="TariefOpbouwBasisloon2">Tariefopbouw!$D$9</definedName>
    <definedName name="TariefOpbouwBasisloon3">Tariefopbouw!$F$9</definedName>
    <definedName name="TariefOpbouwBasisloon4">Tariefopbouw!$H$9</definedName>
    <definedName name="TariefOpbouwBasisloon5">Tariefopbouw!$J$9</definedName>
    <definedName name="TariefOpbouwBasisloon6">Tariefopbouw!$L$9</definedName>
    <definedName name="TariefOpbouwBasisloon7">Tariefopbouw!$N$9</definedName>
    <definedName name="TariefOpbouwBasisloon8">Tariefopbouw!$P$9</definedName>
    <definedName name="TariefOpbouwDirecteKosten1">Tariefopbouw!$B$26</definedName>
    <definedName name="TariefOpbouwDirecteKosten2">Tariefopbouw!$D$26</definedName>
    <definedName name="TariefOpbouwDirecteKosten3">Tariefopbouw!$F$26</definedName>
    <definedName name="TariefOpbouwDirecteKosten4">Tariefopbouw!$H$26</definedName>
    <definedName name="TariefOpbouwDirecteKosten5">Tariefopbouw!$J$26</definedName>
    <definedName name="TariefOpbouwDirecteKosten6">Tariefopbouw!$L$26</definedName>
    <definedName name="TariefOpbouwDirecteKosten7">Tariefopbouw!$N$26</definedName>
    <definedName name="TariefOpbouwDirecteKosten8">Tariefopbouw!$P$26</definedName>
    <definedName name="TariefOpbouwErvaring1">Tariefopbouw!$B$6</definedName>
    <definedName name="TariefOpbouwErvaring2">Tariefopbouw!$D$6</definedName>
    <definedName name="TariefOpbouwErvaring3">Tariefopbouw!$F$6</definedName>
    <definedName name="TariefOpbouwErvaring4">Tariefopbouw!$H$6</definedName>
    <definedName name="TariefOpbouwErvaring5">Tariefopbouw!$J$6</definedName>
    <definedName name="TariefOpbouwErvaring6">Tariefopbouw!$L$6</definedName>
    <definedName name="TariefOpbouwErvaring7">Tariefopbouw!$N$6</definedName>
    <definedName name="TariefOpbouwErvaring8">Tariefopbouw!$P$6</definedName>
    <definedName name="TariefOpbouwIndirecteKosten1">Tariefopbouw!$B$35</definedName>
    <definedName name="TariefOpbouwIndirecteKosten2">Tariefopbouw!$D$35</definedName>
    <definedName name="TariefOpbouwIndirecteKosten3">Tariefopbouw!$F$35</definedName>
    <definedName name="TariefOpbouwIndirecteKosten4">Tariefopbouw!$H$35</definedName>
    <definedName name="TariefOpbouwIndirecteKosten5">Tariefopbouw!$J$35</definedName>
    <definedName name="TariefOpbouwIndirecteKosten6">Tariefopbouw!$L$35</definedName>
    <definedName name="TariefOpbouwIndirecteKosten7">Tariefopbouw!$N$35</definedName>
    <definedName name="TariefOpbouwIndirecteKosten8">Tariefopbouw!$P$35</definedName>
    <definedName name="TariefOpbouwNaam1">Tariefopbouw!$B$5</definedName>
    <definedName name="TariefOpbouwNaam2">Tariefopbouw!$D$5</definedName>
    <definedName name="TariefOpbouwNaam3">Tariefopbouw!$F$5</definedName>
    <definedName name="TariefOpbouwNaam4">Tariefopbouw!$H$5</definedName>
    <definedName name="TariefOpbouwNaam5">Tariefopbouw!$J$5</definedName>
    <definedName name="TariefOpbouwNaam6">Tariefopbouw!$L$5</definedName>
    <definedName name="TariefOpbouwNaam7">Tariefopbouw!$N$5</definedName>
    <definedName name="TariefOpbouwNaam8">Tariefopbouw!$P$5</definedName>
    <definedName name="TariefOpbouwRisicoWinst1">Tariefopbouw!$C$37</definedName>
    <definedName name="TariefOpbouwRisicoWinst2">Tariefopbouw!$E$37</definedName>
    <definedName name="TariefOpbouwRisicoWinst3">Tariefopbouw!$G$37</definedName>
    <definedName name="TariefOpbouwRisicoWinst4">Tariefopbouw!$I$37</definedName>
    <definedName name="TariefOpbouwRisicoWinst5">Tariefopbouw!$K$37</definedName>
    <definedName name="TariefOpbouwRisicoWinst6">Tariefopbouw!$M$37</definedName>
    <definedName name="TariefOpbouwRisicoWinst7">Tariefopbouw!$O$37</definedName>
    <definedName name="TariefOpbouwRisicoWinst8">Tariefopbouw!$Q$37</definedName>
    <definedName name="TariefOpbouwRisicoWinstPercentage1">Tariefopbouw!$B$37</definedName>
    <definedName name="TariefOpbouwRisicoWinstPercentage2">Tariefopbouw!$D$37</definedName>
    <definedName name="TariefOpbouwRisicoWinstPercentage3">Tariefopbouw!$F$37</definedName>
    <definedName name="TariefOpbouwRisicoWinstPercentage4">Tariefopbouw!$H$37</definedName>
    <definedName name="TariefOpbouwRisicoWinstPercentage5">Tariefopbouw!$J$37</definedName>
    <definedName name="TariefOpbouwRisicoWinstPercentage6">Tariefopbouw!$L$37</definedName>
    <definedName name="TariefOpbouwRisicoWinstPercentage7">Tariefopbouw!$N$37</definedName>
    <definedName name="TariefOpbouwRisicoWinstPercentage8">Tariefopbouw!$P$37</definedName>
    <definedName name="TariefOpbouwTarief1">Tariefopbouw!$B$39</definedName>
    <definedName name="TariefOpbouwTarief1DN">Tariefopbouw!$C$41</definedName>
    <definedName name="TariefOpbouwTarief1W">Tariefopbouw!$C$42</definedName>
    <definedName name="TariefOpbouwTarief1X">Tariefopbouw!$C$43</definedName>
    <definedName name="TariefOpbouwTarief2">Tariefopbouw!$D$39</definedName>
    <definedName name="TariefOpbouwTarief2DN">Tariefopbouw!$E$41</definedName>
    <definedName name="TariefOpbouwTarief2W">Tariefopbouw!$E$42</definedName>
    <definedName name="TariefOpbouwTarief2X">Tariefopbouw!$E$43</definedName>
    <definedName name="TariefOpbouwTarief3">Tariefopbouw!$F$39</definedName>
    <definedName name="TariefOpbouwTarief3DN">Tariefopbouw!$G$41</definedName>
    <definedName name="TariefOpbouwTarief3W">Tariefopbouw!$G$42</definedName>
    <definedName name="TariefOpbouwTarief3X">Tariefopbouw!$G$43</definedName>
    <definedName name="TariefOpbouwTarief4">Tariefopbouw!$H$39</definedName>
    <definedName name="TariefOpbouwTarief4DN">Tariefopbouw!$I$41</definedName>
    <definedName name="TariefOpbouwTarief4W">Tariefopbouw!$I$42</definedName>
    <definedName name="TariefOpbouwTarief4X">Tariefopbouw!$I$43</definedName>
    <definedName name="TariefOpbouwTarief5">Tariefopbouw!$J$39</definedName>
    <definedName name="TariefOpbouwTarief5DN">Tariefopbouw!$K$41</definedName>
    <definedName name="TariefOpbouwTarief5W">Tariefopbouw!$K$42</definedName>
    <definedName name="TariefOpbouwTarief5X">Tariefopbouw!$K$43</definedName>
    <definedName name="TariefOpbouwTarief6">Tariefopbouw!$L$39</definedName>
    <definedName name="TariefOpbouwTarief6DN">Tariefopbouw!$M$41</definedName>
    <definedName name="TariefOpbouwTarief6W">Tariefopbouw!$M$42</definedName>
    <definedName name="TariefOpbouwTarief6X">Tariefopbouw!$M$43</definedName>
    <definedName name="TariefOpbouwTarief7">Tariefopbouw!$N$39</definedName>
    <definedName name="TariefOpbouwTarief7DN">Tariefopbouw!$O$41</definedName>
    <definedName name="TariefOpbouwTarief7W">Tariefopbouw!$O$42</definedName>
    <definedName name="TariefOpbouwTarief7X">Tariefopbouw!$O$43</definedName>
    <definedName name="TariefOpbouwTarief8">Tariefopbouw!$P$39</definedName>
    <definedName name="TariefOpbouwTarief8DN">Tariefopbouw!$Q$41</definedName>
    <definedName name="TariefOpbouwTarief8W">Tariefopbouw!$Q$42</definedName>
    <definedName name="TariefOpbouwTarief8X">Tariefopbouw!$Q$43</definedName>
    <definedName name="TariefOpbouwTotaalLoonkosten1">Tariefopbouw!$B$19</definedName>
    <definedName name="TariefOpbouwTotaalLoonkosten2">Tariefopbouw!$D$19</definedName>
    <definedName name="TariefOpbouwTotaalLoonkosten3">Tariefopbouw!$F$19</definedName>
    <definedName name="TariefOpbouwTotaalLoonkosten4">Tariefopbouw!$H$19</definedName>
    <definedName name="TariefOpbouwTotaalLoonkosten5">Tariefopbouw!$J$19</definedName>
    <definedName name="TariefOpbouwTotaalLoonkosten6">Tariefopbouw!$L$19</definedName>
    <definedName name="TariefOpbouwTotaalLoonkosten7">Tariefopbouw!$N$19</definedName>
    <definedName name="TariefOpbouwTotaalLoonkosten8">Tariefopbouw!$P$19</definedName>
    <definedName name="TariefOpbouwUurloon1">Tariefopbouw!$B$12</definedName>
    <definedName name="TariefOpbouwUurloon2">Tariefopbouw!$D$12</definedName>
    <definedName name="TariefOpbouwUurloon3">Tariefopbouw!$F$12</definedName>
    <definedName name="TariefOpbouwUurloon4">Tariefopbouw!$H$12</definedName>
    <definedName name="TariefOpbouwUurloon5">Tariefopbouw!$J$12</definedName>
    <definedName name="TariefOpbouwUurloon6">Tariefopbouw!$L$12</definedName>
    <definedName name="TariefOpbouwUurloon7">Tariefopbouw!$N$12</definedName>
    <definedName name="TariefOpbouwUurloon8">Tariefopbouw!$P$12</definedName>
    <definedName name="TariefOpbouwUurloonkosten1">Tariefopbouw!$B$14</definedName>
    <definedName name="TariefOpbouwUurloonkosten2">Tariefopbouw!$D$14</definedName>
    <definedName name="TariefOpbouwUurloonkosten3">Tariefopbouw!$F$14</definedName>
    <definedName name="TariefOpbouwUurloonkosten4">Tariefopbouw!$H$14</definedName>
    <definedName name="TariefOpbouwUurloonkosten5">Tariefopbouw!$J$14</definedName>
    <definedName name="TariefOpbouwUurloonkosten6">Tariefopbouw!$L$14</definedName>
    <definedName name="TariefOpbouwUurloonkosten7">Tariefopbouw!$N$14</definedName>
    <definedName name="TariefOpbouwUurloonkosten8">Tariefopbouw!$P$14</definedName>
    <definedName name="tarieftabel1">Objectinformatie!$I$5:$I$54</definedName>
    <definedName name="TariefUitvoering1">Tariefopbouw!$C$50</definedName>
    <definedName name="TariefUitvoering2">Tariefopbouw!$C$59</definedName>
    <definedName name="TariefUitvoering3">Tariefopbouw!$E$59</definedName>
    <definedName name="TariefUitvoering4">Tariefopbouw!$G$59</definedName>
    <definedName name="TariefUitvoering5">Tariefopbouw!$I$59</definedName>
    <definedName name="TariefUitvoering6">Tariefopbouw!$E$50</definedName>
    <definedName name="TariefUitvoering7">Tariefopbouw!$G$50</definedName>
    <definedName name="urendag1">'Regulier werk'!$K$56</definedName>
    <definedName name="urenjaar">'Regulier werk'!$M$61</definedName>
    <definedName name="urenjaar1">'Regulier werk'!$M$56</definedName>
    <definedName name="urenjaartotaal">Objecten!$P$16</definedName>
    <definedName name="urenjaartotaal1">Objecten!$P$13</definedName>
    <definedName name="urenjaartotaalhf">Objecten!$O$16</definedName>
    <definedName name="urenjaartotaalhf1">Objecten!$O$13</definedName>
    <definedName name="urenjaartotaaloverzicht">'Totaalblad Objecten'!$F$12</definedName>
    <definedName name="urenjaartotaaloverzichthf">'Totaalblad Objecten'!$E$12</definedName>
    <definedName name="uurfactortabel1">Objectinformatie!$F$5:$F$54</definedName>
    <definedName name="uurtarief0">Regiewerk!$I$10</definedName>
    <definedName name="uurtarief1">'Glas per locatie'!$J$27</definedName>
    <definedName name="uurtarief10">'Glas per locatie'!$J$37</definedName>
    <definedName name="uurtarief11">'Glas per locatie'!$J$38</definedName>
    <definedName name="uurtarief12">'Glas per locatie'!$J$39</definedName>
    <definedName name="uurtarief13">'Additioneel werk per locatie'!$H$28</definedName>
    <definedName name="uurtarief14">'Additioneel werk per locatie'!$H$29</definedName>
    <definedName name="uurtarief15">'Regulier werk'!$J$55</definedName>
    <definedName name="uurtarief16">'Regulier werk'!$J$6</definedName>
    <definedName name="uurtarief17">'Regulier werk'!$J$7</definedName>
    <definedName name="uurtarief18">'Regulier werk'!$J$8</definedName>
    <definedName name="uurtarief19">'Regulier werk'!$J$9</definedName>
    <definedName name="uurtarief2">'Glas per locatie'!$J$33</definedName>
    <definedName name="uurtarief20">'Regulier werk'!$J$10</definedName>
    <definedName name="uurtarief21">'Regulier werk'!$J$11</definedName>
    <definedName name="uurtarief22">'Regulier werk'!$J$12</definedName>
    <definedName name="uurtarief23">'Regulier werk'!$J$13</definedName>
    <definedName name="uurtarief24">'Regulier werk'!$J$14</definedName>
    <definedName name="uurtarief25">'Regulier werk'!$J$15</definedName>
    <definedName name="uurtarief26">'Regulier werk'!$J$16</definedName>
    <definedName name="uurtarief27">'Regulier werk'!$J$17</definedName>
    <definedName name="uurtarief28">'Regulier werk'!$J$18</definedName>
    <definedName name="uurtarief29">'Regulier werk'!$J$19</definedName>
    <definedName name="uurtarief3">'Glas per locatie'!$J$28</definedName>
    <definedName name="uurtarief30">'Regulier werk'!$J$20</definedName>
    <definedName name="uurtarief31">'Regulier werk'!$J$21</definedName>
    <definedName name="uurtarief32">'Regulier werk'!$J$22</definedName>
    <definedName name="uurtarief33">'Regulier werk'!$J$23</definedName>
    <definedName name="uurtarief34">'Regulier werk'!$J$24</definedName>
    <definedName name="uurtarief35">'Regulier werk'!$J$25</definedName>
    <definedName name="uurtarief36">'Regulier werk'!$J$26</definedName>
    <definedName name="uurtarief37">'Regulier werk'!$J$27</definedName>
    <definedName name="uurtarief38">'Regulier werk'!$J$28</definedName>
    <definedName name="uurtarief39">'Regulier werk'!$J$29</definedName>
    <definedName name="uurtarief4">'Glas per locatie'!$J$34</definedName>
    <definedName name="uurtarief40">'Regulier werk'!$J$30</definedName>
    <definedName name="uurtarief41">'Regulier werk'!$J$31</definedName>
    <definedName name="uurtarief42">'Regulier werk'!$J$32</definedName>
    <definedName name="uurtarief43">'Regulier werk'!$J$33</definedName>
    <definedName name="uurtarief44">'Regulier werk'!$J$34</definedName>
    <definedName name="uurtarief45">'Regulier werk'!$J$35</definedName>
    <definedName name="uurtarief46">'Regulier werk'!$J$36</definedName>
    <definedName name="uurtarief47">'Regulier werk'!$J$37</definedName>
    <definedName name="uurtarief48">'Regulier werk'!$J$38</definedName>
    <definedName name="uurtarief49">'Regulier werk'!$J$39</definedName>
    <definedName name="uurtarief5">'Glas per locatie'!$J$29</definedName>
    <definedName name="uurtarief50">'Regulier werk'!$J$40</definedName>
    <definedName name="uurtarief51">'Regulier werk'!$J$41</definedName>
    <definedName name="uurtarief52">'Regulier werk'!$J$42</definedName>
    <definedName name="uurtarief53">'Regulier werk'!$J$43</definedName>
    <definedName name="uurtarief54">'Regulier werk'!$J$44</definedName>
    <definedName name="uurtarief55">'Regulier werk'!$J$45</definedName>
    <definedName name="uurtarief56">'Regulier werk'!$J$46</definedName>
    <definedName name="uurtarief57">'Regulier werk'!$J$47</definedName>
    <definedName name="uurtarief58">'Regulier werk'!$J$48</definedName>
    <definedName name="uurtarief59">'Regulier werk'!$J$49</definedName>
    <definedName name="uurtarief6">'Glas per locatie'!$J$35</definedName>
    <definedName name="uurtarief60">'Regulier werk'!$J$50</definedName>
    <definedName name="uurtarief61">'Regulier werk'!$J$51</definedName>
    <definedName name="uurtarief62">'Regulier werk'!$J$52</definedName>
    <definedName name="uurtarief63">'Regulier werk'!$J$53</definedName>
    <definedName name="uurtarief64">'Regulier werk'!$J$54</definedName>
    <definedName name="uurtarief7">'Glas per locatie'!$J$9</definedName>
    <definedName name="uurtarief8">'Glas per locatie'!$J$17</definedName>
    <definedName name="uurtarief9">'Glas per locatie'!$J$36</definedName>
    <definedName name="vp_additioneel">Totaal!$D$5</definedName>
    <definedName name="vp_glas">Totaal!$D$7</definedName>
    <definedName name="vp_regie">Totaal!$D$6</definedName>
    <definedName name="vp_variant">Totaal!$D$15</definedName>
    <definedName name="vu_variant">Totaal!$B$9</definedName>
    <definedName name="wib_regulier">Totaal!$D$4</definedName>
    <definedName name="wib_variant">Totaal!$D$12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A1" i="15" l="1"/>
  <c r="J39" i="14"/>
  <c r="K39" i="14" s="1"/>
  <c r="J38" i="14"/>
  <c r="K38" i="14" s="1"/>
  <c r="J37" i="14"/>
  <c r="K37" i="14" s="1"/>
  <c r="J36" i="14"/>
  <c r="K36" i="14" s="1"/>
  <c r="J35" i="14"/>
  <c r="K35" i="14" s="1"/>
  <c r="J34" i="14"/>
  <c r="K34" i="14" s="1"/>
  <c r="J33" i="14"/>
  <c r="K33" i="14" s="1"/>
  <c r="K40" i="14" s="1"/>
  <c r="J29" i="14"/>
  <c r="K29" i="14" s="1"/>
  <c r="J28" i="14"/>
  <c r="K28" i="14" s="1"/>
  <c r="J27" i="14"/>
  <c r="K27" i="14" s="1"/>
  <c r="K30" i="14" s="1"/>
  <c r="J23" i="14"/>
  <c r="K23" i="14" s="1"/>
  <c r="J22" i="14"/>
  <c r="K22" i="14" s="1"/>
  <c r="J21" i="14"/>
  <c r="K21" i="14" s="1"/>
  <c r="K24" i="14" s="1"/>
  <c r="J17" i="14"/>
  <c r="K17" i="14" s="1"/>
  <c r="J16" i="14"/>
  <c r="K16" i="14" s="1"/>
  <c r="J15" i="14"/>
  <c r="K15" i="14" s="1"/>
  <c r="J14" i="14"/>
  <c r="K14" i="14" s="1"/>
  <c r="K18" i="14" s="1"/>
  <c r="J10" i="14"/>
  <c r="K10" i="14" s="1"/>
  <c r="J9" i="14"/>
  <c r="K9" i="14" s="1"/>
  <c r="J8" i="14"/>
  <c r="K8" i="14" s="1"/>
  <c r="J7" i="14"/>
  <c r="K7" i="14" s="1"/>
  <c r="J6" i="14"/>
  <c r="K6" i="14" s="1"/>
  <c r="K11" i="14" s="1"/>
  <c r="A1" i="14"/>
  <c r="J17" i="13"/>
  <c r="J16" i="13"/>
  <c r="J15" i="13"/>
  <c r="J14" i="13"/>
  <c r="J13" i="13"/>
  <c r="J12" i="13"/>
  <c r="J11" i="13"/>
  <c r="J10" i="13"/>
  <c r="J9" i="13"/>
  <c r="J8" i="13"/>
  <c r="J7" i="13"/>
  <c r="J6" i="13"/>
  <c r="A1" i="13"/>
  <c r="J10" i="12"/>
  <c r="J9" i="12"/>
  <c r="A1" i="12"/>
  <c r="A1" i="11"/>
  <c r="I29" i="10"/>
  <c r="I28" i="10"/>
  <c r="I24" i="10"/>
  <c r="I20" i="10"/>
  <c r="I16" i="10"/>
  <c r="I12" i="10"/>
  <c r="I11" i="10"/>
  <c r="I7" i="10"/>
  <c r="I6" i="10"/>
  <c r="A1" i="10"/>
  <c r="J7" i="9"/>
  <c r="J6" i="9"/>
  <c r="A1" i="9"/>
  <c r="A1" i="8"/>
  <c r="A1" i="7"/>
  <c r="H54" i="6"/>
  <c r="G54" i="6"/>
  <c r="N359" i="5"/>
  <c r="M359" i="5"/>
  <c r="A1" i="5"/>
  <c r="J54" i="4"/>
  <c r="H54" i="4"/>
  <c r="G54" i="4"/>
  <c r="J53" i="4"/>
  <c r="H53" i="4"/>
  <c r="G53" i="4"/>
  <c r="J52" i="4"/>
  <c r="H52" i="4"/>
  <c r="G52" i="4"/>
  <c r="J51" i="4"/>
  <c r="H51" i="4"/>
  <c r="G51" i="4"/>
  <c r="J50" i="4"/>
  <c r="H50" i="4"/>
  <c r="G50" i="4"/>
  <c r="H49" i="4"/>
  <c r="G49" i="4"/>
  <c r="H48" i="4"/>
  <c r="G48" i="4"/>
  <c r="J47" i="4"/>
  <c r="H47" i="4"/>
  <c r="G47" i="4"/>
  <c r="J46" i="4"/>
  <c r="H46" i="4"/>
  <c r="G46" i="4"/>
  <c r="J45" i="4"/>
  <c r="H45" i="4"/>
  <c r="G45" i="4"/>
  <c r="J44" i="4"/>
  <c r="H44" i="4"/>
  <c r="G44" i="4"/>
  <c r="J43" i="4"/>
  <c r="H43" i="4"/>
  <c r="G43" i="4"/>
  <c r="J42" i="4"/>
  <c r="H42" i="4"/>
  <c r="G42" i="4"/>
  <c r="J41" i="4"/>
  <c r="H41" i="4"/>
  <c r="G41" i="4"/>
  <c r="J40" i="4"/>
  <c r="H40" i="4"/>
  <c r="G40" i="4"/>
  <c r="J39" i="4"/>
  <c r="H39" i="4"/>
  <c r="G39" i="4"/>
  <c r="J38" i="4"/>
  <c r="H38" i="4"/>
  <c r="G38" i="4"/>
  <c r="J37" i="4"/>
  <c r="H37" i="4"/>
  <c r="G37" i="4"/>
  <c r="J36" i="4"/>
  <c r="H36" i="4"/>
  <c r="G36" i="4"/>
  <c r="J35" i="4"/>
  <c r="H35" i="4"/>
  <c r="G35" i="4"/>
  <c r="J34" i="4"/>
  <c r="H34" i="4"/>
  <c r="G34" i="4"/>
  <c r="J33" i="4"/>
  <c r="H33" i="4"/>
  <c r="G33" i="4"/>
  <c r="J32" i="4"/>
  <c r="H32" i="4"/>
  <c r="G32" i="4"/>
  <c r="J31" i="4"/>
  <c r="H31" i="4"/>
  <c r="G31" i="4"/>
  <c r="J30" i="4"/>
  <c r="H30" i="4"/>
  <c r="G30" i="4"/>
  <c r="J29" i="4"/>
  <c r="H29" i="4"/>
  <c r="G29" i="4"/>
  <c r="J28" i="4"/>
  <c r="H28" i="4"/>
  <c r="G28" i="4"/>
  <c r="J27" i="4"/>
  <c r="H27" i="4"/>
  <c r="G27" i="4"/>
  <c r="J26" i="4"/>
  <c r="H26" i="4"/>
  <c r="G26" i="4"/>
  <c r="J25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J19" i="4"/>
  <c r="H19" i="4"/>
  <c r="G19" i="4"/>
  <c r="J18" i="4"/>
  <c r="H18" i="4"/>
  <c r="G18" i="4"/>
  <c r="J17" i="4"/>
  <c r="H17" i="4"/>
  <c r="G17" i="4"/>
  <c r="J16" i="4"/>
  <c r="H16" i="4"/>
  <c r="G16" i="4"/>
  <c r="J15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G8" i="4"/>
  <c r="J7" i="4"/>
  <c r="H7" i="4"/>
  <c r="G7" i="4"/>
  <c r="J6" i="4"/>
  <c r="H6" i="4"/>
  <c r="G6" i="4"/>
  <c r="A1" i="4"/>
  <c r="A1" i="3"/>
  <c r="A60" i="2"/>
  <c r="H59" i="2"/>
  <c r="F59" i="2"/>
  <c r="D59" i="2"/>
  <c r="B59" i="2"/>
  <c r="A58" i="2"/>
  <c r="A57" i="2"/>
  <c r="A52" i="2"/>
  <c r="A51" i="2"/>
  <c r="F50" i="2"/>
  <c r="D50" i="2"/>
  <c r="B50" i="2"/>
  <c r="A49" i="2"/>
  <c r="A48" i="2"/>
  <c r="A47" i="2"/>
  <c r="P9" i="2"/>
  <c r="N9" i="2"/>
  <c r="L9" i="2"/>
  <c r="J9" i="2"/>
  <c r="H9" i="2"/>
  <c r="F9" i="2"/>
  <c r="D9" i="2"/>
  <c r="B9" i="2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48" i="6" l="1"/>
  <c r="L572" i="5"/>
  <c r="L570" i="5"/>
  <c r="L567" i="5"/>
  <c r="L565" i="5"/>
  <c r="L451" i="5"/>
  <c r="L449" i="5"/>
  <c r="L446" i="5"/>
  <c r="L444" i="5"/>
  <c r="L442" i="5"/>
  <c r="L440" i="5"/>
  <c r="L433" i="5"/>
  <c r="L430" i="5"/>
  <c r="L428" i="5"/>
  <c r="F49" i="4"/>
  <c r="E53" i="6"/>
  <c r="E52" i="6"/>
  <c r="E50" i="6"/>
  <c r="E47" i="6"/>
  <c r="E45" i="6"/>
  <c r="E43" i="6"/>
  <c r="E41" i="6"/>
  <c r="E40" i="6"/>
  <c r="E38" i="6"/>
  <c r="E37" i="6"/>
  <c r="E35" i="6"/>
  <c r="E32" i="6"/>
  <c r="E31" i="6"/>
  <c r="E29" i="6"/>
  <c r="E27" i="6"/>
  <c r="E25" i="6"/>
  <c r="E24" i="6"/>
  <c r="E22" i="6"/>
  <c r="E20" i="6"/>
  <c r="E18" i="6"/>
  <c r="E16" i="6"/>
  <c r="E14" i="6"/>
  <c r="E11" i="6"/>
  <c r="E7" i="6"/>
  <c r="E6" i="6"/>
  <c r="E5" i="6"/>
  <c r="L733" i="5"/>
  <c r="L732" i="5"/>
  <c r="L731" i="5"/>
  <c r="L730" i="5"/>
  <c r="L729" i="5"/>
  <c r="L728" i="5"/>
  <c r="L727" i="5"/>
  <c r="L726" i="5"/>
  <c r="L725" i="5"/>
  <c r="L724" i="5"/>
  <c r="L723" i="5"/>
  <c r="L722" i="5"/>
  <c r="L721" i="5"/>
  <c r="L719" i="5"/>
  <c r="L718" i="5"/>
  <c r="L717" i="5"/>
  <c r="L716" i="5"/>
  <c r="L715" i="5"/>
  <c r="L714" i="5"/>
  <c r="L713" i="5"/>
  <c r="L712" i="5"/>
  <c r="L711" i="5"/>
  <c r="L710" i="5"/>
  <c r="L709" i="5"/>
  <c r="L708" i="5"/>
  <c r="L707" i="5"/>
  <c r="L706" i="5"/>
  <c r="L705" i="5"/>
  <c r="L704" i="5"/>
  <c r="L703" i="5"/>
  <c r="L701" i="5"/>
  <c r="L699" i="5"/>
  <c r="L698" i="5"/>
  <c r="L697" i="5"/>
  <c r="L696" i="5"/>
  <c r="L695" i="5"/>
  <c r="L694" i="5"/>
  <c r="L693" i="5"/>
  <c r="L692" i="5"/>
  <c r="L691" i="5"/>
  <c r="L690" i="5"/>
  <c r="L689" i="5"/>
  <c r="L688" i="5"/>
  <c r="L687" i="5"/>
  <c r="L686" i="5"/>
  <c r="L685" i="5"/>
  <c r="L683" i="5"/>
  <c r="L682" i="5"/>
  <c r="L681" i="5"/>
  <c r="L680" i="5"/>
  <c r="L679" i="5"/>
  <c r="L678" i="5"/>
  <c r="L677" i="5"/>
  <c r="L676" i="5"/>
  <c r="L675" i="5"/>
  <c r="L674" i="5"/>
  <c r="L673" i="5"/>
  <c r="L672" i="5"/>
  <c r="L671" i="5"/>
  <c r="L670" i="5"/>
  <c r="L669" i="5"/>
  <c r="L668" i="5"/>
  <c r="L667" i="5"/>
  <c r="L665" i="5"/>
  <c r="L664" i="5"/>
  <c r="L663" i="5"/>
  <c r="L661" i="5"/>
  <c r="L660" i="5"/>
  <c r="L659" i="5"/>
  <c r="L658" i="5"/>
  <c r="L657" i="5"/>
  <c r="L656" i="5"/>
  <c r="L655" i="5"/>
  <c r="L654" i="5"/>
  <c r="L653" i="5"/>
  <c r="L652" i="5"/>
  <c r="L651" i="5"/>
  <c r="L650" i="5"/>
  <c r="L649" i="5"/>
  <c r="L648" i="5"/>
  <c r="L647" i="5"/>
  <c r="L646" i="5"/>
  <c r="L645" i="5"/>
  <c r="L644" i="5"/>
  <c r="L643" i="5"/>
  <c r="L640" i="5"/>
  <c r="L639" i="5"/>
  <c r="L638" i="5"/>
  <c r="L637" i="5"/>
  <c r="L636" i="5"/>
  <c r="L635" i="5"/>
  <c r="L634" i="5"/>
  <c r="L633" i="5"/>
  <c r="L632" i="5"/>
  <c r="L631" i="5"/>
  <c r="L630" i="5"/>
  <c r="L626" i="5"/>
  <c r="L624" i="5"/>
  <c r="L623" i="5"/>
  <c r="L622" i="5"/>
  <c r="L621" i="5"/>
  <c r="L618" i="5"/>
  <c r="L617" i="5"/>
  <c r="L616" i="5"/>
  <c r="L615" i="5"/>
  <c r="L614" i="5"/>
  <c r="L613" i="5"/>
  <c r="L612" i="5"/>
  <c r="L611" i="5"/>
  <c r="L610" i="5"/>
  <c r="L609" i="5"/>
  <c r="L608" i="5"/>
  <c r="L607" i="5"/>
  <c r="L606" i="5"/>
  <c r="L605" i="5"/>
  <c r="L604" i="5"/>
  <c r="L603" i="5"/>
  <c r="L602" i="5"/>
  <c r="L601" i="5"/>
  <c r="L600" i="5"/>
  <c r="L599" i="5"/>
  <c r="L598" i="5"/>
  <c r="L594" i="5"/>
  <c r="L593" i="5"/>
  <c r="L591" i="5"/>
  <c r="L590" i="5"/>
  <c r="L589" i="5"/>
  <c r="L588" i="5"/>
  <c r="L587" i="5"/>
  <c r="L586" i="5"/>
  <c r="L583" i="5"/>
  <c r="L582" i="5"/>
  <c r="L581" i="5"/>
  <c r="L580" i="5"/>
  <c r="L579" i="5"/>
  <c r="L578" i="5"/>
  <c r="L577" i="5"/>
  <c r="L576" i="5"/>
  <c r="L575" i="5"/>
  <c r="L574" i="5"/>
  <c r="L573" i="5"/>
  <c r="L571" i="5"/>
  <c r="L569" i="5"/>
  <c r="L568" i="5"/>
  <c r="L566" i="5"/>
  <c r="L564" i="5"/>
  <c r="L563" i="5"/>
  <c r="L562" i="5"/>
  <c r="L561" i="5"/>
  <c r="L559" i="5"/>
  <c r="L558" i="5"/>
  <c r="L557" i="5"/>
  <c r="L556" i="5"/>
  <c r="L555" i="5"/>
  <c r="L552" i="5"/>
  <c r="L551" i="5"/>
  <c r="L550" i="5"/>
  <c r="L549" i="5"/>
  <c r="L548" i="5"/>
  <c r="L547" i="5"/>
  <c r="L546" i="5"/>
  <c r="L545" i="5"/>
  <c r="L544" i="5"/>
  <c r="L541" i="5"/>
  <c r="L540" i="5"/>
  <c r="L539" i="5"/>
  <c r="L538" i="5"/>
  <c r="L537" i="5"/>
  <c r="L536" i="5"/>
  <c r="L535" i="5"/>
  <c r="L534" i="5"/>
  <c r="L532" i="5"/>
  <c r="L531" i="5"/>
  <c r="L530" i="5"/>
  <c r="L529" i="5"/>
  <c r="L527" i="5"/>
  <c r="L526" i="5"/>
  <c r="L525" i="5"/>
  <c r="L524" i="5"/>
  <c r="L523" i="5"/>
  <c r="L522" i="5"/>
  <c r="L521" i="5"/>
  <c r="L520" i="5"/>
  <c r="L518" i="5"/>
  <c r="L517" i="5"/>
  <c r="L516" i="5"/>
  <c r="L515" i="5"/>
  <c r="L514" i="5"/>
  <c r="L513" i="5"/>
  <c r="L512" i="5"/>
  <c r="L511" i="5"/>
  <c r="L510" i="5"/>
  <c r="L509" i="5"/>
  <c r="L508" i="5"/>
  <c r="L507" i="5"/>
  <c r="L505" i="5"/>
  <c r="L504" i="5"/>
  <c r="L503" i="5"/>
  <c r="L502" i="5"/>
  <c r="L501" i="5"/>
  <c r="L500" i="5"/>
  <c r="L499" i="5"/>
  <c r="L498" i="5"/>
  <c r="L497" i="5"/>
  <c r="L496" i="5"/>
  <c r="L495" i="5"/>
  <c r="L494" i="5"/>
  <c r="L493" i="5"/>
  <c r="L492" i="5"/>
  <c r="L476" i="5"/>
  <c r="L475" i="5"/>
  <c r="L474" i="5"/>
  <c r="L473" i="5"/>
  <c r="L472" i="5"/>
  <c r="L468" i="5"/>
  <c r="L467" i="5"/>
  <c r="L466" i="5"/>
  <c r="L465" i="5"/>
  <c r="L464" i="5"/>
  <c r="L463" i="5"/>
  <c r="L462" i="5"/>
  <c r="L461" i="5"/>
  <c r="L460" i="5"/>
  <c r="L459" i="5"/>
  <c r="L458" i="5"/>
  <c r="L457" i="5"/>
  <c r="L456" i="5"/>
  <c r="L455" i="5"/>
  <c r="L454" i="5"/>
  <c r="L453" i="5"/>
  <c r="L452" i="5"/>
  <c r="L450" i="5"/>
  <c r="L448" i="5"/>
  <c r="L447" i="5"/>
  <c r="L445" i="5"/>
  <c r="L443" i="5"/>
  <c r="L441" i="5"/>
  <c r="L439" i="5"/>
  <c r="L438" i="5"/>
  <c r="L437" i="5"/>
  <c r="L436" i="5"/>
  <c r="L435" i="5"/>
  <c r="L434" i="5"/>
  <c r="L432" i="5"/>
  <c r="L431" i="5"/>
  <c r="L429" i="5"/>
  <c r="L427" i="5"/>
  <c r="L426" i="5"/>
  <c r="L425" i="5"/>
  <c r="L424" i="5"/>
  <c r="L423" i="5"/>
  <c r="L422" i="5"/>
  <c r="L417" i="5"/>
  <c r="L416" i="5"/>
  <c r="L415" i="5"/>
  <c r="L414" i="5"/>
  <c r="L413" i="5"/>
  <c r="L412" i="5"/>
  <c r="L411" i="5"/>
  <c r="L410" i="5"/>
  <c r="L409" i="5"/>
  <c r="L408" i="5"/>
  <c r="L406" i="5"/>
  <c r="L404" i="5"/>
  <c r="L403" i="5"/>
  <c r="L400" i="5"/>
  <c r="L397" i="5"/>
  <c r="L396" i="5"/>
  <c r="L395" i="5"/>
  <c r="L393" i="5"/>
  <c r="L358" i="5"/>
  <c r="L357" i="5"/>
  <c r="L356" i="5"/>
  <c r="L355" i="5"/>
  <c r="L354" i="5"/>
  <c r="L353" i="5"/>
  <c r="L352" i="5"/>
  <c r="L349" i="5"/>
  <c r="L348" i="5"/>
  <c r="L347" i="5"/>
  <c r="L343" i="5"/>
  <c r="L342" i="5"/>
  <c r="L341" i="5"/>
  <c r="L338" i="5"/>
  <c r="L337" i="5"/>
  <c r="L336" i="5"/>
  <c r="L333" i="5"/>
  <c r="L332" i="5"/>
  <c r="L331" i="5"/>
  <c r="L329" i="5"/>
  <c r="L328" i="5"/>
  <c r="L315" i="5"/>
  <c r="L314" i="5"/>
  <c r="L313" i="5"/>
  <c r="L312" i="5"/>
  <c r="L311" i="5"/>
  <c r="L310" i="5"/>
  <c r="L309" i="5"/>
  <c r="L308" i="5"/>
  <c r="L307" i="5"/>
  <c r="L306" i="5"/>
  <c r="L305" i="5"/>
  <c r="L304" i="5"/>
  <c r="L303" i="5"/>
  <c r="L302" i="5"/>
  <c r="L300" i="5"/>
  <c r="L299" i="5"/>
  <c r="L298" i="5"/>
  <c r="L295" i="5"/>
  <c r="L292" i="5"/>
  <c r="L291" i="5"/>
  <c r="L289" i="5"/>
  <c r="L287" i="5"/>
  <c r="L286" i="5"/>
  <c r="L285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4" i="5"/>
  <c r="L263" i="5"/>
  <c r="L262" i="5"/>
  <c r="L260" i="5"/>
  <c r="L259" i="5"/>
  <c r="L258" i="5"/>
  <c r="L257" i="5"/>
  <c r="L256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8" i="5"/>
  <c r="L187" i="5"/>
  <c r="L186" i="5"/>
  <c r="L185" i="5"/>
  <c r="L184" i="5"/>
  <c r="L183" i="5"/>
  <c r="L182" i="5"/>
  <c r="L181" i="5"/>
  <c r="L180" i="5"/>
  <c r="L179" i="5"/>
  <c r="L178" i="5"/>
  <c r="L175" i="5"/>
  <c r="L174" i="5"/>
  <c r="L173" i="5"/>
  <c r="L172" i="5"/>
  <c r="L170" i="5"/>
  <c r="L169" i="5"/>
  <c r="L168" i="5"/>
  <c r="L167" i="5"/>
  <c r="L166" i="5"/>
  <c r="L165" i="5"/>
  <c r="L164" i="5"/>
  <c r="L163" i="5"/>
  <c r="L162" i="5"/>
  <c r="L161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1" i="5"/>
  <c r="L130" i="5"/>
  <c r="L129" i="5"/>
  <c r="L127" i="5"/>
  <c r="L126" i="5"/>
  <c r="L125" i="5"/>
  <c r="L124" i="5"/>
  <c r="L123" i="5"/>
  <c r="L122" i="5"/>
  <c r="L121" i="5"/>
  <c r="L119" i="5"/>
  <c r="L118" i="5"/>
  <c r="L117" i="5"/>
  <c r="L116" i="5"/>
  <c r="L115" i="5"/>
  <c r="L114" i="5"/>
  <c r="L112" i="5"/>
  <c r="L111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4" i="5"/>
  <c r="L93" i="5"/>
  <c r="L92" i="5"/>
  <c r="L91" i="5"/>
  <c r="L88" i="5"/>
  <c r="L84" i="5"/>
  <c r="L80" i="5"/>
  <c r="L79" i="5"/>
  <c r="L75" i="5"/>
  <c r="L74" i="5"/>
  <c r="L73" i="5"/>
  <c r="L72" i="5"/>
  <c r="L71" i="5"/>
  <c r="L70" i="5"/>
  <c r="L68" i="5"/>
  <c r="L66" i="5"/>
  <c r="L65" i="5"/>
  <c r="L64" i="5"/>
  <c r="L63" i="5"/>
  <c r="L62" i="5"/>
  <c r="L61" i="5"/>
  <c r="L59" i="5"/>
  <c r="L58" i="5"/>
  <c r="L57" i="5"/>
  <c r="L56" i="5"/>
  <c r="L55" i="5"/>
  <c r="L54" i="5"/>
  <c r="L53" i="5"/>
  <c r="L51" i="5"/>
  <c r="L50" i="5"/>
  <c r="L49" i="5"/>
  <c r="L48" i="5"/>
  <c r="L47" i="5"/>
  <c r="L46" i="5"/>
  <c r="L45" i="5"/>
  <c r="L44" i="5"/>
  <c r="L43" i="5"/>
  <c r="L41" i="5"/>
  <c r="L40" i="5"/>
  <c r="L39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0" i="5"/>
  <c r="L9" i="5"/>
  <c r="L8" i="5"/>
  <c r="L6" i="5"/>
  <c r="L5" i="5"/>
  <c r="F54" i="4"/>
  <c r="F53" i="4"/>
  <c r="F51" i="4"/>
  <c r="F48" i="4"/>
  <c r="F46" i="4"/>
  <c r="F44" i="4"/>
  <c r="F42" i="4"/>
  <c r="F41" i="4"/>
  <c r="F39" i="4"/>
  <c r="F38" i="4"/>
  <c r="F36" i="4"/>
  <c r="F33" i="4"/>
  <c r="F32" i="4"/>
  <c r="F30" i="4"/>
  <c r="F28" i="4"/>
  <c r="F26" i="4"/>
  <c r="F25" i="4"/>
  <c r="F23" i="4"/>
  <c r="F21" i="4"/>
  <c r="F19" i="4"/>
  <c r="F17" i="4"/>
  <c r="F15" i="4"/>
  <c r="F12" i="4"/>
  <c r="F8" i="4"/>
  <c r="F7" i="4"/>
  <c r="F6" i="4"/>
  <c r="E51" i="6"/>
  <c r="E49" i="6"/>
  <c r="E44" i="6"/>
  <c r="E36" i="6"/>
  <c r="E17" i="6"/>
  <c r="E10" i="6"/>
  <c r="L390" i="5"/>
  <c r="L389" i="5"/>
  <c r="L388" i="5"/>
  <c r="L387" i="5"/>
  <c r="L386" i="5"/>
  <c r="L385" i="5"/>
  <c r="L384" i="5"/>
  <c r="L383" i="5"/>
  <c r="L382" i="5"/>
  <c r="L381" i="5"/>
  <c r="L380" i="5"/>
  <c r="L379" i="5"/>
  <c r="L378" i="5"/>
  <c r="L377" i="5"/>
  <c r="L376" i="5"/>
  <c r="L375" i="5"/>
  <c r="L374" i="5"/>
  <c r="L373" i="5"/>
  <c r="L372" i="5"/>
  <c r="L371" i="5"/>
  <c r="L370" i="5"/>
  <c r="L369" i="5"/>
  <c r="L368" i="5"/>
  <c r="L367" i="5"/>
  <c r="L366" i="5"/>
  <c r="L365" i="5"/>
  <c r="L364" i="5"/>
  <c r="L363" i="5"/>
  <c r="L362" i="5"/>
  <c r="F52" i="4"/>
  <c r="F50" i="4"/>
  <c r="F45" i="4"/>
  <c r="F37" i="4"/>
  <c r="F18" i="4"/>
  <c r="F11" i="4"/>
  <c r="E30" i="6"/>
  <c r="E13" i="6"/>
  <c r="E9" i="6"/>
  <c r="L629" i="5"/>
  <c r="L628" i="5"/>
  <c r="L627" i="5"/>
  <c r="L620" i="5"/>
  <c r="L597" i="5"/>
  <c r="L596" i="5"/>
  <c r="L595" i="5"/>
  <c r="L592" i="5"/>
  <c r="L585" i="5"/>
  <c r="L584" i="5"/>
  <c r="L560" i="5"/>
  <c r="L554" i="5"/>
  <c r="L553" i="5"/>
  <c r="L543" i="5"/>
  <c r="L542" i="5"/>
  <c r="L491" i="5"/>
  <c r="L490" i="5"/>
  <c r="L489" i="5"/>
  <c r="L488" i="5"/>
  <c r="L487" i="5"/>
  <c r="L486" i="5"/>
  <c r="L485" i="5"/>
  <c r="L484" i="5"/>
  <c r="L483" i="5"/>
  <c r="L482" i="5"/>
  <c r="L481" i="5"/>
  <c r="L480" i="5"/>
  <c r="L479" i="5"/>
  <c r="L478" i="5"/>
  <c r="L477" i="5"/>
  <c r="L471" i="5"/>
  <c r="L470" i="5"/>
  <c r="L469" i="5"/>
  <c r="L421" i="5"/>
  <c r="L407" i="5"/>
  <c r="L402" i="5"/>
  <c r="L401" i="5"/>
  <c r="L399" i="5"/>
  <c r="L398" i="5"/>
  <c r="L394" i="5"/>
  <c r="L351" i="5"/>
  <c r="L350" i="5"/>
  <c r="L346" i="5"/>
  <c r="L345" i="5"/>
  <c r="L344" i="5"/>
  <c r="L340" i="5"/>
  <c r="L330" i="5"/>
  <c r="L297" i="5"/>
  <c r="L296" i="5"/>
  <c r="L290" i="5"/>
  <c r="L288" i="5"/>
  <c r="L266" i="5"/>
  <c r="L265" i="5"/>
  <c r="L261" i="5"/>
  <c r="F31" i="4"/>
  <c r="F14" i="4"/>
  <c r="F10" i="4"/>
  <c r="E54" i="6"/>
  <c r="E46" i="6"/>
  <c r="E42" i="6"/>
  <c r="E39" i="6"/>
  <c r="E33" i="6"/>
  <c r="E28" i="6"/>
  <c r="E26" i="6"/>
  <c r="E23" i="6"/>
  <c r="E19" i="6"/>
  <c r="E15" i="6"/>
  <c r="E12" i="6"/>
  <c r="E8" i="6"/>
  <c r="L662" i="5"/>
  <c r="L625" i="5"/>
  <c r="L619" i="5"/>
  <c r="L519" i="5"/>
  <c r="L420" i="5"/>
  <c r="L419" i="5"/>
  <c r="L418" i="5"/>
  <c r="L405" i="5"/>
  <c r="L359" i="5"/>
  <c r="Q359" i="5" s="1"/>
  <c r="T359" i="5" s="1"/>
  <c r="L339" i="5"/>
  <c r="L335" i="5"/>
  <c r="L334" i="5"/>
  <c r="L327" i="5"/>
  <c r="L326" i="5"/>
  <c r="L325" i="5"/>
  <c r="L324" i="5"/>
  <c r="L323" i="5"/>
  <c r="L322" i="5"/>
  <c r="L321" i="5"/>
  <c r="L320" i="5"/>
  <c r="L319" i="5"/>
  <c r="L318" i="5"/>
  <c r="L317" i="5"/>
  <c r="L316" i="5"/>
  <c r="L301" i="5"/>
  <c r="L189" i="5"/>
  <c r="L171" i="5"/>
  <c r="L160" i="5"/>
  <c r="L132" i="5"/>
  <c r="L128" i="5"/>
  <c r="L120" i="5"/>
  <c r="L113" i="5"/>
  <c r="L110" i="5"/>
  <c r="L96" i="5"/>
  <c r="L95" i="5"/>
  <c r="L90" i="5"/>
  <c r="L89" i="5"/>
  <c r="L87" i="5"/>
  <c r="L86" i="5"/>
  <c r="L85" i="5"/>
  <c r="L83" i="5"/>
  <c r="L82" i="5"/>
  <c r="L81" i="5"/>
  <c r="L78" i="5"/>
  <c r="L77" i="5"/>
  <c r="L76" i="5"/>
  <c r="L69" i="5"/>
  <c r="L67" i="5"/>
  <c r="L60" i="5"/>
  <c r="L52" i="5"/>
  <c r="L42" i="5"/>
  <c r="L38" i="5"/>
  <c r="L12" i="5"/>
  <c r="L11" i="5"/>
  <c r="L7" i="5"/>
  <c r="F55" i="4"/>
  <c r="K55" i="4" s="1"/>
  <c r="M55" i="4" s="1"/>
  <c r="F47" i="4"/>
  <c r="F43" i="4"/>
  <c r="F40" i="4"/>
  <c r="F34" i="4"/>
  <c r="F29" i="4"/>
  <c r="F27" i="4"/>
  <c r="F24" i="4"/>
  <c r="F20" i="4"/>
  <c r="F16" i="4"/>
  <c r="F13" i="4"/>
  <c r="F9" i="4"/>
  <c r="C8" i="12"/>
  <c r="C7" i="12"/>
  <c r="C6" i="12"/>
  <c r="E34" i="6"/>
  <c r="L720" i="5"/>
  <c r="L702" i="5"/>
  <c r="L700" i="5"/>
  <c r="L684" i="5"/>
  <c r="L666" i="5"/>
  <c r="F35" i="4"/>
  <c r="C39" i="14"/>
  <c r="L39" i="14" s="1"/>
  <c r="M39" i="14" s="1"/>
  <c r="C38" i="14"/>
  <c r="L38" i="14" s="1"/>
  <c r="M38" i="14" s="1"/>
  <c r="C37" i="14"/>
  <c r="L37" i="14" s="1"/>
  <c r="M37" i="14" s="1"/>
  <c r="C36" i="14"/>
  <c r="L36" i="14" s="1"/>
  <c r="M36" i="14" s="1"/>
  <c r="C35" i="14"/>
  <c r="L35" i="14" s="1"/>
  <c r="M35" i="14" s="1"/>
  <c r="C34" i="14"/>
  <c r="L34" i="14" s="1"/>
  <c r="M34" i="14" s="1"/>
  <c r="C33" i="14"/>
  <c r="L33" i="14" s="1"/>
  <c r="C17" i="13"/>
  <c r="K17" i="13" s="1"/>
  <c r="L17" i="13" s="1"/>
  <c r="C16" i="13"/>
  <c r="K16" i="13" s="1"/>
  <c r="L16" i="13" s="1"/>
  <c r="C15" i="13"/>
  <c r="K15" i="13" s="1"/>
  <c r="L15" i="13" s="1"/>
  <c r="C14" i="13"/>
  <c r="K14" i="13" s="1"/>
  <c r="L14" i="13" s="1"/>
  <c r="C11" i="13"/>
  <c r="K11" i="13" s="1"/>
  <c r="L11" i="13" s="1"/>
  <c r="C9" i="13"/>
  <c r="K9" i="13" s="1"/>
  <c r="L9" i="13" s="1"/>
  <c r="C7" i="13"/>
  <c r="K7" i="13" s="1"/>
  <c r="L7" i="13" s="1"/>
  <c r="C29" i="10"/>
  <c r="C24" i="10"/>
  <c r="C20" i="10"/>
  <c r="C12" i="10"/>
  <c r="C7" i="10"/>
  <c r="C7" i="9"/>
  <c r="K7" i="9" s="1"/>
  <c r="L7" i="9" s="1"/>
  <c r="C29" i="14"/>
  <c r="L29" i="14" s="1"/>
  <c r="M29" i="14" s="1"/>
  <c r="C28" i="14"/>
  <c r="L28" i="14" s="1"/>
  <c r="M28" i="14" s="1"/>
  <c r="C27" i="14"/>
  <c r="L27" i="14" s="1"/>
  <c r="C23" i="14"/>
  <c r="L23" i="14" s="1"/>
  <c r="M23" i="14" s="1"/>
  <c r="C22" i="14"/>
  <c r="L22" i="14" s="1"/>
  <c r="M22" i="14" s="1"/>
  <c r="C21" i="14"/>
  <c r="L21" i="14" s="1"/>
  <c r="C17" i="14"/>
  <c r="L17" i="14" s="1"/>
  <c r="M17" i="14" s="1"/>
  <c r="C16" i="14"/>
  <c r="L16" i="14" s="1"/>
  <c r="M16" i="14" s="1"/>
  <c r="C15" i="14"/>
  <c r="L15" i="14" s="1"/>
  <c r="M15" i="14" s="1"/>
  <c r="C14" i="14"/>
  <c r="L14" i="14" s="1"/>
  <c r="C10" i="14"/>
  <c r="L10" i="14" s="1"/>
  <c r="M10" i="14" s="1"/>
  <c r="C9" i="14"/>
  <c r="L9" i="14" s="1"/>
  <c r="M9" i="14" s="1"/>
  <c r="C8" i="14"/>
  <c r="L8" i="14" s="1"/>
  <c r="M8" i="14" s="1"/>
  <c r="C7" i="14"/>
  <c r="L7" i="14" s="1"/>
  <c r="M7" i="14" s="1"/>
  <c r="C6" i="14"/>
  <c r="L6" i="14" s="1"/>
  <c r="C13" i="13"/>
  <c r="K13" i="13" s="1"/>
  <c r="L13" i="13" s="1"/>
  <c r="C12" i="13"/>
  <c r="K12" i="13" s="1"/>
  <c r="L12" i="13" s="1"/>
  <c r="C10" i="13"/>
  <c r="K10" i="13" s="1"/>
  <c r="L10" i="13" s="1"/>
  <c r="C8" i="13"/>
  <c r="K8" i="13" s="1"/>
  <c r="L8" i="13" s="1"/>
  <c r="C6" i="13"/>
  <c r="K6" i="13" s="1"/>
  <c r="C10" i="12"/>
  <c r="K10" i="12" s="1"/>
  <c r="L10" i="12" s="1"/>
  <c r="C9" i="12"/>
  <c r="K9" i="12" s="1"/>
  <c r="L9" i="12" s="1"/>
  <c r="C28" i="10"/>
  <c r="C16" i="10"/>
  <c r="C11" i="10"/>
  <c r="C6" i="10"/>
  <c r="C6" i="9"/>
  <c r="K6" i="9" s="1"/>
  <c r="E21" i="6"/>
  <c r="L533" i="5"/>
  <c r="L528" i="5"/>
  <c r="L506" i="5"/>
  <c r="F22" i="4"/>
  <c r="C11" i="2"/>
  <c r="C10" i="2"/>
  <c r="B12" i="2" s="1"/>
  <c r="E11" i="2"/>
  <c r="E10" i="2"/>
  <c r="D12" i="2" s="1"/>
  <c r="G11" i="2"/>
  <c r="G10" i="2"/>
  <c r="F12" i="2" s="1"/>
  <c r="I11" i="2"/>
  <c r="I10" i="2"/>
  <c r="H12" i="2" s="1"/>
  <c r="K11" i="2"/>
  <c r="K10" i="2"/>
  <c r="J12" i="2" s="1"/>
  <c r="M11" i="2"/>
  <c r="M10" i="2"/>
  <c r="L12" i="2" s="1"/>
  <c r="O11" i="2"/>
  <c r="O10" i="2"/>
  <c r="N12" i="2" s="1"/>
  <c r="Q11" i="2"/>
  <c r="Q10" i="2"/>
  <c r="P12" i="2" s="1"/>
  <c r="G5" i="6"/>
  <c r="M721" i="5"/>
  <c r="M671" i="5"/>
  <c r="M468" i="5"/>
  <c r="M467" i="5"/>
  <c r="M459" i="5"/>
  <c r="M456" i="5"/>
  <c r="M426" i="5"/>
  <c r="M403" i="5"/>
  <c r="M393" i="5"/>
  <c r="M295" i="5"/>
  <c r="M259" i="5"/>
  <c r="M209" i="5"/>
  <c r="M26" i="5"/>
  <c r="M25" i="5"/>
  <c r="M24" i="5"/>
  <c r="K6" i="4"/>
  <c r="H5" i="6"/>
  <c r="N721" i="5"/>
  <c r="N671" i="5"/>
  <c r="N468" i="5"/>
  <c r="N467" i="5"/>
  <c r="N459" i="5"/>
  <c r="N456" i="5"/>
  <c r="N426" i="5"/>
  <c r="N403" i="5"/>
  <c r="N393" i="5"/>
  <c r="N295" i="5"/>
  <c r="N259" i="5"/>
  <c r="N209" i="5"/>
  <c r="N26" i="5"/>
  <c r="N25" i="5"/>
  <c r="N24" i="5"/>
  <c r="I5" i="6"/>
  <c r="P721" i="5"/>
  <c r="P671" i="5"/>
  <c r="P468" i="5"/>
  <c r="P467" i="5"/>
  <c r="P459" i="5"/>
  <c r="P456" i="5"/>
  <c r="P426" i="5"/>
  <c r="P403" i="5"/>
  <c r="P393" i="5"/>
  <c r="P295" i="5"/>
  <c r="P259" i="5"/>
  <c r="P209" i="5"/>
  <c r="P26" i="5"/>
  <c r="P25" i="5"/>
  <c r="P24" i="5"/>
  <c r="L6" i="4"/>
  <c r="G6" i="6"/>
  <c r="M238" i="5"/>
  <c r="M80" i="5"/>
  <c r="K7" i="4"/>
  <c r="M7" i="4" s="1"/>
  <c r="N7" i="4" s="1"/>
  <c r="H6" i="6"/>
  <c r="N238" i="5"/>
  <c r="N80" i="5"/>
  <c r="I6" i="6"/>
  <c r="P238" i="5"/>
  <c r="P80" i="5"/>
  <c r="L7" i="4"/>
  <c r="G7" i="6"/>
  <c r="M714" i="5"/>
  <c r="M698" i="5"/>
  <c r="M697" i="5"/>
  <c r="M696" i="5"/>
  <c r="M695" i="5"/>
  <c r="M680" i="5"/>
  <c r="M679" i="5"/>
  <c r="M659" i="5"/>
  <c r="M315" i="5"/>
  <c r="M244" i="5"/>
  <c r="M237" i="5"/>
  <c r="M235" i="5"/>
  <c r="M227" i="5"/>
  <c r="M203" i="5"/>
  <c r="M200" i="5"/>
  <c r="M195" i="5"/>
  <c r="K8" i="4"/>
  <c r="M8" i="4" s="1"/>
  <c r="N8" i="4" s="1"/>
  <c r="H7" i="6"/>
  <c r="N714" i="5"/>
  <c r="N698" i="5"/>
  <c r="N697" i="5"/>
  <c r="N696" i="5"/>
  <c r="N695" i="5"/>
  <c r="N680" i="5"/>
  <c r="N679" i="5"/>
  <c r="N659" i="5"/>
  <c r="N315" i="5"/>
  <c r="N244" i="5"/>
  <c r="N237" i="5"/>
  <c r="N235" i="5"/>
  <c r="N227" i="5"/>
  <c r="N203" i="5"/>
  <c r="N200" i="5"/>
  <c r="N195" i="5"/>
  <c r="I7" i="6"/>
  <c r="P714" i="5"/>
  <c r="P698" i="5"/>
  <c r="P697" i="5"/>
  <c r="P696" i="5"/>
  <c r="P695" i="5"/>
  <c r="P680" i="5"/>
  <c r="P679" i="5"/>
  <c r="P659" i="5"/>
  <c r="P315" i="5"/>
  <c r="P244" i="5"/>
  <c r="P237" i="5"/>
  <c r="P235" i="5"/>
  <c r="P227" i="5"/>
  <c r="P203" i="5"/>
  <c r="P200" i="5"/>
  <c r="P195" i="5"/>
  <c r="L8" i="4"/>
  <c r="G8" i="6"/>
  <c r="M625" i="5"/>
  <c r="M519" i="5"/>
  <c r="M316" i="5"/>
  <c r="M171" i="5"/>
  <c r="M160" i="5"/>
  <c r="M132" i="5"/>
  <c r="M128" i="5"/>
  <c r="M120" i="5"/>
  <c r="M110" i="5"/>
  <c r="M96" i="5"/>
  <c r="M95" i="5"/>
  <c r="M86" i="5"/>
  <c r="M85" i="5"/>
  <c r="M83" i="5"/>
  <c r="M82" i="5"/>
  <c r="M81" i="5"/>
  <c r="M78" i="5"/>
  <c r="M77" i="5"/>
  <c r="M76" i="5"/>
  <c r="M69" i="5"/>
  <c r="M67" i="5"/>
  <c r="M60" i="5"/>
  <c r="M52" i="5"/>
  <c r="M12" i="5"/>
  <c r="M11" i="5"/>
  <c r="M7" i="5"/>
  <c r="K9" i="4"/>
  <c r="M9" i="4" s="1"/>
  <c r="N9" i="4" s="1"/>
  <c r="H8" i="6"/>
  <c r="N625" i="5"/>
  <c r="N519" i="5"/>
  <c r="N316" i="5"/>
  <c r="N171" i="5"/>
  <c r="N160" i="5"/>
  <c r="N132" i="5"/>
  <c r="N128" i="5"/>
  <c r="N120" i="5"/>
  <c r="N110" i="5"/>
  <c r="N96" i="5"/>
  <c r="N95" i="5"/>
  <c r="N86" i="5"/>
  <c r="N85" i="5"/>
  <c r="N83" i="5"/>
  <c r="N82" i="5"/>
  <c r="N81" i="5"/>
  <c r="N78" i="5"/>
  <c r="N77" i="5"/>
  <c r="N76" i="5"/>
  <c r="N69" i="5"/>
  <c r="N67" i="5"/>
  <c r="N60" i="5"/>
  <c r="N52" i="5"/>
  <c r="N12" i="5"/>
  <c r="N11" i="5"/>
  <c r="N7" i="5"/>
  <c r="I8" i="6"/>
  <c r="P625" i="5"/>
  <c r="P519" i="5"/>
  <c r="P316" i="5"/>
  <c r="P171" i="5"/>
  <c r="P160" i="5"/>
  <c r="P132" i="5"/>
  <c r="P128" i="5"/>
  <c r="P120" i="5"/>
  <c r="P110" i="5"/>
  <c r="P96" i="5"/>
  <c r="P95" i="5"/>
  <c r="P86" i="5"/>
  <c r="P85" i="5"/>
  <c r="P83" i="5"/>
  <c r="P82" i="5"/>
  <c r="P81" i="5"/>
  <c r="P78" i="5"/>
  <c r="P77" i="5"/>
  <c r="P76" i="5"/>
  <c r="P69" i="5"/>
  <c r="P67" i="5"/>
  <c r="P60" i="5"/>
  <c r="P52" i="5"/>
  <c r="P12" i="5"/>
  <c r="P11" i="5"/>
  <c r="P7" i="5"/>
  <c r="L9" i="4"/>
  <c r="G9" i="6"/>
  <c r="M628" i="5"/>
  <c r="M627" i="5"/>
  <c r="M596" i="5"/>
  <c r="M595" i="5"/>
  <c r="M560" i="5"/>
  <c r="M553" i="5"/>
  <c r="M542" i="5"/>
  <c r="M491" i="5"/>
  <c r="M470" i="5"/>
  <c r="M469" i="5"/>
  <c r="M421" i="5"/>
  <c r="M407" i="5"/>
  <c r="M402" i="5"/>
  <c r="M401" i="5"/>
  <c r="M399" i="5"/>
  <c r="M398" i="5"/>
  <c r="M394" i="5"/>
  <c r="M346" i="5"/>
  <c r="M345" i="5"/>
  <c r="M340" i="5"/>
  <c r="M330" i="5"/>
  <c r="M297" i="5"/>
  <c r="M296" i="5"/>
  <c r="M290" i="5"/>
  <c r="M288" i="5"/>
  <c r="M261" i="5"/>
  <c r="K10" i="4"/>
  <c r="M10" i="4" s="1"/>
  <c r="N10" i="4" s="1"/>
  <c r="H9" i="6"/>
  <c r="N628" i="5"/>
  <c r="N627" i="5"/>
  <c r="N596" i="5"/>
  <c r="N595" i="5"/>
  <c r="N560" i="5"/>
  <c r="N553" i="5"/>
  <c r="N542" i="5"/>
  <c r="N491" i="5"/>
  <c r="N470" i="5"/>
  <c r="N469" i="5"/>
  <c r="N421" i="5"/>
  <c r="N407" i="5"/>
  <c r="N402" i="5"/>
  <c r="N401" i="5"/>
  <c r="N399" i="5"/>
  <c r="N398" i="5"/>
  <c r="N394" i="5"/>
  <c r="N346" i="5"/>
  <c r="N345" i="5"/>
  <c r="N340" i="5"/>
  <c r="N330" i="5"/>
  <c r="N297" i="5"/>
  <c r="N296" i="5"/>
  <c r="N290" i="5"/>
  <c r="N288" i="5"/>
  <c r="N261" i="5"/>
  <c r="I9" i="6"/>
  <c r="P628" i="5"/>
  <c r="P627" i="5"/>
  <c r="P596" i="5"/>
  <c r="P595" i="5"/>
  <c r="P560" i="5"/>
  <c r="P553" i="5"/>
  <c r="P542" i="5"/>
  <c r="P491" i="5"/>
  <c r="P470" i="5"/>
  <c r="P469" i="5"/>
  <c r="P421" i="5"/>
  <c r="P407" i="5"/>
  <c r="P402" i="5"/>
  <c r="P401" i="5"/>
  <c r="P399" i="5"/>
  <c r="P398" i="5"/>
  <c r="P394" i="5"/>
  <c r="P346" i="5"/>
  <c r="P345" i="5"/>
  <c r="P340" i="5"/>
  <c r="P330" i="5"/>
  <c r="P297" i="5"/>
  <c r="P296" i="5"/>
  <c r="P290" i="5"/>
  <c r="P288" i="5"/>
  <c r="P261" i="5"/>
  <c r="L10" i="4"/>
  <c r="G10" i="6"/>
  <c r="M387" i="5"/>
  <c r="M386" i="5"/>
  <c r="M385" i="5"/>
  <c r="M384" i="5"/>
  <c r="M383" i="5"/>
  <c r="M382" i="5"/>
  <c r="M379" i="5"/>
  <c r="M378" i="5"/>
  <c r="M377" i="5"/>
  <c r="M376" i="5"/>
  <c r="M375" i="5"/>
  <c r="M374" i="5"/>
  <c r="M373" i="5"/>
  <c r="M372" i="5"/>
  <c r="M370" i="5"/>
  <c r="M365" i="5"/>
  <c r="K11" i="4"/>
  <c r="M11" i="4" s="1"/>
  <c r="N11" i="4" s="1"/>
  <c r="H10" i="6"/>
  <c r="N387" i="5"/>
  <c r="N386" i="5"/>
  <c r="N385" i="5"/>
  <c r="N384" i="5"/>
  <c r="N383" i="5"/>
  <c r="N382" i="5"/>
  <c r="N379" i="5"/>
  <c r="N378" i="5"/>
  <c r="N377" i="5"/>
  <c r="N376" i="5"/>
  <c r="N375" i="5"/>
  <c r="N374" i="5"/>
  <c r="N373" i="5"/>
  <c r="N372" i="5"/>
  <c r="N370" i="5"/>
  <c r="N365" i="5"/>
  <c r="I10" i="6"/>
  <c r="P387" i="5"/>
  <c r="P386" i="5"/>
  <c r="P385" i="5"/>
  <c r="P384" i="5"/>
  <c r="P383" i="5"/>
  <c r="P382" i="5"/>
  <c r="P379" i="5"/>
  <c r="P378" i="5"/>
  <c r="P377" i="5"/>
  <c r="P376" i="5"/>
  <c r="P375" i="5"/>
  <c r="P374" i="5"/>
  <c r="P373" i="5"/>
  <c r="P372" i="5"/>
  <c r="P370" i="5"/>
  <c r="P365" i="5"/>
  <c r="L11" i="4"/>
  <c r="G11" i="6"/>
  <c r="M264" i="5"/>
  <c r="M240" i="5"/>
  <c r="M239" i="5"/>
  <c r="M205" i="5"/>
  <c r="M204" i="5"/>
  <c r="M198" i="5"/>
  <c r="M144" i="5"/>
  <c r="M143" i="5"/>
  <c r="M142" i="5"/>
  <c r="M141" i="5"/>
  <c r="K12" i="4"/>
  <c r="M12" i="4" s="1"/>
  <c r="N12" i="4" s="1"/>
  <c r="H11" i="6"/>
  <c r="N264" i="5"/>
  <c r="N240" i="5"/>
  <c r="N239" i="5"/>
  <c r="N205" i="5"/>
  <c r="N204" i="5"/>
  <c r="N198" i="5"/>
  <c r="N144" i="5"/>
  <c r="N143" i="5"/>
  <c r="N142" i="5"/>
  <c r="N141" i="5"/>
  <c r="I11" i="6"/>
  <c r="P264" i="5"/>
  <c r="P240" i="5"/>
  <c r="P239" i="5"/>
  <c r="P205" i="5"/>
  <c r="P204" i="5"/>
  <c r="P198" i="5"/>
  <c r="P144" i="5"/>
  <c r="P143" i="5"/>
  <c r="P142" i="5"/>
  <c r="P141" i="5"/>
  <c r="L12" i="4"/>
  <c r="G12" i="6"/>
  <c r="M113" i="5"/>
  <c r="M90" i="5"/>
  <c r="M89" i="5"/>
  <c r="M87" i="5"/>
  <c r="K13" i="4"/>
  <c r="M13" i="4" s="1"/>
  <c r="N13" i="4" s="1"/>
  <c r="H12" i="6"/>
  <c r="N113" i="5"/>
  <c r="N90" i="5"/>
  <c r="N89" i="5"/>
  <c r="N87" i="5"/>
  <c r="I12" i="6"/>
  <c r="P113" i="5"/>
  <c r="P90" i="5"/>
  <c r="P89" i="5"/>
  <c r="P87" i="5"/>
  <c r="L13" i="4"/>
  <c r="G13" i="6"/>
  <c r="M629" i="5"/>
  <c r="M620" i="5"/>
  <c r="M597" i="5"/>
  <c r="M592" i="5"/>
  <c r="M585" i="5"/>
  <c r="M584" i="5"/>
  <c r="M554" i="5"/>
  <c r="M543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1" i="5"/>
  <c r="M351" i="5"/>
  <c r="M350" i="5"/>
  <c r="M266" i="5"/>
  <c r="M265" i="5"/>
  <c r="K14" i="4"/>
  <c r="M14" i="4" s="1"/>
  <c r="N14" i="4" s="1"/>
  <c r="H13" i="6"/>
  <c r="N629" i="5"/>
  <c r="N620" i="5"/>
  <c r="N597" i="5"/>
  <c r="N592" i="5"/>
  <c r="N585" i="5"/>
  <c r="N584" i="5"/>
  <c r="N554" i="5"/>
  <c r="N543" i="5"/>
  <c r="N490" i="5"/>
  <c r="N489" i="5"/>
  <c r="N488" i="5"/>
  <c r="N487" i="5"/>
  <c r="N486" i="5"/>
  <c r="N485" i="5"/>
  <c r="N484" i="5"/>
  <c r="N483" i="5"/>
  <c r="N482" i="5"/>
  <c r="N481" i="5"/>
  <c r="N480" i="5"/>
  <c r="N479" i="5"/>
  <c r="N478" i="5"/>
  <c r="N477" i="5"/>
  <c r="N471" i="5"/>
  <c r="N351" i="5"/>
  <c r="N350" i="5"/>
  <c r="N266" i="5"/>
  <c r="N265" i="5"/>
  <c r="I13" i="6"/>
  <c r="P629" i="5"/>
  <c r="P620" i="5"/>
  <c r="P597" i="5"/>
  <c r="P592" i="5"/>
  <c r="P585" i="5"/>
  <c r="P584" i="5"/>
  <c r="P554" i="5"/>
  <c r="P543" i="5"/>
  <c r="P490" i="5"/>
  <c r="P489" i="5"/>
  <c r="P488" i="5"/>
  <c r="P487" i="5"/>
  <c r="P486" i="5"/>
  <c r="P485" i="5"/>
  <c r="P484" i="5"/>
  <c r="P483" i="5"/>
  <c r="P482" i="5"/>
  <c r="P481" i="5"/>
  <c r="P480" i="5"/>
  <c r="P479" i="5"/>
  <c r="P478" i="5"/>
  <c r="P477" i="5"/>
  <c r="P471" i="5"/>
  <c r="P351" i="5"/>
  <c r="P350" i="5"/>
  <c r="P266" i="5"/>
  <c r="P265" i="5"/>
  <c r="L14" i="4"/>
  <c r="G14" i="6"/>
  <c r="M539" i="5"/>
  <c r="M535" i="5"/>
  <c r="M525" i="5"/>
  <c r="M524" i="5"/>
  <c r="M513" i="5"/>
  <c r="M512" i="5"/>
  <c r="M502" i="5"/>
  <c r="M501" i="5"/>
  <c r="M492" i="5"/>
  <c r="M250" i="5"/>
  <c r="M249" i="5"/>
  <c r="M248" i="5"/>
  <c r="M247" i="5"/>
  <c r="M217" i="5"/>
  <c r="M216" i="5"/>
  <c r="M215" i="5"/>
  <c r="M214" i="5"/>
  <c r="K15" i="4"/>
  <c r="M15" i="4" s="1"/>
  <c r="N15" i="4" s="1"/>
  <c r="H14" i="6"/>
  <c r="N539" i="5"/>
  <c r="N535" i="5"/>
  <c r="N525" i="5"/>
  <c r="N524" i="5"/>
  <c r="N513" i="5"/>
  <c r="N512" i="5"/>
  <c r="N502" i="5"/>
  <c r="N501" i="5"/>
  <c r="N492" i="5"/>
  <c r="N250" i="5"/>
  <c r="N249" i="5"/>
  <c r="N248" i="5"/>
  <c r="N247" i="5"/>
  <c r="N217" i="5"/>
  <c r="N216" i="5"/>
  <c r="N215" i="5"/>
  <c r="N214" i="5"/>
  <c r="I14" i="6"/>
  <c r="P539" i="5"/>
  <c r="P535" i="5"/>
  <c r="P525" i="5"/>
  <c r="P524" i="5"/>
  <c r="P513" i="5"/>
  <c r="P512" i="5"/>
  <c r="P502" i="5"/>
  <c r="P501" i="5"/>
  <c r="P492" i="5"/>
  <c r="P250" i="5"/>
  <c r="P249" i="5"/>
  <c r="P248" i="5"/>
  <c r="P247" i="5"/>
  <c r="P217" i="5"/>
  <c r="P216" i="5"/>
  <c r="P215" i="5"/>
  <c r="P214" i="5"/>
  <c r="L15" i="4"/>
  <c r="G15" i="6"/>
  <c r="M619" i="5"/>
  <c r="K16" i="4"/>
  <c r="M16" i="4" s="1"/>
  <c r="N16" i="4" s="1"/>
  <c r="H15" i="6"/>
  <c r="N619" i="5"/>
  <c r="I15" i="6"/>
  <c r="P619" i="5"/>
  <c r="L16" i="4"/>
  <c r="G16" i="6"/>
  <c r="M462" i="5"/>
  <c r="M458" i="5"/>
  <c r="M457" i="5"/>
  <c r="M220" i="5"/>
  <c r="K17" i="4"/>
  <c r="M17" i="4" s="1"/>
  <c r="N17" i="4" s="1"/>
  <c r="H16" i="6"/>
  <c r="N462" i="5"/>
  <c r="N458" i="5"/>
  <c r="N457" i="5"/>
  <c r="N220" i="5"/>
  <c r="I16" i="6"/>
  <c r="P462" i="5"/>
  <c r="P458" i="5"/>
  <c r="P457" i="5"/>
  <c r="P220" i="5"/>
  <c r="L17" i="4"/>
  <c r="G17" i="6"/>
  <c r="M362" i="5"/>
  <c r="K18" i="4"/>
  <c r="M18" i="4" s="1"/>
  <c r="N18" i="4" s="1"/>
  <c r="H17" i="6"/>
  <c r="N362" i="5"/>
  <c r="I17" i="6"/>
  <c r="P362" i="5"/>
  <c r="L18" i="4"/>
  <c r="G18" i="6"/>
  <c r="M299" i="5"/>
  <c r="M277" i="5"/>
  <c r="M260" i="5"/>
  <c r="M5" i="5"/>
  <c r="K19" i="4"/>
  <c r="M19" i="4" s="1"/>
  <c r="N19" i="4" s="1"/>
  <c r="H18" i="6"/>
  <c r="N299" i="5"/>
  <c r="N277" i="5"/>
  <c r="N260" i="5"/>
  <c r="N5" i="5"/>
  <c r="I18" i="6"/>
  <c r="P299" i="5"/>
  <c r="P277" i="5"/>
  <c r="P260" i="5"/>
  <c r="P5" i="5"/>
  <c r="L19" i="4"/>
  <c r="G19" i="6"/>
  <c r="M319" i="5"/>
  <c r="K20" i="4"/>
  <c r="M20" i="4" s="1"/>
  <c r="N20" i="4" s="1"/>
  <c r="H19" i="6"/>
  <c r="N319" i="5"/>
  <c r="I19" i="6"/>
  <c r="P319" i="5"/>
  <c r="L20" i="4"/>
  <c r="G20" i="6"/>
  <c r="M436" i="5"/>
  <c r="K21" i="4"/>
  <c r="M21" i="4" s="1"/>
  <c r="N21" i="4" s="1"/>
  <c r="H20" i="6"/>
  <c r="N436" i="5"/>
  <c r="I20" i="6"/>
  <c r="P436" i="5"/>
  <c r="L21" i="4"/>
  <c r="G21" i="6"/>
  <c r="M533" i="5"/>
  <c r="M528" i="5"/>
  <c r="M506" i="5"/>
  <c r="K22" i="4"/>
  <c r="M22" i="4" s="1"/>
  <c r="N22" i="4" s="1"/>
  <c r="H21" i="6"/>
  <c r="N533" i="5"/>
  <c r="N528" i="5"/>
  <c r="N506" i="5"/>
  <c r="I21" i="6"/>
  <c r="P533" i="5"/>
  <c r="P528" i="5"/>
  <c r="P506" i="5"/>
  <c r="L22" i="4"/>
  <c r="G22" i="6"/>
  <c r="M661" i="5"/>
  <c r="M532" i="5"/>
  <c r="M520" i="5"/>
  <c r="M508" i="5"/>
  <c r="M497" i="5"/>
  <c r="M300" i="5"/>
  <c r="M188" i="5"/>
  <c r="M41" i="5"/>
  <c r="M37" i="5"/>
  <c r="K23" i="4"/>
  <c r="M23" i="4" s="1"/>
  <c r="N23" i="4" s="1"/>
  <c r="H22" i="6"/>
  <c r="N661" i="5"/>
  <c r="N532" i="5"/>
  <c r="N520" i="5"/>
  <c r="N508" i="5"/>
  <c r="N497" i="5"/>
  <c r="N300" i="5"/>
  <c r="N188" i="5"/>
  <c r="N41" i="5"/>
  <c r="N37" i="5"/>
  <c r="I22" i="6"/>
  <c r="P661" i="5"/>
  <c r="P532" i="5"/>
  <c r="P520" i="5"/>
  <c r="P508" i="5"/>
  <c r="P497" i="5"/>
  <c r="P300" i="5"/>
  <c r="P188" i="5"/>
  <c r="P41" i="5"/>
  <c r="P37" i="5"/>
  <c r="L23" i="4"/>
  <c r="G23" i="6"/>
  <c r="M662" i="5"/>
  <c r="M321" i="5"/>
  <c r="M320" i="5"/>
  <c r="M301" i="5"/>
  <c r="M189" i="5"/>
  <c r="M42" i="5"/>
  <c r="M38" i="5"/>
  <c r="K24" i="4"/>
  <c r="M24" i="4" s="1"/>
  <c r="N24" i="4" s="1"/>
  <c r="H23" i="6"/>
  <c r="N662" i="5"/>
  <c r="N321" i="5"/>
  <c r="N320" i="5"/>
  <c r="N301" i="5"/>
  <c r="N189" i="5"/>
  <c r="N42" i="5"/>
  <c r="N38" i="5"/>
  <c r="I23" i="6"/>
  <c r="P662" i="5"/>
  <c r="P321" i="5"/>
  <c r="P320" i="5"/>
  <c r="P301" i="5"/>
  <c r="P189" i="5"/>
  <c r="P42" i="5"/>
  <c r="P38" i="5"/>
  <c r="L24" i="4"/>
  <c r="G24" i="6"/>
  <c r="M208" i="5"/>
  <c r="M63" i="5"/>
  <c r="K25" i="4"/>
  <c r="M25" i="4" s="1"/>
  <c r="N25" i="4" s="1"/>
  <c r="H24" i="6"/>
  <c r="N208" i="5"/>
  <c r="N63" i="5"/>
  <c r="I24" i="6"/>
  <c r="P208" i="5"/>
  <c r="P63" i="5"/>
  <c r="L25" i="4"/>
  <c r="G25" i="6"/>
  <c r="M687" i="5"/>
  <c r="M685" i="5"/>
  <c r="M667" i="5"/>
  <c r="M663" i="5"/>
  <c r="M538" i="5"/>
  <c r="M534" i="5"/>
  <c r="M530" i="5"/>
  <c r="M521" i="5"/>
  <c r="M516" i="5"/>
  <c r="M509" i="5"/>
  <c r="M505" i="5"/>
  <c r="M498" i="5"/>
  <c r="M306" i="5"/>
  <c r="M304" i="5"/>
  <c r="M302" i="5"/>
  <c r="M252" i="5"/>
  <c r="M246" i="5"/>
  <c r="M212" i="5"/>
  <c r="M43" i="5"/>
  <c r="M40" i="5"/>
  <c r="M39" i="5"/>
  <c r="K26" i="4"/>
  <c r="M26" i="4" s="1"/>
  <c r="N26" i="4" s="1"/>
  <c r="H25" i="6"/>
  <c r="N687" i="5"/>
  <c r="N685" i="5"/>
  <c r="N667" i="5"/>
  <c r="N663" i="5"/>
  <c r="N538" i="5"/>
  <c r="N534" i="5"/>
  <c r="N530" i="5"/>
  <c r="N521" i="5"/>
  <c r="N516" i="5"/>
  <c r="N509" i="5"/>
  <c r="N505" i="5"/>
  <c r="N498" i="5"/>
  <c r="N306" i="5"/>
  <c r="N304" i="5"/>
  <c r="N302" i="5"/>
  <c r="N252" i="5"/>
  <c r="N246" i="5"/>
  <c r="N212" i="5"/>
  <c r="N43" i="5"/>
  <c r="N40" i="5"/>
  <c r="N39" i="5"/>
  <c r="I25" i="6"/>
  <c r="P687" i="5"/>
  <c r="P685" i="5"/>
  <c r="P667" i="5"/>
  <c r="P663" i="5"/>
  <c r="P538" i="5"/>
  <c r="P534" i="5"/>
  <c r="P530" i="5"/>
  <c r="P521" i="5"/>
  <c r="P516" i="5"/>
  <c r="P509" i="5"/>
  <c r="P505" i="5"/>
  <c r="P498" i="5"/>
  <c r="P306" i="5"/>
  <c r="P304" i="5"/>
  <c r="P302" i="5"/>
  <c r="P252" i="5"/>
  <c r="P246" i="5"/>
  <c r="P212" i="5"/>
  <c r="P43" i="5"/>
  <c r="P40" i="5"/>
  <c r="P39" i="5"/>
  <c r="L26" i="4"/>
  <c r="G26" i="6"/>
  <c r="M326" i="5"/>
  <c r="M324" i="5"/>
  <c r="M322" i="5"/>
  <c r="K27" i="4"/>
  <c r="M27" i="4" s="1"/>
  <c r="N27" i="4" s="1"/>
  <c r="H26" i="6"/>
  <c r="N326" i="5"/>
  <c r="N324" i="5"/>
  <c r="N322" i="5"/>
  <c r="I26" i="6"/>
  <c r="P326" i="5"/>
  <c r="P324" i="5"/>
  <c r="P322" i="5"/>
  <c r="L27" i="4"/>
  <c r="G27" i="6"/>
  <c r="M731" i="5"/>
  <c r="M729" i="5"/>
  <c r="M727" i="5"/>
  <c r="M726" i="5"/>
  <c r="M722" i="5"/>
  <c r="M704" i="5"/>
  <c r="M703" i="5"/>
  <c r="M699" i="5"/>
  <c r="M653" i="5"/>
  <c r="M650" i="5"/>
  <c r="M646" i="5"/>
  <c r="M645" i="5"/>
  <c r="M644" i="5"/>
  <c r="M643" i="5"/>
  <c r="M634" i="5"/>
  <c r="M623" i="5"/>
  <c r="M622" i="5"/>
  <c r="M621" i="5"/>
  <c r="M617" i="5"/>
  <c r="M616" i="5"/>
  <c r="M615" i="5"/>
  <c r="M614" i="5"/>
  <c r="M613" i="5"/>
  <c r="M612" i="5"/>
  <c r="M591" i="5"/>
  <c r="M590" i="5"/>
  <c r="M589" i="5"/>
  <c r="M588" i="5"/>
  <c r="M587" i="5"/>
  <c r="M586" i="5"/>
  <c r="M583" i="5"/>
  <c r="M581" i="5"/>
  <c r="M580" i="5"/>
  <c r="M579" i="5"/>
  <c r="M578" i="5"/>
  <c r="M577" i="5"/>
  <c r="M576" i="5"/>
  <c r="M552" i="5"/>
  <c r="M549" i="5"/>
  <c r="M548" i="5"/>
  <c r="M547" i="5"/>
  <c r="M546" i="5"/>
  <c r="M545" i="5"/>
  <c r="M496" i="5"/>
  <c r="M495" i="5"/>
  <c r="M476" i="5"/>
  <c r="M475" i="5"/>
  <c r="M474" i="5"/>
  <c r="M473" i="5"/>
  <c r="M472" i="5"/>
  <c r="M466" i="5"/>
  <c r="M422" i="5"/>
  <c r="M417" i="5"/>
  <c r="M416" i="5"/>
  <c r="M409" i="5"/>
  <c r="M408" i="5"/>
  <c r="M400" i="5"/>
  <c r="M397" i="5"/>
  <c r="M396" i="5"/>
  <c r="M356" i="5"/>
  <c r="M355" i="5"/>
  <c r="M354" i="5"/>
  <c r="M352" i="5"/>
  <c r="M349" i="5"/>
  <c r="M348" i="5"/>
  <c r="M347" i="5"/>
  <c r="M341" i="5"/>
  <c r="M338" i="5"/>
  <c r="M333" i="5"/>
  <c r="M332" i="5"/>
  <c r="M331" i="5"/>
  <c r="M329" i="5"/>
  <c r="M289" i="5"/>
  <c r="M285" i="5"/>
  <c r="M284" i="5"/>
  <c r="M283" i="5"/>
  <c r="M276" i="5"/>
  <c r="M272" i="5"/>
  <c r="M271" i="5"/>
  <c r="M270" i="5"/>
  <c r="M268" i="5"/>
  <c r="M230" i="5"/>
  <c r="M229" i="5"/>
  <c r="M207" i="5"/>
  <c r="M206" i="5"/>
  <c r="M199" i="5"/>
  <c r="M194" i="5"/>
  <c r="M187" i="5"/>
  <c r="M186" i="5"/>
  <c r="M185" i="5"/>
  <c r="M184" i="5"/>
  <c r="M182" i="5"/>
  <c r="M175" i="5"/>
  <c r="M174" i="5"/>
  <c r="M173" i="5"/>
  <c r="M172" i="5"/>
  <c r="M164" i="5"/>
  <c r="M163" i="5"/>
  <c r="M162" i="5"/>
  <c r="M161" i="5"/>
  <c r="M159" i="5"/>
  <c r="M158" i="5"/>
  <c r="M129" i="5"/>
  <c r="M123" i="5"/>
  <c r="M121" i="5"/>
  <c r="M119" i="5"/>
  <c r="M116" i="5"/>
  <c r="M115" i="5"/>
  <c r="M114" i="5"/>
  <c r="M112" i="5"/>
  <c r="M111" i="5"/>
  <c r="M109" i="5"/>
  <c r="M108" i="5"/>
  <c r="M105" i="5"/>
  <c r="M104" i="5"/>
  <c r="M103" i="5"/>
  <c r="M102" i="5"/>
  <c r="M62" i="5"/>
  <c r="M59" i="5"/>
  <c r="M58" i="5"/>
  <c r="M57" i="5"/>
  <c r="M56" i="5"/>
  <c r="M23" i="5"/>
  <c r="M22" i="5"/>
  <c r="M21" i="5"/>
  <c r="M20" i="5"/>
  <c r="M8" i="5"/>
  <c r="M6" i="5"/>
  <c r="K28" i="4"/>
  <c r="M28" i="4" s="1"/>
  <c r="N28" i="4" s="1"/>
  <c r="H27" i="6"/>
  <c r="N731" i="5"/>
  <c r="N729" i="5"/>
  <c r="N727" i="5"/>
  <c r="N726" i="5"/>
  <c r="N722" i="5"/>
  <c r="N704" i="5"/>
  <c r="N703" i="5"/>
  <c r="N699" i="5"/>
  <c r="N653" i="5"/>
  <c r="N650" i="5"/>
  <c r="N646" i="5"/>
  <c r="N645" i="5"/>
  <c r="N644" i="5"/>
  <c r="N643" i="5"/>
  <c r="N634" i="5"/>
  <c r="N623" i="5"/>
  <c r="N622" i="5"/>
  <c r="N621" i="5"/>
  <c r="N617" i="5"/>
  <c r="N616" i="5"/>
  <c r="N615" i="5"/>
  <c r="N614" i="5"/>
  <c r="N613" i="5"/>
  <c r="N612" i="5"/>
  <c r="N591" i="5"/>
  <c r="N590" i="5"/>
  <c r="N589" i="5"/>
  <c r="N588" i="5"/>
  <c r="N587" i="5"/>
  <c r="N586" i="5"/>
  <c r="N583" i="5"/>
  <c r="N581" i="5"/>
  <c r="N580" i="5"/>
  <c r="N579" i="5"/>
  <c r="N578" i="5"/>
  <c r="N577" i="5"/>
  <c r="N576" i="5"/>
  <c r="N552" i="5"/>
  <c r="N549" i="5"/>
  <c r="N548" i="5"/>
  <c r="N547" i="5"/>
  <c r="N546" i="5"/>
  <c r="N545" i="5"/>
  <c r="N496" i="5"/>
  <c r="N495" i="5"/>
  <c r="N476" i="5"/>
  <c r="N475" i="5"/>
  <c r="N474" i="5"/>
  <c r="N473" i="5"/>
  <c r="N472" i="5"/>
  <c r="N466" i="5"/>
  <c r="N422" i="5"/>
  <c r="N417" i="5"/>
  <c r="N416" i="5"/>
  <c r="N409" i="5"/>
  <c r="N408" i="5"/>
  <c r="N400" i="5"/>
  <c r="N397" i="5"/>
  <c r="N396" i="5"/>
  <c r="N356" i="5"/>
  <c r="N355" i="5"/>
  <c r="N354" i="5"/>
  <c r="N352" i="5"/>
  <c r="N349" i="5"/>
  <c r="N348" i="5"/>
  <c r="N347" i="5"/>
  <c r="N341" i="5"/>
  <c r="N338" i="5"/>
  <c r="N333" i="5"/>
  <c r="N332" i="5"/>
  <c r="N331" i="5"/>
  <c r="N329" i="5"/>
  <c r="N289" i="5"/>
  <c r="N285" i="5"/>
  <c r="N284" i="5"/>
  <c r="N283" i="5"/>
  <c r="N276" i="5"/>
  <c r="N272" i="5"/>
  <c r="N271" i="5"/>
  <c r="N270" i="5"/>
  <c r="N268" i="5"/>
  <c r="N230" i="5"/>
  <c r="N229" i="5"/>
  <c r="N207" i="5"/>
  <c r="N206" i="5"/>
  <c r="N199" i="5"/>
  <c r="N194" i="5"/>
  <c r="N187" i="5"/>
  <c r="N186" i="5"/>
  <c r="N185" i="5"/>
  <c r="N184" i="5"/>
  <c r="N182" i="5"/>
  <c r="N175" i="5"/>
  <c r="N174" i="5"/>
  <c r="N173" i="5"/>
  <c r="N172" i="5"/>
  <c r="N164" i="5"/>
  <c r="N163" i="5"/>
  <c r="N162" i="5"/>
  <c r="N161" i="5"/>
  <c r="N159" i="5"/>
  <c r="N158" i="5"/>
  <c r="N129" i="5"/>
  <c r="N123" i="5"/>
  <c r="N121" i="5"/>
  <c r="N119" i="5"/>
  <c r="N116" i="5"/>
  <c r="N115" i="5"/>
  <c r="N114" i="5"/>
  <c r="N112" i="5"/>
  <c r="N111" i="5"/>
  <c r="N109" i="5"/>
  <c r="N108" i="5"/>
  <c r="N105" i="5"/>
  <c r="N104" i="5"/>
  <c r="N103" i="5"/>
  <c r="N102" i="5"/>
  <c r="N62" i="5"/>
  <c r="N59" i="5"/>
  <c r="N58" i="5"/>
  <c r="N57" i="5"/>
  <c r="N56" i="5"/>
  <c r="N23" i="5"/>
  <c r="N22" i="5"/>
  <c r="N21" i="5"/>
  <c r="N20" i="5"/>
  <c r="N8" i="5"/>
  <c r="N6" i="5"/>
  <c r="I27" i="6"/>
  <c r="P731" i="5"/>
  <c r="P729" i="5"/>
  <c r="P727" i="5"/>
  <c r="P726" i="5"/>
  <c r="P722" i="5"/>
  <c r="P704" i="5"/>
  <c r="P703" i="5"/>
  <c r="P699" i="5"/>
  <c r="P653" i="5"/>
  <c r="P650" i="5"/>
  <c r="P646" i="5"/>
  <c r="P645" i="5"/>
  <c r="P644" i="5"/>
  <c r="P643" i="5"/>
  <c r="P634" i="5"/>
  <c r="P623" i="5"/>
  <c r="P622" i="5"/>
  <c r="P621" i="5"/>
  <c r="P617" i="5"/>
  <c r="P616" i="5"/>
  <c r="P615" i="5"/>
  <c r="P614" i="5"/>
  <c r="P613" i="5"/>
  <c r="P612" i="5"/>
  <c r="P591" i="5"/>
  <c r="P590" i="5"/>
  <c r="P589" i="5"/>
  <c r="P588" i="5"/>
  <c r="P587" i="5"/>
  <c r="P586" i="5"/>
  <c r="P583" i="5"/>
  <c r="P581" i="5"/>
  <c r="P580" i="5"/>
  <c r="P579" i="5"/>
  <c r="P578" i="5"/>
  <c r="P577" i="5"/>
  <c r="P576" i="5"/>
  <c r="P552" i="5"/>
  <c r="P549" i="5"/>
  <c r="P548" i="5"/>
  <c r="P547" i="5"/>
  <c r="P546" i="5"/>
  <c r="P545" i="5"/>
  <c r="P496" i="5"/>
  <c r="P495" i="5"/>
  <c r="P476" i="5"/>
  <c r="P475" i="5"/>
  <c r="P474" i="5"/>
  <c r="P473" i="5"/>
  <c r="P472" i="5"/>
  <c r="P466" i="5"/>
  <c r="P422" i="5"/>
  <c r="P417" i="5"/>
  <c r="P416" i="5"/>
  <c r="P409" i="5"/>
  <c r="P408" i="5"/>
  <c r="P400" i="5"/>
  <c r="P397" i="5"/>
  <c r="P396" i="5"/>
  <c r="P356" i="5"/>
  <c r="P355" i="5"/>
  <c r="P354" i="5"/>
  <c r="P352" i="5"/>
  <c r="P349" i="5"/>
  <c r="P348" i="5"/>
  <c r="P347" i="5"/>
  <c r="P341" i="5"/>
  <c r="P338" i="5"/>
  <c r="P333" i="5"/>
  <c r="P332" i="5"/>
  <c r="P331" i="5"/>
  <c r="P329" i="5"/>
  <c r="P289" i="5"/>
  <c r="P285" i="5"/>
  <c r="P284" i="5"/>
  <c r="P283" i="5"/>
  <c r="P276" i="5"/>
  <c r="P272" i="5"/>
  <c r="P271" i="5"/>
  <c r="P270" i="5"/>
  <c r="P268" i="5"/>
  <c r="P230" i="5"/>
  <c r="P229" i="5"/>
  <c r="P207" i="5"/>
  <c r="P206" i="5"/>
  <c r="P199" i="5"/>
  <c r="P194" i="5"/>
  <c r="P187" i="5"/>
  <c r="P186" i="5"/>
  <c r="P185" i="5"/>
  <c r="P184" i="5"/>
  <c r="P182" i="5"/>
  <c r="P175" i="5"/>
  <c r="P174" i="5"/>
  <c r="P173" i="5"/>
  <c r="P172" i="5"/>
  <c r="P164" i="5"/>
  <c r="P163" i="5"/>
  <c r="P162" i="5"/>
  <c r="P161" i="5"/>
  <c r="P159" i="5"/>
  <c r="P158" i="5"/>
  <c r="P129" i="5"/>
  <c r="P123" i="5"/>
  <c r="P121" i="5"/>
  <c r="P119" i="5"/>
  <c r="P116" i="5"/>
  <c r="P115" i="5"/>
  <c r="P114" i="5"/>
  <c r="P112" i="5"/>
  <c r="P111" i="5"/>
  <c r="P109" i="5"/>
  <c r="P108" i="5"/>
  <c r="P105" i="5"/>
  <c r="P104" i="5"/>
  <c r="P103" i="5"/>
  <c r="P102" i="5"/>
  <c r="P62" i="5"/>
  <c r="P59" i="5"/>
  <c r="P58" i="5"/>
  <c r="P57" i="5"/>
  <c r="P56" i="5"/>
  <c r="P23" i="5"/>
  <c r="P22" i="5"/>
  <c r="P21" i="5"/>
  <c r="P20" i="5"/>
  <c r="P8" i="5"/>
  <c r="P6" i="5"/>
  <c r="L28" i="4"/>
  <c r="G28" i="6"/>
  <c r="M339" i="5"/>
  <c r="M335" i="5"/>
  <c r="M317" i="5"/>
  <c r="K29" i="4"/>
  <c r="M29" i="4" s="1"/>
  <c r="N29" i="4" s="1"/>
  <c r="H28" i="6"/>
  <c r="N339" i="5"/>
  <c r="N335" i="5"/>
  <c r="N317" i="5"/>
  <c r="I28" i="6"/>
  <c r="P339" i="5"/>
  <c r="P335" i="5"/>
  <c r="P317" i="5"/>
  <c r="L29" i="4"/>
  <c r="G29" i="6"/>
  <c r="M550" i="5"/>
  <c r="M279" i="5"/>
  <c r="M278" i="5"/>
  <c r="M257" i="5"/>
  <c r="M219" i="5"/>
  <c r="M140" i="5"/>
  <c r="M136" i="5"/>
  <c r="M135" i="5"/>
  <c r="M134" i="5"/>
  <c r="M133" i="5"/>
  <c r="M131" i="5"/>
  <c r="K30" i="4"/>
  <c r="M30" i="4" s="1"/>
  <c r="N30" i="4" s="1"/>
  <c r="H29" i="6"/>
  <c r="N550" i="5"/>
  <c r="N279" i="5"/>
  <c r="N278" i="5"/>
  <c r="N257" i="5"/>
  <c r="N219" i="5"/>
  <c r="N140" i="5"/>
  <c r="N136" i="5"/>
  <c r="N135" i="5"/>
  <c r="N134" i="5"/>
  <c r="N133" i="5"/>
  <c r="N131" i="5"/>
  <c r="I29" i="6"/>
  <c r="P550" i="5"/>
  <c r="P279" i="5"/>
  <c r="P278" i="5"/>
  <c r="P257" i="5"/>
  <c r="P219" i="5"/>
  <c r="P140" i="5"/>
  <c r="P136" i="5"/>
  <c r="P135" i="5"/>
  <c r="P134" i="5"/>
  <c r="P133" i="5"/>
  <c r="P131" i="5"/>
  <c r="L30" i="4"/>
  <c r="G30" i="6"/>
  <c r="M344" i="5"/>
  <c r="K31" i="4"/>
  <c r="M31" i="4" s="1"/>
  <c r="N31" i="4" s="1"/>
  <c r="H30" i="6"/>
  <c r="N344" i="5"/>
  <c r="I30" i="6"/>
  <c r="P344" i="5"/>
  <c r="L31" i="4"/>
  <c r="G31" i="6"/>
  <c r="M228" i="5"/>
  <c r="M225" i="5"/>
  <c r="K32" i="4"/>
  <c r="M32" i="4" s="1"/>
  <c r="N32" i="4" s="1"/>
  <c r="H31" i="6"/>
  <c r="N228" i="5"/>
  <c r="N225" i="5"/>
  <c r="I31" i="6"/>
  <c r="P228" i="5"/>
  <c r="P225" i="5"/>
  <c r="L32" i="4"/>
  <c r="G32" i="6"/>
  <c r="M280" i="5"/>
  <c r="M222" i="5"/>
  <c r="M88" i="5"/>
  <c r="K33" i="4"/>
  <c r="M33" i="4" s="1"/>
  <c r="N33" i="4" s="1"/>
  <c r="H32" i="6"/>
  <c r="N280" i="5"/>
  <c r="N222" i="5"/>
  <c r="N88" i="5"/>
  <c r="I32" i="6"/>
  <c r="P280" i="5"/>
  <c r="P222" i="5"/>
  <c r="P88" i="5"/>
  <c r="L33" i="4"/>
  <c r="G33" i="6"/>
  <c r="M334" i="5"/>
  <c r="K34" i="4"/>
  <c r="M34" i="4" s="1"/>
  <c r="N34" i="4" s="1"/>
  <c r="H33" i="6"/>
  <c r="N334" i="5"/>
  <c r="I33" i="6"/>
  <c r="P334" i="5"/>
  <c r="L34" i="4"/>
  <c r="G34" i="6"/>
  <c r="M720" i="5"/>
  <c r="M702" i="5"/>
  <c r="M700" i="5"/>
  <c r="M684" i="5"/>
  <c r="M666" i="5"/>
  <c r="K35" i="4"/>
  <c r="M35" i="4" s="1"/>
  <c r="N35" i="4" s="1"/>
  <c r="H34" i="6"/>
  <c r="N720" i="5"/>
  <c r="N702" i="5"/>
  <c r="N700" i="5"/>
  <c r="N684" i="5"/>
  <c r="N666" i="5"/>
  <c r="I34" i="6"/>
  <c r="P720" i="5"/>
  <c r="P702" i="5"/>
  <c r="P700" i="5"/>
  <c r="P684" i="5"/>
  <c r="P666" i="5"/>
  <c r="L35" i="4"/>
  <c r="G35" i="6"/>
  <c r="M707" i="5"/>
  <c r="K36" i="4"/>
  <c r="M36" i="4" s="1"/>
  <c r="N36" i="4" s="1"/>
  <c r="H35" i="6"/>
  <c r="N707" i="5"/>
  <c r="I35" i="6"/>
  <c r="P707" i="5"/>
  <c r="L36" i="4"/>
  <c r="G36" i="6"/>
  <c r="M381" i="5"/>
  <c r="M366" i="5"/>
  <c r="K37" i="4"/>
  <c r="M37" i="4" s="1"/>
  <c r="N37" i="4" s="1"/>
  <c r="H36" i="6"/>
  <c r="N381" i="5"/>
  <c r="N366" i="5"/>
  <c r="I36" i="6"/>
  <c r="P381" i="5"/>
  <c r="P366" i="5"/>
  <c r="L37" i="4"/>
  <c r="G37" i="6"/>
  <c r="M694" i="5"/>
  <c r="M676" i="5"/>
  <c r="M412" i="5"/>
  <c r="M210" i="5"/>
  <c r="K38" i="4"/>
  <c r="M38" i="4" s="1"/>
  <c r="N38" i="4" s="1"/>
  <c r="H37" i="6"/>
  <c r="N694" i="5"/>
  <c r="N676" i="5"/>
  <c r="N412" i="5"/>
  <c r="N210" i="5"/>
  <c r="I37" i="6"/>
  <c r="P694" i="5"/>
  <c r="P676" i="5"/>
  <c r="P412" i="5"/>
  <c r="P210" i="5"/>
  <c r="L38" i="4"/>
  <c r="G38" i="6"/>
  <c r="M732" i="5"/>
  <c r="M730" i="5"/>
  <c r="M689" i="5"/>
  <c r="M551" i="5"/>
  <c r="M544" i="5"/>
  <c r="M415" i="5"/>
  <c r="M414" i="5"/>
  <c r="M406" i="5"/>
  <c r="M404" i="5"/>
  <c r="M221" i="5"/>
  <c r="M193" i="5"/>
  <c r="M50" i="5"/>
  <c r="M49" i="5"/>
  <c r="M48" i="5"/>
  <c r="M19" i="5"/>
  <c r="K39" i="4"/>
  <c r="M39" i="4" s="1"/>
  <c r="N39" i="4" s="1"/>
  <c r="H38" i="6"/>
  <c r="N732" i="5"/>
  <c r="N730" i="5"/>
  <c r="N689" i="5"/>
  <c r="N551" i="5"/>
  <c r="N544" i="5"/>
  <c r="N415" i="5"/>
  <c r="N414" i="5"/>
  <c r="N406" i="5"/>
  <c r="N404" i="5"/>
  <c r="N221" i="5"/>
  <c r="N193" i="5"/>
  <c r="N50" i="5"/>
  <c r="N49" i="5"/>
  <c r="N48" i="5"/>
  <c r="N19" i="5"/>
  <c r="I38" i="6"/>
  <c r="P732" i="5"/>
  <c r="P730" i="5"/>
  <c r="P689" i="5"/>
  <c r="P551" i="5"/>
  <c r="P544" i="5"/>
  <c r="P415" i="5"/>
  <c r="P414" i="5"/>
  <c r="P406" i="5"/>
  <c r="P404" i="5"/>
  <c r="P221" i="5"/>
  <c r="P193" i="5"/>
  <c r="P50" i="5"/>
  <c r="P49" i="5"/>
  <c r="P48" i="5"/>
  <c r="P19" i="5"/>
  <c r="L39" i="4"/>
  <c r="G39" i="6"/>
  <c r="M420" i="5"/>
  <c r="M419" i="5"/>
  <c r="M418" i="5"/>
  <c r="M405" i="5"/>
  <c r="K40" i="4"/>
  <c r="M40" i="4" s="1"/>
  <c r="N40" i="4" s="1"/>
  <c r="H39" i="6"/>
  <c r="N420" i="5"/>
  <c r="N419" i="5"/>
  <c r="N418" i="5"/>
  <c r="N405" i="5"/>
  <c r="I39" i="6"/>
  <c r="P420" i="5"/>
  <c r="P419" i="5"/>
  <c r="P418" i="5"/>
  <c r="P405" i="5"/>
  <c r="L40" i="4"/>
  <c r="G40" i="6"/>
  <c r="M719" i="5"/>
  <c r="M718" i="5"/>
  <c r="M708" i="5"/>
  <c r="M706" i="5"/>
  <c r="M701" i="5"/>
  <c r="M692" i="5"/>
  <c r="M647" i="5"/>
  <c r="K41" i="4"/>
  <c r="M41" i="4" s="1"/>
  <c r="N41" i="4" s="1"/>
  <c r="H40" i="6"/>
  <c r="N719" i="5"/>
  <c r="N718" i="5"/>
  <c r="N708" i="5"/>
  <c r="N706" i="5"/>
  <c r="N701" i="5"/>
  <c r="N692" i="5"/>
  <c r="N647" i="5"/>
  <c r="I40" i="6"/>
  <c r="P719" i="5"/>
  <c r="P718" i="5"/>
  <c r="P708" i="5"/>
  <c r="P706" i="5"/>
  <c r="P701" i="5"/>
  <c r="P692" i="5"/>
  <c r="P647" i="5"/>
  <c r="L41" i="4"/>
  <c r="G41" i="6"/>
  <c r="M683" i="5"/>
  <c r="M682" i="5"/>
  <c r="M681" i="5"/>
  <c r="M626" i="5"/>
  <c r="M624" i="5"/>
  <c r="M618" i="5"/>
  <c r="M413" i="5"/>
  <c r="M298" i="5"/>
  <c r="M292" i="5"/>
  <c r="M253" i="5"/>
  <c r="M243" i="5"/>
  <c r="M236" i="5"/>
  <c r="M231" i="5"/>
  <c r="M166" i="5"/>
  <c r="M165" i="5"/>
  <c r="K42" i="4"/>
  <c r="M42" i="4" s="1"/>
  <c r="N42" i="4" s="1"/>
  <c r="H41" i="6"/>
  <c r="N683" i="5"/>
  <c r="N682" i="5"/>
  <c r="N681" i="5"/>
  <c r="N626" i="5"/>
  <c r="N624" i="5"/>
  <c r="N618" i="5"/>
  <c r="N413" i="5"/>
  <c r="N298" i="5"/>
  <c r="N292" i="5"/>
  <c r="N253" i="5"/>
  <c r="N243" i="5"/>
  <c r="N236" i="5"/>
  <c r="N231" i="5"/>
  <c r="N166" i="5"/>
  <c r="N165" i="5"/>
  <c r="I41" i="6"/>
  <c r="P683" i="5"/>
  <c r="P682" i="5"/>
  <c r="P681" i="5"/>
  <c r="P626" i="5"/>
  <c r="P624" i="5"/>
  <c r="P618" i="5"/>
  <c r="P413" i="5"/>
  <c r="P298" i="5"/>
  <c r="P292" i="5"/>
  <c r="P253" i="5"/>
  <c r="P243" i="5"/>
  <c r="P236" i="5"/>
  <c r="P231" i="5"/>
  <c r="P166" i="5"/>
  <c r="P165" i="5"/>
  <c r="L42" i="4"/>
  <c r="G42" i="6"/>
  <c r="M318" i="5"/>
  <c r="K43" i="4"/>
  <c r="M43" i="4" s="1"/>
  <c r="N43" i="4" s="1"/>
  <c r="H42" i="6"/>
  <c r="N318" i="5"/>
  <c r="I42" i="6"/>
  <c r="P318" i="5"/>
  <c r="L43" i="4"/>
  <c r="G43" i="6"/>
  <c r="M573" i="5"/>
  <c r="K44" i="4"/>
  <c r="M44" i="4" s="1"/>
  <c r="N44" i="4" s="1"/>
  <c r="H43" i="6"/>
  <c r="N573" i="5"/>
  <c r="I43" i="6"/>
  <c r="P573" i="5"/>
  <c r="L44" i="4"/>
  <c r="G44" i="6"/>
  <c r="M389" i="5"/>
  <c r="M369" i="5"/>
  <c r="K45" i="4"/>
  <c r="M45" i="4" s="1"/>
  <c r="N45" i="4" s="1"/>
  <c r="H44" i="6"/>
  <c r="N389" i="5"/>
  <c r="N369" i="5"/>
  <c r="I44" i="6"/>
  <c r="P389" i="5"/>
  <c r="P369" i="5"/>
  <c r="L45" i="4"/>
  <c r="G45" i="6"/>
  <c r="M723" i="5"/>
  <c r="M716" i="5"/>
  <c r="M715" i="5"/>
  <c r="M712" i="5"/>
  <c r="M705" i="5"/>
  <c r="M693" i="5"/>
  <c r="M690" i="5"/>
  <c r="M688" i="5"/>
  <c r="M686" i="5"/>
  <c r="M675" i="5"/>
  <c r="M674" i="5"/>
  <c r="M669" i="5"/>
  <c r="M668" i="5"/>
  <c r="M665" i="5"/>
  <c r="M664" i="5"/>
  <c r="M660" i="5"/>
  <c r="M656" i="5"/>
  <c r="M655" i="5"/>
  <c r="M654" i="5"/>
  <c r="M649" i="5"/>
  <c r="M648" i="5"/>
  <c r="M636" i="5"/>
  <c r="M635" i="5"/>
  <c r="M633" i="5"/>
  <c r="M632" i="5"/>
  <c r="M606" i="5"/>
  <c r="M605" i="5"/>
  <c r="M602" i="5"/>
  <c r="M601" i="5"/>
  <c r="M571" i="5"/>
  <c r="M569" i="5"/>
  <c r="M566" i="5"/>
  <c r="M564" i="5"/>
  <c r="M540" i="5"/>
  <c r="M536" i="5"/>
  <c r="M526" i="5"/>
  <c r="M522" i="5"/>
  <c r="M514" i="5"/>
  <c r="M510" i="5"/>
  <c r="M503" i="5"/>
  <c r="M499" i="5"/>
  <c r="M493" i="5"/>
  <c r="M450" i="5"/>
  <c r="M448" i="5"/>
  <c r="M445" i="5"/>
  <c r="M443" i="5"/>
  <c r="M441" i="5"/>
  <c r="M439" i="5"/>
  <c r="M432" i="5"/>
  <c r="M429" i="5"/>
  <c r="M427" i="5"/>
  <c r="M425" i="5"/>
  <c r="M424" i="5"/>
  <c r="M423" i="5"/>
  <c r="M353" i="5"/>
  <c r="M337" i="5"/>
  <c r="M336" i="5"/>
  <c r="M311" i="5"/>
  <c r="M310" i="5"/>
  <c r="M309" i="5"/>
  <c r="M307" i="5"/>
  <c r="M305" i="5"/>
  <c r="M303" i="5"/>
  <c r="M287" i="5"/>
  <c r="M286" i="5"/>
  <c r="M274" i="5"/>
  <c r="M273" i="5"/>
  <c r="M263" i="5"/>
  <c r="M251" i="5"/>
  <c r="M234" i="5"/>
  <c r="M233" i="5"/>
  <c r="M232" i="5"/>
  <c r="M213" i="5"/>
  <c r="M192" i="5"/>
  <c r="M191" i="5"/>
  <c r="M190" i="5"/>
  <c r="M169" i="5"/>
  <c r="M167" i="5"/>
  <c r="M151" i="5"/>
  <c r="M149" i="5"/>
  <c r="M147" i="5"/>
  <c r="M145" i="5"/>
  <c r="M126" i="5"/>
  <c r="M124" i="5"/>
  <c r="M99" i="5"/>
  <c r="M97" i="5"/>
  <c r="M74" i="5"/>
  <c r="M72" i="5"/>
  <c r="M70" i="5"/>
  <c r="M44" i="5"/>
  <c r="M35" i="5"/>
  <c r="M33" i="5"/>
  <c r="M31" i="5"/>
  <c r="M29" i="5"/>
  <c r="M17" i="5"/>
  <c r="M15" i="5"/>
  <c r="K46" i="4"/>
  <c r="M46" i="4" s="1"/>
  <c r="N46" i="4" s="1"/>
  <c r="H45" i="6"/>
  <c r="N723" i="5"/>
  <c r="N716" i="5"/>
  <c r="N715" i="5"/>
  <c r="N712" i="5"/>
  <c r="N705" i="5"/>
  <c r="N693" i="5"/>
  <c r="N690" i="5"/>
  <c r="N688" i="5"/>
  <c r="N686" i="5"/>
  <c r="N675" i="5"/>
  <c r="N674" i="5"/>
  <c r="N669" i="5"/>
  <c r="N668" i="5"/>
  <c r="N665" i="5"/>
  <c r="N664" i="5"/>
  <c r="N660" i="5"/>
  <c r="N656" i="5"/>
  <c r="N655" i="5"/>
  <c r="N654" i="5"/>
  <c r="N649" i="5"/>
  <c r="N648" i="5"/>
  <c r="N636" i="5"/>
  <c r="N635" i="5"/>
  <c r="N633" i="5"/>
  <c r="N632" i="5"/>
  <c r="N606" i="5"/>
  <c r="N605" i="5"/>
  <c r="N602" i="5"/>
  <c r="N601" i="5"/>
  <c r="N571" i="5"/>
  <c r="N569" i="5"/>
  <c r="N566" i="5"/>
  <c r="N564" i="5"/>
  <c r="N540" i="5"/>
  <c r="N536" i="5"/>
  <c r="N526" i="5"/>
  <c r="N522" i="5"/>
  <c r="N514" i="5"/>
  <c r="N510" i="5"/>
  <c r="N503" i="5"/>
  <c r="N499" i="5"/>
  <c r="N493" i="5"/>
  <c r="N450" i="5"/>
  <c r="N448" i="5"/>
  <c r="N445" i="5"/>
  <c r="N443" i="5"/>
  <c r="N441" i="5"/>
  <c r="N439" i="5"/>
  <c r="N432" i="5"/>
  <c r="N429" i="5"/>
  <c r="N427" i="5"/>
  <c r="N425" i="5"/>
  <c r="N424" i="5"/>
  <c r="N423" i="5"/>
  <c r="N353" i="5"/>
  <c r="N337" i="5"/>
  <c r="N336" i="5"/>
  <c r="N311" i="5"/>
  <c r="N310" i="5"/>
  <c r="N309" i="5"/>
  <c r="N307" i="5"/>
  <c r="N305" i="5"/>
  <c r="N303" i="5"/>
  <c r="N287" i="5"/>
  <c r="N286" i="5"/>
  <c r="N274" i="5"/>
  <c r="N273" i="5"/>
  <c r="N263" i="5"/>
  <c r="N251" i="5"/>
  <c r="N234" i="5"/>
  <c r="N233" i="5"/>
  <c r="N232" i="5"/>
  <c r="N213" i="5"/>
  <c r="N192" i="5"/>
  <c r="N191" i="5"/>
  <c r="N190" i="5"/>
  <c r="N169" i="5"/>
  <c r="N167" i="5"/>
  <c r="N151" i="5"/>
  <c r="N149" i="5"/>
  <c r="N147" i="5"/>
  <c r="N145" i="5"/>
  <c r="N126" i="5"/>
  <c r="N124" i="5"/>
  <c r="N99" i="5"/>
  <c r="N97" i="5"/>
  <c r="N74" i="5"/>
  <c r="N72" i="5"/>
  <c r="N70" i="5"/>
  <c r="N44" i="5"/>
  <c r="N35" i="5"/>
  <c r="N33" i="5"/>
  <c r="N31" i="5"/>
  <c r="N29" i="5"/>
  <c r="N17" i="5"/>
  <c r="N15" i="5"/>
  <c r="I45" i="6"/>
  <c r="P723" i="5"/>
  <c r="P716" i="5"/>
  <c r="P715" i="5"/>
  <c r="P712" i="5"/>
  <c r="P705" i="5"/>
  <c r="P693" i="5"/>
  <c r="P690" i="5"/>
  <c r="P688" i="5"/>
  <c r="P686" i="5"/>
  <c r="P675" i="5"/>
  <c r="P674" i="5"/>
  <c r="P669" i="5"/>
  <c r="P668" i="5"/>
  <c r="P665" i="5"/>
  <c r="P664" i="5"/>
  <c r="P660" i="5"/>
  <c r="P656" i="5"/>
  <c r="P655" i="5"/>
  <c r="P654" i="5"/>
  <c r="P649" i="5"/>
  <c r="P648" i="5"/>
  <c r="P636" i="5"/>
  <c r="P635" i="5"/>
  <c r="P633" i="5"/>
  <c r="P632" i="5"/>
  <c r="P606" i="5"/>
  <c r="P605" i="5"/>
  <c r="P602" i="5"/>
  <c r="P601" i="5"/>
  <c r="P571" i="5"/>
  <c r="P569" i="5"/>
  <c r="P566" i="5"/>
  <c r="P564" i="5"/>
  <c r="P540" i="5"/>
  <c r="P536" i="5"/>
  <c r="P526" i="5"/>
  <c r="P522" i="5"/>
  <c r="P514" i="5"/>
  <c r="P510" i="5"/>
  <c r="P503" i="5"/>
  <c r="P499" i="5"/>
  <c r="P493" i="5"/>
  <c r="P450" i="5"/>
  <c r="P448" i="5"/>
  <c r="P445" i="5"/>
  <c r="P443" i="5"/>
  <c r="P441" i="5"/>
  <c r="P439" i="5"/>
  <c r="P432" i="5"/>
  <c r="P429" i="5"/>
  <c r="P427" i="5"/>
  <c r="P425" i="5"/>
  <c r="P424" i="5"/>
  <c r="P423" i="5"/>
  <c r="P353" i="5"/>
  <c r="P337" i="5"/>
  <c r="P336" i="5"/>
  <c r="P311" i="5"/>
  <c r="P310" i="5"/>
  <c r="P309" i="5"/>
  <c r="P307" i="5"/>
  <c r="P305" i="5"/>
  <c r="P303" i="5"/>
  <c r="P287" i="5"/>
  <c r="P286" i="5"/>
  <c r="P274" i="5"/>
  <c r="P273" i="5"/>
  <c r="P263" i="5"/>
  <c r="P251" i="5"/>
  <c r="P234" i="5"/>
  <c r="P233" i="5"/>
  <c r="P232" i="5"/>
  <c r="P213" i="5"/>
  <c r="P192" i="5"/>
  <c r="P191" i="5"/>
  <c r="P190" i="5"/>
  <c r="P169" i="5"/>
  <c r="P167" i="5"/>
  <c r="P151" i="5"/>
  <c r="P149" i="5"/>
  <c r="P147" i="5"/>
  <c r="P145" i="5"/>
  <c r="P126" i="5"/>
  <c r="P124" i="5"/>
  <c r="P99" i="5"/>
  <c r="P97" i="5"/>
  <c r="P74" i="5"/>
  <c r="P72" i="5"/>
  <c r="P70" i="5"/>
  <c r="P44" i="5"/>
  <c r="P35" i="5"/>
  <c r="P33" i="5"/>
  <c r="P31" i="5"/>
  <c r="P29" i="5"/>
  <c r="P17" i="5"/>
  <c r="P15" i="5"/>
  <c r="L46" i="4"/>
  <c r="G46" i="6"/>
  <c r="M327" i="5"/>
  <c r="M325" i="5"/>
  <c r="M323" i="5"/>
  <c r="K47" i="4"/>
  <c r="M47" i="4" s="1"/>
  <c r="N47" i="4" s="1"/>
  <c r="H46" i="6"/>
  <c r="N327" i="5"/>
  <c r="N325" i="5"/>
  <c r="N323" i="5"/>
  <c r="I46" i="6"/>
  <c r="P327" i="5"/>
  <c r="P325" i="5"/>
  <c r="P323" i="5"/>
  <c r="L47" i="4"/>
  <c r="G47" i="6"/>
  <c r="M541" i="5"/>
  <c r="M537" i="5"/>
  <c r="M527" i="5"/>
  <c r="M523" i="5"/>
  <c r="M515" i="5"/>
  <c r="M511" i="5"/>
  <c r="M504" i="5"/>
  <c r="M500" i="5"/>
  <c r="M494" i="5"/>
  <c r="M170" i="5"/>
  <c r="M168" i="5"/>
  <c r="M152" i="5"/>
  <c r="M150" i="5"/>
  <c r="M148" i="5"/>
  <c r="M146" i="5"/>
  <c r="M127" i="5"/>
  <c r="M125" i="5"/>
  <c r="M100" i="5"/>
  <c r="M98" i="5"/>
  <c r="M75" i="5"/>
  <c r="M73" i="5"/>
  <c r="M71" i="5"/>
  <c r="M45" i="5"/>
  <c r="M36" i="5"/>
  <c r="M34" i="5"/>
  <c r="M32" i="5"/>
  <c r="M30" i="5"/>
  <c r="M18" i="5"/>
  <c r="M16" i="5"/>
  <c r="K48" i="4"/>
  <c r="M48" i="4" s="1"/>
  <c r="H47" i="6"/>
  <c r="N541" i="5"/>
  <c r="N537" i="5"/>
  <c r="N527" i="5"/>
  <c r="N523" i="5"/>
  <c r="N515" i="5"/>
  <c r="N511" i="5"/>
  <c r="N504" i="5"/>
  <c r="N500" i="5"/>
  <c r="N494" i="5"/>
  <c r="N170" i="5"/>
  <c r="N168" i="5"/>
  <c r="N152" i="5"/>
  <c r="N150" i="5"/>
  <c r="N148" i="5"/>
  <c r="N146" i="5"/>
  <c r="N127" i="5"/>
  <c r="N125" i="5"/>
  <c r="N100" i="5"/>
  <c r="N98" i="5"/>
  <c r="N75" i="5"/>
  <c r="N73" i="5"/>
  <c r="N71" i="5"/>
  <c r="N45" i="5"/>
  <c r="N36" i="5"/>
  <c r="N34" i="5"/>
  <c r="N32" i="5"/>
  <c r="N30" i="5"/>
  <c r="N18" i="5"/>
  <c r="N16" i="5"/>
  <c r="G48" i="6"/>
  <c r="M572" i="5"/>
  <c r="M570" i="5"/>
  <c r="M567" i="5"/>
  <c r="M565" i="5"/>
  <c r="M451" i="5"/>
  <c r="M449" i="5"/>
  <c r="M446" i="5"/>
  <c r="M444" i="5"/>
  <c r="M442" i="5"/>
  <c r="M440" i="5"/>
  <c r="M433" i="5"/>
  <c r="M430" i="5"/>
  <c r="M428" i="5"/>
  <c r="K49" i="4"/>
  <c r="M49" i="4" s="1"/>
  <c r="H48" i="6"/>
  <c r="N572" i="5"/>
  <c r="N570" i="5"/>
  <c r="N567" i="5"/>
  <c r="N565" i="5"/>
  <c r="N451" i="5"/>
  <c r="N449" i="5"/>
  <c r="N446" i="5"/>
  <c r="N444" i="5"/>
  <c r="N442" i="5"/>
  <c r="N440" i="5"/>
  <c r="N433" i="5"/>
  <c r="N430" i="5"/>
  <c r="N428" i="5"/>
  <c r="G49" i="6"/>
  <c r="M364" i="5"/>
  <c r="K50" i="4"/>
  <c r="M50" i="4" s="1"/>
  <c r="N50" i="4" s="1"/>
  <c r="H49" i="6"/>
  <c r="N364" i="5"/>
  <c r="I49" i="6"/>
  <c r="P364" i="5"/>
  <c r="L50" i="4"/>
  <c r="G50" i="6"/>
  <c r="M713" i="5"/>
  <c r="M710" i="5"/>
  <c r="M709" i="5"/>
  <c r="M691" i="5"/>
  <c r="M673" i="5"/>
  <c r="M672" i="5"/>
  <c r="M658" i="5"/>
  <c r="M607" i="5"/>
  <c r="M604" i="5"/>
  <c r="M603" i="5"/>
  <c r="M600" i="5"/>
  <c r="M574" i="5"/>
  <c r="M568" i="5"/>
  <c r="M563" i="5"/>
  <c r="M559" i="5"/>
  <c r="M557" i="5"/>
  <c r="M465" i="5"/>
  <c r="M464" i="5"/>
  <c r="M452" i="5"/>
  <c r="M447" i="5"/>
  <c r="M437" i="5"/>
  <c r="M431" i="5"/>
  <c r="M256" i="5"/>
  <c r="M242" i="5"/>
  <c r="M226" i="5"/>
  <c r="M218" i="5"/>
  <c r="M211" i="5"/>
  <c r="M201" i="5"/>
  <c r="M183" i="5"/>
  <c r="M153" i="5"/>
  <c r="M122" i="5"/>
  <c r="M94" i="5"/>
  <c r="M92" i="5"/>
  <c r="M65" i="5"/>
  <c r="M55" i="5"/>
  <c r="M9" i="5"/>
  <c r="K51" i="4"/>
  <c r="M51" i="4" s="1"/>
  <c r="N51" i="4" s="1"/>
  <c r="H50" i="6"/>
  <c r="N713" i="5"/>
  <c r="N710" i="5"/>
  <c r="N709" i="5"/>
  <c r="N691" i="5"/>
  <c r="N673" i="5"/>
  <c r="N672" i="5"/>
  <c r="N658" i="5"/>
  <c r="N607" i="5"/>
  <c r="N604" i="5"/>
  <c r="N603" i="5"/>
  <c r="N600" i="5"/>
  <c r="N574" i="5"/>
  <c r="N568" i="5"/>
  <c r="N563" i="5"/>
  <c r="N559" i="5"/>
  <c r="N557" i="5"/>
  <c r="N465" i="5"/>
  <c r="N464" i="5"/>
  <c r="N452" i="5"/>
  <c r="N447" i="5"/>
  <c r="N437" i="5"/>
  <c r="N431" i="5"/>
  <c r="N256" i="5"/>
  <c r="N242" i="5"/>
  <c r="N226" i="5"/>
  <c r="N218" i="5"/>
  <c r="N211" i="5"/>
  <c r="N201" i="5"/>
  <c r="N183" i="5"/>
  <c r="N153" i="5"/>
  <c r="N122" i="5"/>
  <c r="N94" i="5"/>
  <c r="N92" i="5"/>
  <c r="N65" i="5"/>
  <c r="N55" i="5"/>
  <c r="N9" i="5"/>
  <c r="I50" i="6"/>
  <c r="P713" i="5"/>
  <c r="P710" i="5"/>
  <c r="P709" i="5"/>
  <c r="P691" i="5"/>
  <c r="P673" i="5"/>
  <c r="P672" i="5"/>
  <c r="P658" i="5"/>
  <c r="P607" i="5"/>
  <c r="P604" i="5"/>
  <c r="P603" i="5"/>
  <c r="P600" i="5"/>
  <c r="P574" i="5"/>
  <c r="P568" i="5"/>
  <c r="P563" i="5"/>
  <c r="P559" i="5"/>
  <c r="P557" i="5"/>
  <c r="P465" i="5"/>
  <c r="P464" i="5"/>
  <c r="P452" i="5"/>
  <c r="P447" i="5"/>
  <c r="P437" i="5"/>
  <c r="P431" i="5"/>
  <c r="P256" i="5"/>
  <c r="P242" i="5"/>
  <c r="P226" i="5"/>
  <c r="P218" i="5"/>
  <c r="P211" i="5"/>
  <c r="P201" i="5"/>
  <c r="P183" i="5"/>
  <c r="P153" i="5"/>
  <c r="P122" i="5"/>
  <c r="P94" i="5"/>
  <c r="P92" i="5"/>
  <c r="P65" i="5"/>
  <c r="P55" i="5"/>
  <c r="P9" i="5"/>
  <c r="L51" i="4"/>
  <c r="G51" i="6"/>
  <c r="M390" i="5"/>
  <c r="M388" i="5"/>
  <c r="M380" i="5"/>
  <c r="M371" i="5"/>
  <c r="M368" i="5"/>
  <c r="M367" i="5"/>
  <c r="M363" i="5"/>
  <c r="K52" i="4"/>
  <c r="M52" i="4" s="1"/>
  <c r="N52" i="4" s="1"/>
  <c r="H51" i="6"/>
  <c r="N390" i="5"/>
  <c r="N388" i="5"/>
  <c r="N380" i="5"/>
  <c r="N371" i="5"/>
  <c r="N368" i="5"/>
  <c r="N367" i="5"/>
  <c r="N363" i="5"/>
  <c r="I51" i="6"/>
  <c r="P390" i="5"/>
  <c r="P388" i="5"/>
  <c r="P380" i="5"/>
  <c r="P371" i="5"/>
  <c r="P368" i="5"/>
  <c r="P367" i="5"/>
  <c r="P363" i="5"/>
  <c r="L52" i="4"/>
  <c r="G52" i="6"/>
  <c r="M733" i="5"/>
  <c r="M728" i="5"/>
  <c r="M725" i="5"/>
  <c r="M724" i="5"/>
  <c r="M717" i="5"/>
  <c r="M711" i="5"/>
  <c r="M678" i="5"/>
  <c r="M677" i="5"/>
  <c r="M670" i="5"/>
  <c r="M657" i="5"/>
  <c r="M652" i="5"/>
  <c r="M651" i="5"/>
  <c r="M640" i="5"/>
  <c r="M639" i="5"/>
  <c r="M638" i="5"/>
  <c r="M637" i="5"/>
  <c r="M631" i="5"/>
  <c r="M630" i="5"/>
  <c r="M611" i="5"/>
  <c r="M610" i="5"/>
  <c r="M609" i="5"/>
  <c r="M608" i="5"/>
  <c r="M599" i="5"/>
  <c r="M598" i="5"/>
  <c r="M594" i="5"/>
  <c r="M593" i="5"/>
  <c r="M575" i="5"/>
  <c r="M562" i="5"/>
  <c r="M561" i="5"/>
  <c r="M558" i="5"/>
  <c r="M556" i="5"/>
  <c r="M555" i="5"/>
  <c r="M531" i="5"/>
  <c r="M529" i="5"/>
  <c r="M518" i="5"/>
  <c r="M517" i="5"/>
  <c r="M507" i="5"/>
  <c r="M463" i="5"/>
  <c r="M461" i="5"/>
  <c r="M460" i="5"/>
  <c r="M455" i="5"/>
  <c r="M454" i="5"/>
  <c r="M453" i="5"/>
  <c r="M438" i="5"/>
  <c r="M435" i="5"/>
  <c r="M434" i="5"/>
  <c r="M411" i="5"/>
  <c r="M410" i="5"/>
  <c r="M395" i="5"/>
  <c r="M358" i="5"/>
  <c r="M357" i="5"/>
  <c r="M343" i="5"/>
  <c r="M342" i="5"/>
  <c r="M328" i="5"/>
  <c r="M314" i="5"/>
  <c r="M313" i="5"/>
  <c r="M312" i="5"/>
  <c r="M308" i="5"/>
  <c r="M291" i="5"/>
  <c r="M282" i="5"/>
  <c r="M281" i="5"/>
  <c r="M275" i="5"/>
  <c r="M269" i="5"/>
  <c r="M267" i="5"/>
  <c r="M262" i="5"/>
  <c r="M258" i="5"/>
  <c r="M245" i="5"/>
  <c r="M241" i="5"/>
  <c r="M224" i="5"/>
  <c r="M223" i="5"/>
  <c r="M202" i="5"/>
  <c r="M197" i="5"/>
  <c r="M196" i="5"/>
  <c r="M181" i="5"/>
  <c r="M180" i="5"/>
  <c r="M179" i="5"/>
  <c r="M178" i="5"/>
  <c r="M157" i="5"/>
  <c r="M156" i="5"/>
  <c r="M155" i="5"/>
  <c r="M154" i="5"/>
  <c r="M137" i="5"/>
  <c r="M130" i="5"/>
  <c r="M118" i="5"/>
  <c r="M117" i="5"/>
  <c r="M107" i="5"/>
  <c r="M106" i="5"/>
  <c r="M101" i="5"/>
  <c r="M93" i="5"/>
  <c r="M91" i="5"/>
  <c r="M84" i="5"/>
  <c r="M79" i="5"/>
  <c r="M68" i="5"/>
  <c r="M66" i="5"/>
  <c r="M64" i="5"/>
  <c r="M61" i="5"/>
  <c r="M54" i="5"/>
  <c r="M53" i="5"/>
  <c r="M51" i="5"/>
  <c r="M47" i="5"/>
  <c r="M46" i="5"/>
  <c r="M28" i="5"/>
  <c r="M14" i="5"/>
  <c r="M13" i="5"/>
  <c r="M10" i="5"/>
  <c r="K53" i="4"/>
  <c r="M53" i="4" s="1"/>
  <c r="N53" i="4" s="1"/>
  <c r="H52" i="6"/>
  <c r="N733" i="5"/>
  <c r="N728" i="5"/>
  <c r="N725" i="5"/>
  <c r="N724" i="5"/>
  <c r="N717" i="5"/>
  <c r="N711" i="5"/>
  <c r="N678" i="5"/>
  <c r="N677" i="5"/>
  <c r="N670" i="5"/>
  <c r="N657" i="5"/>
  <c r="N652" i="5"/>
  <c r="N651" i="5"/>
  <c r="N640" i="5"/>
  <c r="N639" i="5"/>
  <c r="N638" i="5"/>
  <c r="N637" i="5"/>
  <c r="N631" i="5"/>
  <c r="N630" i="5"/>
  <c r="N611" i="5"/>
  <c r="N610" i="5"/>
  <c r="N609" i="5"/>
  <c r="N608" i="5"/>
  <c r="N599" i="5"/>
  <c r="N598" i="5"/>
  <c r="N594" i="5"/>
  <c r="N593" i="5"/>
  <c r="N575" i="5"/>
  <c r="N562" i="5"/>
  <c r="N561" i="5"/>
  <c r="N558" i="5"/>
  <c r="N556" i="5"/>
  <c r="N555" i="5"/>
  <c r="N531" i="5"/>
  <c r="N529" i="5"/>
  <c r="N518" i="5"/>
  <c r="N517" i="5"/>
  <c r="N507" i="5"/>
  <c r="N463" i="5"/>
  <c r="N461" i="5"/>
  <c r="N460" i="5"/>
  <c r="N455" i="5"/>
  <c r="N454" i="5"/>
  <c r="N453" i="5"/>
  <c r="N438" i="5"/>
  <c r="N435" i="5"/>
  <c r="N434" i="5"/>
  <c r="N411" i="5"/>
  <c r="N410" i="5"/>
  <c r="N395" i="5"/>
  <c r="N358" i="5"/>
  <c r="N357" i="5"/>
  <c r="N343" i="5"/>
  <c r="N342" i="5"/>
  <c r="N328" i="5"/>
  <c r="N314" i="5"/>
  <c r="N313" i="5"/>
  <c r="N312" i="5"/>
  <c r="N308" i="5"/>
  <c r="N291" i="5"/>
  <c r="N282" i="5"/>
  <c r="N281" i="5"/>
  <c r="N275" i="5"/>
  <c r="N269" i="5"/>
  <c r="N267" i="5"/>
  <c r="N262" i="5"/>
  <c r="N258" i="5"/>
  <c r="N245" i="5"/>
  <c r="N241" i="5"/>
  <c r="N224" i="5"/>
  <c r="N223" i="5"/>
  <c r="N202" i="5"/>
  <c r="N197" i="5"/>
  <c r="N196" i="5"/>
  <c r="N181" i="5"/>
  <c r="N180" i="5"/>
  <c r="N179" i="5"/>
  <c r="N178" i="5"/>
  <c r="N157" i="5"/>
  <c r="N156" i="5"/>
  <c r="N155" i="5"/>
  <c r="N154" i="5"/>
  <c r="N137" i="5"/>
  <c r="N130" i="5"/>
  <c r="N118" i="5"/>
  <c r="N117" i="5"/>
  <c r="N107" i="5"/>
  <c r="N106" i="5"/>
  <c r="N101" i="5"/>
  <c r="N93" i="5"/>
  <c r="N91" i="5"/>
  <c r="N84" i="5"/>
  <c r="N79" i="5"/>
  <c r="N68" i="5"/>
  <c r="N66" i="5"/>
  <c r="N64" i="5"/>
  <c r="N61" i="5"/>
  <c r="N54" i="5"/>
  <c r="N53" i="5"/>
  <c r="N51" i="5"/>
  <c r="N47" i="5"/>
  <c r="N46" i="5"/>
  <c r="N28" i="5"/>
  <c r="N14" i="5"/>
  <c r="N13" i="5"/>
  <c r="N10" i="5"/>
  <c r="I52" i="6"/>
  <c r="P733" i="5"/>
  <c r="P728" i="5"/>
  <c r="P725" i="5"/>
  <c r="P724" i="5"/>
  <c r="P717" i="5"/>
  <c r="P711" i="5"/>
  <c r="P678" i="5"/>
  <c r="P677" i="5"/>
  <c r="P670" i="5"/>
  <c r="P657" i="5"/>
  <c r="P652" i="5"/>
  <c r="P651" i="5"/>
  <c r="P640" i="5"/>
  <c r="P639" i="5"/>
  <c r="P638" i="5"/>
  <c r="P637" i="5"/>
  <c r="P631" i="5"/>
  <c r="P630" i="5"/>
  <c r="P611" i="5"/>
  <c r="P610" i="5"/>
  <c r="P609" i="5"/>
  <c r="P608" i="5"/>
  <c r="P599" i="5"/>
  <c r="P598" i="5"/>
  <c r="P594" i="5"/>
  <c r="P593" i="5"/>
  <c r="P575" i="5"/>
  <c r="P562" i="5"/>
  <c r="P561" i="5"/>
  <c r="P558" i="5"/>
  <c r="P556" i="5"/>
  <c r="P555" i="5"/>
  <c r="P531" i="5"/>
  <c r="P529" i="5"/>
  <c r="P518" i="5"/>
  <c r="P517" i="5"/>
  <c r="P507" i="5"/>
  <c r="P463" i="5"/>
  <c r="P461" i="5"/>
  <c r="P460" i="5"/>
  <c r="P455" i="5"/>
  <c r="P454" i="5"/>
  <c r="P453" i="5"/>
  <c r="P438" i="5"/>
  <c r="P435" i="5"/>
  <c r="P434" i="5"/>
  <c r="P411" i="5"/>
  <c r="P410" i="5"/>
  <c r="P395" i="5"/>
  <c r="P358" i="5"/>
  <c r="P357" i="5"/>
  <c r="P343" i="5"/>
  <c r="P342" i="5"/>
  <c r="P328" i="5"/>
  <c r="P314" i="5"/>
  <c r="P313" i="5"/>
  <c r="P312" i="5"/>
  <c r="P308" i="5"/>
  <c r="P291" i="5"/>
  <c r="P282" i="5"/>
  <c r="P281" i="5"/>
  <c r="P275" i="5"/>
  <c r="P269" i="5"/>
  <c r="P267" i="5"/>
  <c r="P262" i="5"/>
  <c r="P258" i="5"/>
  <c r="P245" i="5"/>
  <c r="P241" i="5"/>
  <c r="P224" i="5"/>
  <c r="P223" i="5"/>
  <c r="P202" i="5"/>
  <c r="P197" i="5"/>
  <c r="P196" i="5"/>
  <c r="P181" i="5"/>
  <c r="P180" i="5"/>
  <c r="P179" i="5"/>
  <c r="P178" i="5"/>
  <c r="P157" i="5"/>
  <c r="P156" i="5"/>
  <c r="P155" i="5"/>
  <c r="P154" i="5"/>
  <c r="P137" i="5"/>
  <c r="P130" i="5"/>
  <c r="P118" i="5"/>
  <c r="P117" i="5"/>
  <c r="P107" i="5"/>
  <c r="P106" i="5"/>
  <c r="P101" i="5"/>
  <c r="P93" i="5"/>
  <c r="P91" i="5"/>
  <c r="P84" i="5"/>
  <c r="P79" i="5"/>
  <c r="P68" i="5"/>
  <c r="P66" i="5"/>
  <c r="P64" i="5"/>
  <c r="P61" i="5"/>
  <c r="P54" i="5"/>
  <c r="P53" i="5"/>
  <c r="P51" i="5"/>
  <c r="P47" i="5"/>
  <c r="P46" i="5"/>
  <c r="P28" i="5"/>
  <c r="P14" i="5"/>
  <c r="P13" i="5"/>
  <c r="P10" i="5"/>
  <c r="L53" i="4"/>
  <c r="G53" i="6"/>
  <c r="M582" i="5"/>
  <c r="M139" i="5"/>
  <c r="M138" i="5"/>
  <c r="M27" i="5"/>
  <c r="K54" i="4"/>
  <c r="M54" i="4" s="1"/>
  <c r="N54" i="4" s="1"/>
  <c r="H53" i="6"/>
  <c r="N582" i="5"/>
  <c r="N139" i="5"/>
  <c r="N138" i="5"/>
  <c r="N27" i="5"/>
  <c r="I53" i="6"/>
  <c r="P582" i="5"/>
  <c r="P139" i="5"/>
  <c r="P138" i="5"/>
  <c r="P27" i="5"/>
  <c r="L54" i="4"/>
  <c r="R359" i="5"/>
  <c r="Q27" i="5" l="1"/>
  <c r="Q138" i="5"/>
  <c r="Q139" i="5"/>
  <c r="Q582" i="5"/>
  <c r="Q10" i="5"/>
  <c r="Q13" i="5"/>
  <c r="Q14" i="5"/>
  <c r="Q28" i="5"/>
  <c r="Q46" i="5"/>
  <c r="Q47" i="5"/>
  <c r="Q51" i="5"/>
  <c r="Q53" i="5"/>
  <c r="Q54" i="5"/>
  <c r="Q61" i="5"/>
  <c r="Q64" i="5"/>
  <c r="Q66" i="5"/>
  <c r="Q68" i="5"/>
  <c r="Q79" i="5"/>
  <c r="Q84" i="5"/>
  <c r="Q91" i="5"/>
  <c r="Q93" i="5"/>
  <c r="Q101" i="5"/>
  <c r="Q106" i="5"/>
  <c r="Q107" i="5"/>
  <c r="Q117" i="5"/>
  <c r="Q118" i="5"/>
  <c r="Q130" i="5"/>
  <c r="Q137" i="5"/>
  <c r="Q154" i="5"/>
  <c r="Q155" i="5"/>
  <c r="Q156" i="5"/>
  <c r="Q157" i="5"/>
  <c r="Q178" i="5"/>
  <c r="Q179" i="5"/>
  <c r="Q180" i="5"/>
  <c r="Q181" i="5"/>
  <c r="Q196" i="5"/>
  <c r="Q197" i="5"/>
  <c r="Q202" i="5"/>
  <c r="Q223" i="5"/>
  <c r="Q224" i="5"/>
  <c r="Q241" i="5"/>
  <c r="Q245" i="5"/>
  <c r="Q258" i="5"/>
  <c r="Q262" i="5"/>
  <c r="Q267" i="5"/>
  <c r="Q269" i="5"/>
  <c r="Q275" i="5"/>
  <c r="Q281" i="5"/>
  <c r="Q282" i="5"/>
  <c r="Q291" i="5"/>
  <c r="Q308" i="5"/>
  <c r="Q312" i="5"/>
  <c r="Q313" i="5"/>
  <c r="Q314" i="5"/>
  <c r="Q328" i="5"/>
  <c r="Q342" i="5"/>
  <c r="Q343" i="5"/>
  <c r="Q357" i="5"/>
  <c r="Q358" i="5"/>
  <c r="Q395" i="5"/>
  <c r="Q410" i="5"/>
  <c r="Q411" i="5"/>
  <c r="Q434" i="5"/>
  <c r="Q435" i="5"/>
  <c r="Q438" i="5"/>
  <c r="Q453" i="5"/>
  <c r="Q454" i="5"/>
  <c r="Q455" i="5"/>
  <c r="Q460" i="5"/>
  <c r="Q461" i="5"/>
  <c r="Q463" i="5"/>
  <c r="Q507" i="5"/>
  <c r="Q517" i="5"/>
  <c r="Q518" i="5"/>
  <c r="Q529" i="5"/>
  <c r="Q531" i="5"/>
  <c r="Q555" i="5"/>
  <c r="Q556" i="5"/>
  <c r="Q558" i="5"/>
  <c r="Q561" i="5"/>
  <c r="Q562" i="5"/>
  <c r="Q575" i="5"/>
  <c r="Q593" i="5"/>
  <c r="Q594" i="5"/>
  <c r="Q598" i="5"/>
  <c r="Q599" i="5"/>
  <c r="Q608" i="5"/>
  <c r="Q609" i="5"/>
  <c r="Q610" i="5"/>
  <c r="Q611" i="5"/>
  <c r="Q630" i="5"/>
  <c r="Q631" i="5"/>
  <c r="Q637" i="5"/>
  <c r="Q638" i="5"/>
  <c r="Q639" i="5"/>
  <c r="Q640" i="5"/>
  <c r="Q651" i="5"/>
  <c r="Q652" i="5"/>
  <c r="Q657" i="5"/>
  <c r="Q670" i="5"/>
  <c r="Q677" i="5"/>
  <c r="Q678" i="5"/>
  <c r="Q711" i="5"/>
  <c r="Q717" i="5"/>
  <c r="Q724" i="5"/>
  <c r="Q725" i="5"/>
  <c r="Q728" i="5"/>
  <c r="Q733" i="5"/>
  <c r="Q363" i="5"/>
  <c r="Q367" i="5"/>
  <c r="Q368" i="5"/>
  <c r="Q371" i="5"/>
  <c r="Q380" i="5"/>
  <c r="Q388" i="5"/>
  <c r="Q390" i="5"/>
  <c r="Q9" i="5"/>
  <c r="Q55" i="5"/>
  <c r="Q65" i="5"/>
  <c r="Q92" i="5"/>
  <c r="Q94" i="5"/>
  <c r="Q122" i="5"/>
  <c r="Q153" i="5"/>
  <c r="Q183" i="5"/>
  <c r="Q201" i="5"/>
  <c r="Q211" i="5"/>
  <c r="Q218" i="5"/>
  <c r="Q226" i="5"/>
  <c r="Q242" i="5"/>
  <c r="Q256" i="5"/>
  <c r="Q431" i="5"/>
  <c r="Q437" i="5"/>
  <c r="Q447" i="5"/>
  <c r="Q452" i="5"/>
  <c r="Q464" i="5"/>
  <c r="Q465" i="5"/>
  <c r="Q557" i="5"/>
  <c r="Q559" i="5"/>
  <c r="Q563" i="5"/>
  <c r="Q568" i="5"/>
  <c r="Q574" i="5"/>
  <c r="Q600" i="5"/>
  <c r="Q603" i="5"/>
  <c r="Q604" i="5"/>
  <c r="Q607" i="5"/>
  <c r="Q658" i="5"/>
  <c r="Q672" i="5"/>
  <c r="Q673" i="5"/>
  <c r="Q691" i="5"/>
  <c r="Q709" i="5"/>
  <c r="Q710" i="5"/>
  <c r="Q713" i="5"/>
  <c r="Q364" i="5"/>
  <c r="Q428" i="5"/>
  <c r="Q430" i="5"/>
  <c r="Q433" i="5"/>
  <c r="Q440" i="5"/>
  <c r="Q442" i="5"/>
  <c r="Q444" i="5"/>
  <c r="Q446" i="5"/>
  <c r="Q449" i="5"/>
  <c r="Q451" i="5"/>
  <c r="Q565" i="5"/>
  <c r="Q567" i="5"/>
  <c r="Q570" i="5"/>
  <c r="Q572" i="5"/>
  <c r="Q16" i="5"/>
  <c r="Q18" i="5"/>
  <c r="Q30" i="5"/>
  <c r="Q32" i="5"/>
  <c r="Q34" i="5"/>
  <c r="Q36" i="5"/>
  <c r="Q45" i="5"/>
  <c r="Q71" i="5"/>
  <c r="Q73" i="5"/>
  <c r="Q75" i="5"/>
  <c r="Q98" i="5"/>
  <c r="Q100" i="5"/>
  <c r="Q125" i="5"/>
  <c r="Q127" i="5"/>
  <c r="Q146" i="5"/>
  <c r="Q148" i="5"/>
  <c r="Q150" i="5"/>
  <c r="Q152" i="5"/>
  <c r="Q168" i="5"/>
  <c r="Q170" i="5"/>
  <c r="Q494" i="5"/>
  <c r="Q500" i="5"/>
  <c r="Q504" i="5"/>
  <c r="Q511" i="5"/>
  <c r="Q515" i="5"/>
  <c r="Q523" i="5"/>
  <c r="Q527" i="5"/>
  <c r="Q537" i="5"/>
  <c r="Q541" i="5"/>
  <c r="Q323" i="5"/>
  <c r="Q325" i="5"/>
  <c r="Q327" i="5"/>
  <c r="Q15" i="5"/>
  <c r="Q17" i="5"/>
  <c r="Q29" i="5"/>
  <c r="Q31" i="5"/>
  <c r="Q33" i="5"/>
  <c r="Q35" i="5"/>
  <c r="Q44" i="5"/>
  <c r="Q70" i="5"/>
  <c r="Q72" i="5"/>
  <c r="Q74" i="5"/>
  <c r="Q97" i="5"/>
  <c r="Q99" i="5"/>
  <c r="Q124" i="5"/>
  <c r="Q126" i="5"/>
  <c r="Q145" i="5"/>
  <c r="Q147" i="5"/>
  <c r="Q149" i="5"/>
  <c r="Q151" i="5"/>
  <c r="Q167" i="5"/>
  <c r="Q169" i="5"/>
  <c r="Q190" i="5"/>
  <c r="Q191" i="5"/>
  <c r="Q192" i="5"/>
  <c r="Q213" i="5"/>
  <c r="Q232" i="5"/>
  <c r="Q233" i="5"/>
  <c r="Q234" i="5"/>
  <c r="Q251" i="5"/>
  <c r="Q263" i="5"/>
  <c r="Q273" i="5"/>
  <c r="Q274" i="5"/>
  <c r="Q286" i="5"/>
  <c r="Q287" i="5"/>
  <c r="Q303" i="5"/>
  <c r="Q305" i="5"/>
  <c r="Q307" i="5"/>
  <c r="Q309" i="5"/>
  <c r="Q310" i="5"/>
  <c r="Q311" i="5"/>
  <c r="Q336" i="5"/>
  <c r="Q337" i="5"/>
  <c r="Q353" i="5"/>
  <c r="Q423" i="5"/>
  <c r="Q424" i="5"/>
  <c r="Q425" i="5"/>
  <c r="Q427" i="5"/>
  <c r="Q429" i="5"/>
  <c r="Q432" i="5"/>
  <c r="Q439" i="5"/>
  <c r="Q441" i="5"/>
  <c r="Q443" i="5"/>
  <c r="Q445" i="5"/>
  <c r="Q448" i="5"/>
  <c r="Q450" i="5"/>
  <c r="Q493" i="5"/>
  <c r="Q499" i="5"/>
  <c r="Q503" i="5"/>
  <c r="Q510" i="5"/>
  <c r="Q514" i="5"/>
  <c r="Q522" i="5"/>
  <c r="Q526" i="5"/>
  <c r="Q536" i="5"/>
  <c r="Q540" i="5"/>
  <c r="Q564" i="5"/>
  <c r="Q566" i="5"/>
  <c r="Q569" i="5"/>
  <c r="Q571" i="5"/>
  <c r="Q601" i="5"/>
  <c r="Q602" i="5"/>
  <c r="Q605" i="5"/>
  <c r="Q606" i="5"/>
  <c r="Q632" i="5"/>
  <c r="Q633" i="5"/>
  <c r="Q635" i="5"/>
  <c r="Q636" i="5"/>
  <c r="Q648" i="5"/>
  <c r="Q649" i="5"/>
  <c r="Q654" i="5"/>
  <c r="Q655" i="5"/>
  <c r="Q656" i="5"/>
  <c r="Q660" i="5"/>
  <c r="Q664" i="5"/>
  <c r="Q665" i="5"/>
  <c r="Q668" i="5"/>
  <c r="Q669" i="5"/>
  <c r="Q674" i="5"/>
  <c r="Q675" i="5"/>
  <c r="Q686" i="5"/>
  <c r="Q688" i="5"/>
  <c r="Q690" i="5"/>
  <c r="Q693" i="5"/>
  <c r="Q705" i="5"/>
  <c r="Q712" i="5"/>
  <c r="Q715" i="5"/>
  <c r="Q716" i="5"/>
  <c r="Q723" i="5"/>
  <c r="Q369" i="5"/>
  <c r="Q389" i="5"/>
  <c r="Q573" i="5"/>
  <c r="Q318" i="5"/>
  <c r="Q165" i="5"/>
  <c r="Q166" i="5"/>
  <c r="Q231" i="5"/>
  <c r="Q236" i="5"/>
  <c r="Q243" i="5"/>
  <c r="Q253" i="5"/>
  <c r="Q292" i="5"/>
  <c r="Q298" i="5"/>
  <c r="Q413" i="5"/>
  <c r="Q618" i="5"/>
  <c r="Q624" i="5"/>
  <c r="Q626" i="5"/>
  <c r="Q681" i="5"/>
  <c r="Q682" i="5"/>
  <c r="Q683" i="5"/>
  <c r="Q647" i="5"/>
  <c r="Q692" i="5"/>
  <c r="Q701" i="5"/>
  <c r="Q706" i="5"/>
  <c r="Q708" i="5"/>
  <c r="Q718" i="5"/>
  <c r="Q719" i="5"/>
  <c r="Q405" i="5"/>
  <c r="Q418" i="5"/>
  <c r="Q419" i="5"/>
  <c r="Q420" i="5"/>
  <c r="Q19" i="5"/>
  <c r="Q48" i="5"/>
  <c r="Q49" i="5"/>
  <c r="Q50" i="5"/>
  <c r="Q193" i="5"/>
  <c r="Q221" i="5"/>
  <c r="Q404" i="5"/>
  <c r="Q406" i="5"/>
  <c r="Q414" i="5"/>
  <c r="Q415" i="5"/>
  <c r="Q544" i="5"/>
  <c r="Q551" i="5"/>
  <c r="Q689" i="5"/>
  <c r="Q730" i="5"/>
  <c r="Q732" i="5"/>
  <c r="Q210" i="5"/>
  <c r="Q412" i="5"/>
  <c r="Q676" i="5"/>
  <c r="Q694" i="5"/>
  <c r="Q366" i="5"/>
  <c r="Q381" i="5"/>
  <c r="Q707" i="5"/>
  <c r="Q666" i="5"/>
  <c r="Q684" i="5"/>
  <c r="Q700" i="5"/>
  <c r="Q702" i="5"/>
  <c r="Q720" i="5"/>
  <c r="Q334" i="5"/>
  <c r="Q88" i="5"/>
  <c r="Q222" i="5"/>
  <c r="Q280" i="5"/>
  <c r="Q225" i="5"/>
  <c r="Q228" i="5"/>
  <c r="Q344" i="5"/>
  <c r="Q131" i="5"/>
  <c r="Q133" i="5"/>
  <c r="Q134" i="5"/>
  <c r="Q135" i="5"/>
  <c r="Q136" i="5"/>
  <c r="Q140" i="5"/>
  <c r="Q219" i="5"/>
  <c r="Q257" i="5"/>
  <c r="Q278" i="5"/>
  <c r="Q279" i="5"/>
  <c r="Q550" i="5"/>
  <c r="Q317" i="5"/>
  <c r="Q335" i="5"/>
  <c r="Q339" i="5"/>
  <c r="Q6" i="5"/>
  <c r="Q8" i="5"/>
  <c r="Q20" i="5"/>
  <c r="Q21" i="5"/>
  <c r="Q22" i="5"/>
  <c r="Q23" i="5"/>
  <c r="Q56" i="5"/>
  <c r="Q57" i="5"/>
  <c r="Q58" i="5"/>
  <c r="Q59" i="5"/>
  <c r="Q62" i="5"/>
  <c r="Q102" i="5"/>
  <c r="Q103" i="5"/>
  <c r="Q104" i="5"/>
  <c r="Q105" i="5"/>
  <c r="Q108" i="5"/>
  <c r="Q109" i="5"/>
  <c r="Q111" i="5"/>
  <c r="Q112" i="5"/>
  <c r="Q114" i="5"/>
  <c r="Q115" i="5"/>
  <c r="Q116" i="5"/>
  <c r="Q119" i="5"/>
  <c r="Q121" i="5"/>
  <c r="Q123" i="5"/>
  <c r="Q129" i="5"/>
  <c r="Q158" i="5"/>
  <c r="Q159" i="5"/>
  <c r="Q161" i="5"/>
  <c r="Q162" i="5"/>
  <c r="Q163" i="5"/>
  <c r="Q164" i="5"/>
  <c r="Q172" i="5"/>
  <c r="Q173" i="5"/>
  <c r="Q174" i="5"/>
  <c r="Q175" i="5"/>
  <c r="Q182" i="5"/>
  <c r="Q184" i="5"/>
  <c r="Q185" i="5"/>
  <c r="Q186" i="5"/>
  <c r="Q187" i="5"/>
  <c r="Q194" i="5"/>
  <c r="Q199" i="5"/>
  <c r="Q206" i="5"/>
  <c r="Q207" i="5"/>
  <c r="Q229" i="5"/>
  <c r="Q230" i="5"/>
  <c r="Q268" i="5"/>
  <c r="Q270" i="5"/>
  <c r="Q271" i="5"/>
  <c r="Q272" i="5"/>
  <c r="Q276" i="5"/>
  <c r="Q283" i="5"/>
  <c r="Q284" i="5"/>
  <c r="Q285" i="5"/>
  <c r="Q289" i="5"/>
  <c r="Q329" i="5"/>
  <c r="Q331" i="5"/>
  <c r="Q332" i="5"/>
  <c r="Q333" i="5"/>
  <c r="Q338" i="5"/>
  <c r="Q341" i="5"/>
  <c r="Q347" i="5"/>
  <c r="Q348" i="5"/>
  <c r="Q349" i="5"/>
  <c r="Q352" i="5"/>
  <c r="Q354" i="5"/>
  <c r="Q355" i="5"/>
  <c r="Q356" i="5"/>
  <c r="Q396" i="5"/>
  <c r="Q397" i="5"/>
  <c r="Q400" i="5"/>
  <c r="Q408" i="5"/>
  <c r="Q409" i="5"/>
  <c r="Q416" i="5"/>
  <c r="Q417" i="5"/>
  <c r="Q422" i="5"/>
  <c r="Q466" i="5"/>
  <c r="Q472" i="5"/>
  <c r="Q473" i="5"/>
  <c r="Q474" i="5"/>
  <c r="Q475" i="5"/>
  <c r="Q476" i="5"/>
  <c r="Q495" i="5"/>
  <c r="Q496" i="5"/>
  <c r="Q545" i="5"/>
  <c r="Q546" i="5"/>
  <c r="Q547" i="5"/>
  <c r="Q548" i="5"/>
  <c r="Q549" i="5"/>
  <c r="Q552" i="5"/>
  <c r="Q576" i="5"/>
  <c r="Q577" i="5"/>
  <c r="Q578" i="5"/>
  <c r="Q579" i="5"/>
  <c r="Q580" i="5"/>
  <c r="Q581" i="5"/>
  <c r="Q583" i="5"/>
  <c r="Q586" i="5"/>
  <c r="Q587" i="5"/>
  <c r="Q588" i="5"/>
  <c r="Q589" i="5"/>
  <c r="Q590" i="5"/>
  <c r="Q591" i="5"/>
  <c r="Q612" i="5"/>
  <c r="Q613" i="5"/>
  <c r="Q614" i="5"/>
  <c r="Q615" i="5"/>
  <c r="Q616" i="5"/>
  <c r="Q617" i="5"/>
  <c r="Q621" i="5"/>
  <c r="Q622" i="5"/>
  <c r="Q623" i="5"/>
  <c r="Q634" i="5"/>
  <c r="Q643" i="5"/>
  <c r="Q644" i="5"/>
  <c r="Q645" i="5"/>
  <c r="Q646" i="5"/>
  <c r="Q650" i="5"/>
  <c r="Q653" i="5"/>
  <c r="Q699" i="5"/>
  <c r="Q703" i="5"/>
  <c r="Q704" i="5"/>
  <c r="Q722" i="5"/>
  <c r="Q726" i="5"/>
  <c r="Q727" i="5"/>
  <c r="Q729" i="5"/>
  <c r="Q731" i="5"/>
  <c r="Q322" i="5"/>
  <c r="Q324" i="5"/>
  <c r="Q326" i="5"/>
  <c r="Q39" i="5"/>
  <c r="Q40" i="5"/>
  <c r="Q43" i="5"/>
  <c r="Q212" i="5"/>
  <c r="Q246" i="5"/>
  <c r="Q252" i="5"/>
  <c r="Q302" i="5"/>
  <c r="Q304" i="5"/>
  <c r="Q306" i="5"/>
  <c r="Q498" i="5"/>
  <c r="Q505" i="5"/>
  <c r="Q509" i="5"/>
  <c r="Q516" i="5"/>
  <c r="Q521" i="5"/>
  <c r="Q530" i="5"/>
  <c r="Q534" i="5"/>
  <c r="Q538" i="5"/>
  <c r="Q663" i="5"/>
  <c r="Q667" i="5"/>
  <c r="Q685" i="5"/>
  <c r="Q687" i="5"/>
  <c r="Q63" i="5"/>
  <c r="Q208" i="5"/>
  <c r="Q38" i="5"/>
  <c r="Q42" i="5"/>
  <c r="Q189" i="5"/>
  <c r="Q301" i="5"/>
  <c r="Q320" i="5"/>
  <c r="Q321" i="5"/>
  <c r="Q662" i="5"/>
  <c r="Q37" i="5"/>
  <c r="Q41" i="5"/>
  <c r="Q188" i="5"/>
  <c r="Q300" i="5"/>
  <c r="Q497" i="5"/>
  <c r="Q508" i="5"/>
  <c r="Q520" i="5"/>
  <c r="Q532" i="5"/>
  <c r="Q661" i="5"/>
  <c r="Q506" i="5"/>
  <c r="Q528" i="5"/>
  <c r="Q533" i="5"/>
  <c r="Q436" i="5"/>
  <c r="Q319" i="5"/>
  <c r="Q5" i="5"/>
  <c r="Q260" i="5"/>
  <c r="Q277" i="5"/>
  <c r="Q299" i="5"/>
  <c r="Q362" i="5"/>
  <c r="Q220" i="5"/>
  <c r="Q457" i="5"/>
  <c r="Q458" i="5"/>
  <c r="Q462" i="5"/>
  <c r="Q619" i="5"/>
  <c r="Q214" i="5"/>
  <c r="Q215" i="5"/>
  <c r="Q216" i="5"/>
  <c r="Q217" i="5"/>
  <c r="Q247" i="5"/>
  <c r="Q248" i="5"/>
  <c r="Q249" i="5"/>
  <c r="Q250" i="5"/>
  <c r="Q492" i="5"/>
  <c r="Q501" i="5"/>
  <c r="Q502" i="5"/>
  <c r="Q512" i="5"/>
  <c r="Q513" i="5"/>
  <c r="Q524" i="5"/>
  <c r="Q525" i="5"/>
  <c r="Q535" i="5"/>
  <c r="Q539" i="5"/>
  <c r="Q265" i="5"/>
  <c r="Q266" i="5"/>
  <c r="Q350" i="5"/>
  <c r="Q351" i="5"/>
  <c r="Q471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543" i="5"/>
  <c r="Q554" i="5"/>
  <c r="Q584" i="5"/>
  <c r="Q585" i="5"/>
  <c r="Q592" i="5"/>
  <c r="Q597" i="5"/>
  <c r="Q620" i="5"/>
  <c r="Q629" i="5"/>
  <c r="Q87" i="5"/>
  <c r="Q89" i="5"/>
  <c r="Q90" i="5"/>
  <c r="Q113" i="5"/>
  <c r="Q141" i="5"/>
  <c r="Q142" i="5"/>
  <c r="Q143" i="5"/>
  <c r="Q144" i="5"/>
  <c r="Q198" i="5"/>
  <c r="Q204" i="5"/>
  <c r="Q205" i="5"/>
  <c r="Q239" i="5"/>
  <c r="Q240" i="5"/>
  <c r="Q264" i="5"/>
  <c r="Q365" i="5"/>
  <c r="Q370" i="5"/>
  <c r="Q372" i="5"/>
  <c r="Q373" i="5"/>
  <c r="Q374" i="5"/>
  <c r="Q375" i="5"/>
  <c r="Q376" i="5"/>
  <c r="Q377" i="5"/>
  <c r="Q378" i="5"/>
  <c r="Q379" i="5"/>
  <c r="Q382" i="5"/>
  <c r="Q383" i="5"/>
  <c r="Q384" i="5"/>
  <c r="Q385" i="5"/>
  <c r="Q386" i="5"/>
  <c r="Q387" i="5"/>
  <c r="Q261" i="5"/>
  <c r="Q288" i="5"/>
  <c r="Q290" i="5"/>
  <c r="Q296" i="5"/>
  <c r="Q297" i="5"/>
  <c r="Q330" i="5"/>
  <c r="Q340" i="5"/>
  <c r="Q345" i="5"/>
  <c r="Q346" i="5"/>
  <c r="Q394" i="5"/>
  <c r="Q398" i="5"/>
  <c r="Q399" i="5"/>
  <c r="Q401" i="5"/>
  <c r="Q402" i="5"/>
  <c r="Q407" i="5"/>
  <c r="Q421" i="5"/>
  <c r="Q469" i="5"/>
  <c r="Q470" i="5"/>
  <c r="Q491" i="5"/>
  <c r="Q542" i="5"/>
  <c r="Q553" i="5"/>
  <c r="Q560" i="5"/>
  <c r="Q595" i="5"/>
  <c r="Q596" i="5"/>
  <c r="Q627" i="5"/>
  <c r="Q628" i="5"/>
  <c r="Q7" i="5"/>
  <c r="Q11" i="5"/>
  <c r="Q12" i="5"/>
  <c r="Q52" i="5"/>
  <c r="Q60" i="5"/>
  <c r="Q67" i="5"/>
  <c r="Q69" i="5"/>
  <c r="Q76" i="5"/>
  <c r="Q77" i="5"/>
  <c r="Q78" i="5"/>
  <c r="Q81" i="5"/>
  <c r="Q82" i="5"/>
  <c r="Q83" i="5"/>
  <c r="Q85" i="5"/>
  <c r="Q86" i="5"/>
  <c r="Q95" i="5"/>
  <c r="Q96" i="5"/>
  <c r="Q110" i="5"/>
  <c r="Q120" i="5"/>
  <c r="Q128" i="5"/>
  <c r="Q132" i="5"/>
  <c r="Q160" i="5"/>
  <c r="Q171" i="5"/>
  <c r="Q316" i="5"/>
  <c r="Q519" i="5"/>
  <c r="Q625" i="5"/>
  <c r="Q195" i="5"/>
  <c r="Q200" i="5"/>
  <c r="Q203" i="5"/>
  <c r="Q227" i="5"/>
  <c r="Q235" i="5"/>
  <c r="Q237" i="5"/>
  <c r="Q244" i="5"/>
  <c r="Q315" i="5"/>
  <c r="Q659" i="5"/>
  <c r="Q679" i="5"/>
  <c r="Q680" i="5"/>
  <c r="Q695" i="5"/>
  <c r="Q696" i="5"/>
  <c r="Q697" i="5"/>
  <c r="Q698" i="5"/>
  <c r="Q714" i="5"/>
  <c r="Q80" i="5"/>
  <c r="Q238" i="5"/>
  <c r="K56" i="4"/>
  <c r="M6" i="4"/>
  <c r="Q24" i="5"/>
  <c r="Q25" i="5"/>
  <c r="Q26" i="5"/>
  <c r="Q209" i="5"/>
  <c r="Q259" i="5"/>
  <c r="Q295" i="5"/>
  <c r="Q393" i="5"/>
  <c r="Q403" i="5"/>
  <c r="Q426" i="5"/>
  <c r="Q456" i="5"/>
  <c r="Q459" i="5"/>
  <c r="Q467" i="5"/>
  <c r="Q468" i="5"/>
  <c r="Q671" i="5"/>
  <c r="Q721" i="5"/>
  <c r="Q13" i="2"/>
  <c r="P14" i="2" s="1"/>
  <c r="O13" i="2"/>
  <c r="N14" i="2" s="1"/>
  <c r="M13" i="2"/>
  <c r="L14" i="2" s="1"/>
  <c r="K13" i="2"/>
  <c r="J14" i="2" s="1"/>
  <c r="I13" i="2"/>
  <c r="H14" i="2" s="1"/>
  <c r="G13" i="2"/>
  <c r="F14" i="2" s="1"/>
  <c r="E13" i="2"/>
  <c r="D14" i="2" s="1"/>
  <c r="C13" i="2"/>
  <c r="B14" i="2" s="1"/>
  <c r="K8" i="9"/>
  <c r="L6" i="9"/>
  <c r="K18" i="13"/>
  <c r="L6" i="13"/>
  <c r="L11" i="14"/>
  <c r="M11" i="14" s="1"/>
  <c r="M6" i="14"/>
  <c r="L18" i="14"/>
  <c r="M18" i="14" s="1"/>
  <c r="M14" i="14"/>
  <c r="L24" i="14"/>
  <c r="M24" i="14" s="1"/>
  <c r="M21" i="14"/>
  <c r="L30" i="14"/>
  <c r="M30" i="14" s="1"/>
  <c r="M27" i="14"/>
  <c r="L40" i="14"/>
  <c r="M40" i="14" s="1"/>
  <c r="M33" i="14"/>
  <c r="K20" i="13" l="1"/>
  <c r="L18" i="13"/>
  <c r="K10" i="9"/>
  <c r="L8" i="9"/>
  <c r="C18" i="2"/>
  <c r="C17" i="2"/>
  <c r="C16" i="2"/>
  <c r="C15" i="2"/>
  <c r="B19" i="2" s="1"/>
  <c r="E18" i="2"/>
  <c r="E17" i="2"/>
  <c r="E16" i="2"/>
  <c r="E15" i="2"/>
  <c r="D19" i="2" s="1"/>
  <c r="G18" i="2"/>
  <c r="G17" i="2"/>
  <c r="G16" i="2"/>
  <c r="G15" i="2"/>
  <c r="F19" i="2" s="1"/>
  <c r="I18" i="2"/>
  <c r="I17" i="2"/>
  <c r="I16" i="2"/>
  <c r="I15" i="2"/>
  <c r="H19" i="2" s="1"/>
  <c r="K18" i="2"/>
  <c r="K17" i="2"/>
  <c r="K16" i="2"/>
  <c r="K15" i="2"/>
  <c r="J19" i="2" s="1"/>
  <c r="M18" i="2"/>
  <c r="M17" i="2"/>
  <c r="M16" i="2"/>
  <c r="M15" i="2"/>
  <c r="L19" i="2" s="1"/>
  <c r="O18" i="2"/>
  <c r="O17" i="2"/>
  <c r="O16" i="2"/>
  <c r="O15" i="2"/>
  <c r="N19" i="2" s="1"/>
  <c r="Q18" i="2"/>
  <c r="Q17" i="2"/>
  <c r="Q16" i="2"/>
  <c r="Q15" i="2"/>
  <c r="P19" i="2" s="1"/>
  <c r="T721" i="5"/>
  <c r="U721" i="5" s="1"/>
  <c r="S721" i="5"/>
  <c r="R721" i="5"/>
  <c r="T671" i="5"/>
  <c r="U671" i="5" s="1"/>
  <c r="S671" i="5"/>
  <c r="R671" i="5"/>
  <c r="T468" i="5"/>
  <c r="U468" i="5" s="1"/>
  <c r="S468" i="5"/>
  <c r="R468" i="5"/>
  <c r="T467" i="5"/>
  <c r="U467" i="5" s="1"/>
  <c r="S467" i="5"/>
  <c r="R467" i="5"/>
  <c r="T459" i="5"/>
  <c r="U459" i="5" s="1"/>
  <c r="S459" i="5"/>
  <c r="R459" i="5"/>
  <c r="T456" i="5"/>
  <c r="U456" i="5" s="1"/>
  <c r="S456" i="5"/>
  <c r="R456" i="5"/>
  <c r="T426" i="5"/>
  <c r="U426" i="5" s="1"/>
  <c r="S426" i="5"/>
  <c r="R426" i="5"/>
  <c r="T403" i="5"/>
  <c r="U403" i="5" s="1"/>
  <c r="S403" i="5"/>
  <c r="R403" i="5"/>
  <c r="Q641" i="5"/>
  <c r="T393" i="5"/>
  <c r="S393" i="5"/>
  <c r="S641" i="5" s="1"/>
  <c r="R393" i="5"/>
  <c r="R641" i="5" s="1"/>
  <c r="Q360" i="5"/>
  <c r="T295" i="5"/>
  <c r="S295" i="5"/>
  <c r="S360" i="5" s="1"/>
  <c r="R295" i="5"/>
  <c r="R360" i="5" s="1"/>
  <c r="T259" i="5"/>
  <c r="U259" i="5" s="1"/>
  <c r="S259" i="5"/>
  <c r="R259" i="5"/>
  <c r="T209" i="5"/>
  <c r="U209" i="5" s="1"/>
  <c r="S209" i="5"/>
  <c r="R209" i="5"/>
  <c r="T26" i="5"/>
  <c r="U26" i="5" s="1"/>
  <c r="S26" i="5"/>
  <c r="R26" i="5"/>
  <c r="T25" i="5"/>
  <c r="U25" i="5" s="1"/>
  <c r="S25" i="5"/>
  <c r="R25" i="5"/>
  <c r="T24" i="5"/>
  <c r="U24" i="5" s="1"/>
  <c r="S24" i="5"/>
  <c r="R24" i="5"/>
  <c r="M56" i="4"/>
  <c r="N6" i="4"/>
  <c r="T238" i="5"/>
  <c r="U238" i="5" s="1"/>
  <c r="S238" i="5"/>
  <c r="R238" i="5"/>
  <c r="T80" i="5"/>
  <c r="U80" i="5" s="1"/>
  <c r="S80" i="5"/>
  <c r="R80" i="5"/>
  <c r="T714" i="5"/>
  <c r="U714" i="5" s="1"/>
  <c r="S714" i="5"/>
  <c r="R714" i="5"/>
  <c r="T698" i="5"/>
  <c r="U698" i="5" s="1"/>
  <c r="S698" i="5"/>
  <c r="R698" i="5"/>
  <c r="T697" i="5"/>
  <c r="U697" i="5" s="1"/>
  <c r="S697" i="5"/>
  <c r="R697" i="5"/>
  <c r="T696" i="5"/>
  <c r="U696" i="5" s="1"/>
  <c r="S696" i="5"/>
  <c r="R696" i="5"/>
  <c r="T695" i="5"/>
  <c r="U695" i="5" s="1"/>
  <c r="S695" i="5"/>
  <c r="R695" i="5"/>
  <c r="T680" i="5"/>
  <c r="U680" i="5" s="1"/>
  <c r="S680" i="5"/>
  <c r="R680" i="5"/>
  <c r="T679" i="5"/>
  <c r="U679" i="5" s="1"/>
  <c r="S679" i="5"/>
  <c r="R679" i="5"/>
  <c r="T659" i="5"/>
  <c r="U659" i="5" s="1"/>
  <c r="S659" i="5"/>
  <c r="R659" i="5"/>
  <c r="T315" i="5"/>
  <c r="U315" i="5" s="1"/>
  <c r="S315" i="5"/>
  <c r="R315" i="5"/>
  <c r="T244" i="5"/>
  <c r="U244" i="5" s="1"/>
  <c r="S244" i="5"/>
  <c r="R244" i="5"/>
  <c r="T237" i="5"/>
  <c r="U237" i="5" s="1"/>
  <c r="S237" i="5"/>
  <c r="R237" i="5"/>
  <c r="T235" i="5"/>
  <c r="U235" i="5" s="1"/>
  <c r="S235" i="5"/>
  <c r="R235" i="5"/>
  <c r="T227" i="5"/>
  <c r="U227" i="5" s="1"/>
  <c r="S227" i="5"/>
  <c r="R227" i="5"/>
  <c r="T203" i="5"/>
  <c r="U203" i="5" s="1"/>
  <c r="S203" i="5"/>
  <c r="R203" i="5"/>
  <c r="T200" i="5"/>
  <c r="U200" i="5" s="1"/>
  <c r="S200" i="5"/>
  <c r="R200" i="5"/>
  <c r="T195" i="5"/>
  <c r="U195" i="5" s="1"/>
  <c r="S195" i="5"/>
  <c r="R195" i="5"/>
  <c r="T625" i="5"/>
  <c r="U625" i="5" s="1"/>
  <c r="S625" i="5"/>
  <c r="R625" i="5"/>
  <c r="T519" i="5"/>
  <c r="U519" i="5" s="1"/>
  <c r="S519" i="5"/>
  <c r="R519" i="5"/>
  <c r="T316" i="5"/>
  <c r="U316" i="5" s="1"/>
  <c r="S316" i="5"/>
  <c r="R316" i="5"/>
  <c r="T171" i="5"/>
  <c r="U171" i="5" s="1"/>
  <c r="S171" i="5"/>
  <c r="R171" i="5"/>
  <c r="T160" i="5"/>
  <c r="U160" i="5" s="1"/>
  <c r="S160" i="5"/>
  <c r="R160" i="5"/>
  <c r="T132" i="5"/>
  <c r="U132" i="5" s="1"/>
  <c r="S132" i="5"/>
  <c r="R132" i="5"/>
  <c r="T128" i="5"/>
  <c r="U128" i="5" s="1"/>
  <c r="S128" i="5"/>
  <c r="R128" i="5"/>
  <c r="T120" i="5"/>
  <c r="U120" i="5" s="1"/>
  <c r="S120" i="5"/>
  <c r="R120" i="5"/>
  <c r="T110" i="5"/>
  <c r="U110" i="5" s="1"/>
  <c r="S110" i="5"/>
  <c r="R110" i="5"/>
  <c r="T96" i="5"/>
  <c r="U96" i="5" s="1"/>
  <c r="S96" i="5"/>
  <c r="R96" i="5"/>
  <c r="T95" i="5"/>
  <c r="U95" i="5" s="1"/>
  <c r="S95" i="5"/>
  <c r="R95" i="5"/>
  <c r="T86" i="5"/>
  <c r="U86" i="5" s="1"/>
  <c r="S86" i="5"/>
  <c r="R86" i="5"/>
  <c r="T85" i="5"/>
  <c r="U85" i="5" s="1"/>
  <c r="S85" i="5"/>
  <c r="R85" i="5"/>
  <c r="T83" i="5"/>
  <c r="U83" i="5" s="1"/>
  <c r="S83" i="5"/>
  <c r="R83" i="5"/>
  <c r="T82" i="5"/>
  <c r="U82" i="5" s="1"/>
  <c r="S82" i="5"/>
  <c r="R82" i="5"/>
  <c r="T81" i="5"/>
  <c r="U81" i="5" s="1"/>
  <c r="S81" i="5"/>
  <c r="R81" i="5"/>
  <c r="T78" i="5"/>
  <c r="U78" i="5" s="1"/>
  <c r="S78" i="5"/>
  <c r="R78" i="5"/>
  <c r="T77" i="5"/>
  <c r="U77" i="5" s="1"/>
  <c r="S77" i="5"/>
  <c r="R77" i="5"/>
  <c r="T76" i="5"/>
  <c r="U76" i="5" s="1"/>
  <c r="S76" i="5"/>
  <c r="R76" i="5"/>
  <c r="T69" i="5"/>
  <c r="U69" i="5" s="1"/>
  <c r="S69" i="5"/>
  <c r="R69" i="5"/>
  <c r="T67" i="5"/>
  <c r="U67" i="5" s="1"/>
  <c r="S67" i="5"/>
  <c r="R67" i="5"/>
  <c r="T60" i="5"/>
  <c r="U60" i="5" s="1"/>
  <c r="S60" i="5"/>
  <c r="R60" i="5"/>
  <c r="T52" i="5"/>
  <c r="U52" i="5" s="1"/>
  <c r="S52" i="5"/>
  <c r="R52" i="5"/>
  <c r="T12" i="5"/>
  <c r="U12" i="5" s="1"/>
  <c r="S12" i="5"/>
  <c r="R12" i="5"/>
  <c r="T11" i="5"/>
  <c r="U11" i="5" s="1"/>
  <c r="S11" i="5"/>
  <c r="R11" i="5"/>
  <c r="T7" i="5"/>
  <c r="U7" i="5" s="1"/>
  <c r="S7" i="5"/>
  <c r="R7" i="5"/>
  <c r="T628" i="5"/>
  <c r="U628" i="5" s="1"/>
  <c r="S628" i="5"/>
  <c r="R628" i="5"/>
  <c r="T627" i="5"/>
  <c r="U627" i="5" s="1"/>
  <c r="S627" i="5"/>
  <c r="R627" i="5"/>
  <c r="T596" i="5"/>
  <c r="U596" i="5" s="1"/>
  <c r="S596" i="5"/>
  <c r="R596" i="5"/>
  <c r="T595" i="5"/>
  <c r="U595" i="5" s="1"/>
  <c r="S595" i="5"/>
  <c r="R595" i="5"/>
  <c r="T560" i="5"/>
  <c r="U560" i="5" s="1"/>
  <c r="S560" i="5"/>
  <c r="R560" i="5"/>
  <c r="T553" i="5"/>
  <c r="U553" i="5" s="1"/>
  <c r="S553" i="5"/>
  <c r="R553" i="5"/>
  <c r="T542" i="5"/>
  <c r="U542" i="5" s="1"/>
  <c r="S542" i="5"/>
  <c r="R542" i="5"/>
  <c r="T491" i="5"/>
  <c r="U491" i="5" s="1"/>
  <c r="S491" i="5"/>
  <c r="R491" i="5"/>
  <c r="T470" i="5"/>
  <c r="U470" i="5" s="1"/>
  <c r="S470" i="5"/>
  <c r="R470" i="5"/>
  <c r="T469" i="5"/>
  <c r="U469" i="5" s="1"/>
  <c r="S469" i="5"/>
  <c r="R469" i="5"/>
  <c r="T421" i="5"/>
  <c r="U421" i="5" s="1"/>
  <c r="S421" i="5"/>
  <c r="R421" i="5"/>
  <c r="T407" i="5"/>
  <c r="U407" i="5" s="1"/>
  <c r="S407" i="5"/>
  <c r="R407" i="5"/>
  <c r="T402" i="5"/>
  <c r="U402" i="5" s="1"/>
  <c r="S402" i="5"/>
  <c r="R402" i="5"/>
  <c r="T401" i="5"/>
  <c r="U401" i="5" s="1"/>
  <c r="S401" i="5"/>
  <c r="R401" i="5"/>
  <c r="T399" i="5"/>
  <c r="U399" i="5" s="1"/>
  <c r="S399" i="5"/>
  <c r="R399" i="5"/>
  <c r="T398" i="5"/>
  <c r="U398" i="5" s="1"/>
  <c r="S398" i="5"/>
  <c r="R398" i="5"/>
  <c r="T394" i="5"/>
  <c r="U394" i="5" s="1"/>
  <c r="S394" i="5"/>
  <c r="R394" i="5"/>
  <c r="T346" i="5"/>
  <c r="U346" i="5" s="1"/>
  <c r="S346" i="5"/>
  <c r="R346" i="5"/>
  <c r="T345" i="5"/>
  <c r="U345" i="5" s="1"/>
  <c r="S345" i="5"/>
  <c r="R345" i="5"/>
  <c r="T340" i="5"/>
  <c r="U340" i="5" s="1"/>
  <c r="S340" i="5"/>
  <c r="R340" i="5"/>
  <c r="T330" i="5"/>
  <c r="U330" i="5" s="1"/>
  <c r="S330" i="5"/>
  <c r="R330" i="5"/>
  <c r="T297" i="5"/>
  <c r="U297" i="5" s="1"/>
  <c r="S297" i="5"/>
  <c r="R297" i="5"/>
  <c r="T296" i="5"/>
  <c r="U296" i="5" s="1"/>
  <c r="S296" i="5"/>
  <c r="R296" i="5"/>
  <c r="T290" i="5"/>
  <c r="U290" i="5" s="1"/>
  <c r="S290" i="5"/>
  <c r="R290" i="5"/>
  <c r="T288" i="5"/>
  <c r="U288" i="5" s="1"/>
  <c r="S288" i="5"/>
  <c r="R288" i="5"/>
  <c r="T261" i="5"/>
  <c r="U261" i="5" s="1"/>
  <c r="S261" i="5"/>
  <c r="R261" i="5"/>
  <c r="T387" i="5"/>
  <c r="U387" i="5" s="1"/>
  <c r="S387" i="5"/>
  <c r="R387" i="5"/>
  <c r="T386" i="5"/>
  <c r="U386" i="5" s="1"/>
  <c r="S386" i="5"/>
  <c r="R386" i="5"/>
  <c r="T385" i="5"/>
  <c r="U385" i="5" s="1"/>
  <c r="S385" i="5"/>
  <c r="R385" i="5"/>
  <c r="T384" i="5"/>
  <c r="U384" i="5" s="1"/>
  <c r="S384" i="5"/>
  <c r="R384" i="5"/>
  <c r="T383" i="5"/>
  <c r="U383" i="5" s="1"/>
  <c r="S383" i="5"/>
  <c r="R383" i="5"/>
  <c r="T382" i="5"/>
  <c r="U382" i="5" s="1"/>
  <c r="S382" i="5"/>
  <c r="R382" i="5"/>
  <c r="T379" i="5"/>
  <c r="U379" i="5" s="1"/>
  <c r="S379" i="5"/>
  <c r="R379" i="5"/>
  <c r="T378" i="5"/>
  <c r="U378" i="5" s="1"/>
  <c r="S378" i="5"/>
  <c r="R378" i="5"/>
  <c r="T377" i="5"/>
  <c r="U377" i="5" s="1"/>
  <c r="S377" i="5"/>
  <c r="R377" i="5"/>
  <c r="T376" i="5"/>
  <c r="U376" i="5" s="1"/>
  <c r="S376" i="5"/>
  <c r="R376" i="5"/>
  <c r="T375" i="5"/>
  <c r="U375" i="5" s="1"/>
  <c r="S375" i="5"/>
  <c r="R375" i="5"/>
  <c r="T374" i="5"/>
  <c r="U374" i="5" s="1"/>
  <c r="S374" i="5"/>
  <c r="R374" i="5"/>
  <c r="T373" i="5"/>
  <c r="U373" i="5" s="1"/>
  <c r="S373" i="5"/>
  <c r="R373" i="5"/>
  <c r="T372" i="5"/>
  <c r="U372" i="5" s="1"/>
  <c r="S372" i="5"/>
  <c r="R372" i="5"/>
  <c r="T370" i="5"/>
  <c r="U370" i="5" s="1"/>
  <c r="S370" i="5"/>
  <c r="R370" i="5"/>
  <c r="T365" i="5"/>
  <c r="U365" i="5" s="1"/>
  <c r="S365" i="5"/>
  <c r="R365" i="5"/>
  <c r="T264" i="5"/>
  <c r="U264" i="5" s="1"/>
  <c r="S264" i="5"/>
  <c r="R264" i="5"/>
  <c r="T240" i="5"/>
  <c r="U240" i="5" s="1"/>
  <c r="S240" i="5"/>
  <c r="R240" i="5"/>
  <c r="T239" i="5"/>
  <c r="U239" i="5" s="1"/>
  <c r="S239" i="5"/>
  <c r="R239" i="5"/>
  <c r="T205" i="5"/>
  <c r="U205" i="5" s="1"/>
  <c r="S205" i="5"/>
  <c r="R205" i="5"/>
  <c r="T204" i="5"/>
  <c r="U204" i="5" s="1"/>
  <c r="S204" i="5"/>
  <c r="R204" i="5"/>
  <c r="T198" i="5"/>
  <c r="U198" i="5" s="1"/>
  <c r="S198" i="5"/>
  <c r="R198" i="5"/>
  <c r="T144" i="5"/>
  <c r="U144" i="5" s="1"/>
  <c r="S144" i="5"/>
  <c r="R144" i="5"/>
  <c r="T143" i="5"/>
  <c r="U143" i="5" s="1"/>
  <c r="S143" i="5"/>
  <c r="R143" i="5"/>
  <c r="T142" i="5"/>
  <c r="U142" i="5" s="1"/>
  <c r="S142" i="5"/>
  <c r="R142" i="5"/>
  <c r="T141" i="5"/>
  <c r="U141" i="5" s="1"/>
  <c r="S141" i="5"/>
  <c r="R141" i="5"/>
  <c r="T113" i="5"/>
  <c r="U113" i="5" s="1"/>
  <c r="S113" i="5"/>
  <c r="R113" i="5"/>
  <c r="T90" i="5"/>
  <c r="U90" i="5" s="1"/>
  <c r="S90" i="5"/>
  <c r="R90" i="5"/>
  <c r="T89" i="5"/>
  <c r="U89" i="5" s="1"/>
  <c r="S89" i="5"/>
  <c r="R89" i="5"/>
  <c r="T87" i="5"/>
  <c r="U87" i="5" s="1"/>
  <c r="S87" i="5"/>
  <c r="R87" i="5"/>
  <c r="T629" i="5"/>
  <c r="U629" i="5" s="1"/>
  <c r="S629" i="5"/>
  <c r="R629" i="5"/>
  <c r="T620" i="5"/>
  <c r="U620" i="5" s="1"/>
  <c r="S620" i="5"/>
  <c r="R620" i="5"/>
  <c r="T597" i="5"/>
  <c r="U597" i="5" s="1"/>
  <c r="S597" i="5"/>
  <c r="R597" i="5"/>
  <c r="T592" i="5"/>
  <c r="U592" i="5" s="1"/>
  <c r="S592" i="5"/>
  <c r="R592" i="5"/>
  <c r="T585" i="5"/>
  <c r="U585" i="5" s="1"/>
  <c r="S585" i="5"/>
  <c r="R585" i="5"/>
  <c r="T584" i="5"/>
  <c r="U584" i="5" s="1"/>
  <c r="S584" i="5"/>
  <c r="R584" i="5"/>
  <c r="T554" i="5"/>
  <c r="U554" i="5" s="1"/>
  <c r="S554" i="5"/>
  <c r="R554" i="5"/>
  <c r="T543" i="5"/>
  <c r="U543" i="5" s="1"/>
  <c r="S543" i="5"/>
  <c r="R543" i="5"/>
  <c r="T490" i="5"/>
  <c r="U490" i="5" s="1"/>
  <c r="S490" i="5"/>
  <c r="R490" i="5"/>
  <c r="T489" i="5"/>
  <c r="U489" i="5" s="1"/>
  <c r="S489" i="5"/>
  <c r="R489" i="5"/>
  <c r="T488" i="5"/>
  <c r="U488" i="5" s="1"/>
  <c r="S488" i="5"/>
  <c r="R488" i="5"/>
  <c r="T487" i="5"/>
  <c r="U487" i="5" s="1"/>
  <c r="S487" i="5"/>
  <c r="R487" i="5"/>
  <c r="T486" i="5"/>
  <c r="U486" i="5" s="1"/>
  <c r="S486" i="5"/>
  <c r="R486" i="5"/>
  <c r="T485" i="5"/>
  <c r="U485" i="5" s="1"/>
  <c r="S485" i="5"/>
  <c r="R485" i="5"/>
  <c r="T484" i="5"/>
  <c r="U484" i="5" s="1"/>
  <c r="S484" i="5"/>
  <c r="R484" i="5"/>
  <c r="T483" i="5"/>
  <c r="U483" i="5" s="1"/>
  <c r="S483" i="5"/>
  <c r="R483" i="5"/>
  <c r="T482" i="5"/>
  <c r="U482" i="5" s="1"/>
  <c r="S482" i="5"/>
  <c r="R482" i="5"/>
  <c r="T481" i="5"/>
  <c r="U481" i="5" s="1"/>
  <c r="S481" i="5"/>
  <c r="R481" i="5"/>
  <c r="T480" i="5"/>
  <c r="U480" i="5" s="1"/>
  <c r="S480" i="5"/>
  <c r="R480" i="5"/>
  <c r="T479" i="5"/>
  <c r="U479" i="5" s="1"/>
  <c r="S479" i="5"/>
  <c r="R479" i="5"/>
  <c r="T478" i="5"/>
  <c r="U478" i="5" s="1"/>
  <c r="S478" i="5"/>
  <c r="R478" i="5"/>
  <c r="T477" i="5"/>
  <c r="U477" i="5" s="1"/>
  <c r="S477" i="5"/>
  <c r="R477" i="5"/>
  <c r="T471" i="5"/>
  <c r="U471" i="5" s="1"/>
  <c r="S471" i="5"/>
  <c r="R471" i="5"/>
  <c r="T351" i="5"/>
  <c r="U351" i="5" s="1"/>
  <c r="S351" i="5"/>
  <c r="R351" i="5"/>
  <c r="T350" i="5"/>
  <c r="U350" i="5" s="1"/>
  <c r="S350" i="5"/>
  <c r="R350" i="5"/>
  <c r="T266" i="5"/>
  <c r="U266" i="5" s="1"/>
  <c r="S266" i="5"/>
  <c r="R266" i="5"/>
  <c r="T265" i="5"/>
  <c r="U265" i="5" s="1"/>
  <c r="S265" i="5"/>
  <c r="R265" i="5"/>
  <c r="T539" i="5"/>
  <c r="U539" i="5" s="1"/>
  <c r="S539" i="5"/>
  <c r="R539" i="5"/>
  <c r="T535" i="5"/>
  <c r="U535" i="5" s="1"/>
  <c r="S535" i="5"/>
  <c r="R535" i="5"/>
  <c r="T525" i="5"/>
  <c r="U525" i="5" s="1"/>
  <c r="S525" i="5"/>
  <c r="R525" i="5"/>
  <c r="T524" i="5"/>
  <c r="U524" i="5" s="1"/>
  <c r="S524" i="5"/>
  <c r="R524" i="5"/>
  <c r="T513" i="5"/>
  <c r="U513" i="5" s="1"/>
  <c r="S513" i="5"/>
  <c r="R513" i="5"/>
  <c r="T512" i="5"/>
  <c r="U512" i="5" s="1"/>
  <c r="S512" i="5"/>
  <c r="R512" i="5"/>
  <c r="T502" i="5"/>
  <c r="U502" i="5" s="1"/>
  <c r="S502" i="5"/>
  <c r="R502" i="5"/>
  <c r="T501" i="5"/>
  <c r="U501" i="5" s="1"/>
  <c r="S501" i="5"/>
  <c r="R501" i="5"/>
  <c r="T492" i="5"/>
  <c r="U492" i="5" s="1"/>
  <c r="S492" i="5"/>
  <c r="R492" i="5"/>
  <c r="T250" i="5"/>
  <c r="U250" i="5" s="1"/>
  <c r="S250" i="5"/>
  <c r="R250" i="5"/>
  <c r="T249" i="5"/>
  <c r="U249" i="5" s="1"/>
  <c r="S249" i="5"/>
  <c r="R249" i="5"/>
  <c r="T248" i="5"/>
  <c r="U248" i="5" s="1"/>
  <c r="S248" i="5"/>
  <c r="R248" i="5"/>
  <c r="T247" i="5"/>
  <c r="U247" i="5" s="1"/>
  <c r="S247" i="5"/>
  <c r="R247" i="5"/>
  <c r="T217" i="5"/>
  <c r="U217" i="5" s="1"/>
  <c r="S217" i="5"/>
  <c r="R217" i="5"/>
  <c r="T216" i="5"/>
  <c r="U216" i="5" s="1"/>
  <c r="S216" i="5"/>
  <c r="R216" i="5"/>
  <c r="T215" i="5"/>
  <c r="U215" i="5" s="1"/>
  <c r="S215" i="5"/>
  <c r="R215" i="5"/>
  <c r="T214" i="5"/>
  <c r="U214" i="5" s="1"/>
  <c r="S214" i="5"/>
  <c r="R214" i="5"/>
  <c r="T619" i="5"/>
  <c r="U619" i="5" s="1"/>
  <c r="S619" i="5"/>
  <c r="R619" i="5"/>
  <c r="T462" i="5"/>
  <c r="U462" i="5" s="1"/>
  <c r="S462" i="5"/>
  <c r="R462" i="5"/>
  <c r="T458" i="5"/>
  <c r="U458" i="5" s="1"/>
  <c r="S458" i="5"/>
  <c r="R458" i="5"/>
  <c r="T457" i="5"/>
  <c r="U457" i="5" s="1"/>
  <c r="S457" i="5"/>
  <c r="R457" i="5"/>
  <c r="T220" i="5"/>
  <c r="U220" i="5" s="1"/>
  <c r="S220" i="5"/>
  <c r="R220" i="5"/>
  <c r="Q391" i="5"/>
  <c r="T362" i="5"/>
  <c r="S362" i="5"/>
  <c r="S391" i="5" s="1"/>
  <c r="R362" i="5"/>
  <c r="R391" i="5" s="1"/>
  <c r="T299" i="5"/>
  <c r="U299" i="5" s="1"/>
  <c r="S299" i="5"/>
  <c r="R299" i="5"/>
  <c r="T277" i="5"/>
  <c r="U277" i="5" s="1"/>
  <c r="S277" i="5"/>
  <c r="R277" i="5"/>
  <c r="T260" i="5"/>
  <c r="U260" i="5" s="1"/>
  <c r="S260" i="5"/>
  <c r="R260" i="5"/>
  <c r="Q176" i="5"/>
  <c r="T5" i="5"/>
  <c r="S5" i="5"/>
  <c r="S176" i="5" s="1"/>
  <c r="R5" i="5"/>
  <c r="R176" i="5" s="1"/>
  <c r="T319" i="5"/>
  <c r="U319" i="5" s="1"/>
  <c r="S319" i="5"/>
  <c r="R319" i="5"/>
  <c r="T436" i="5"/>
  <c r="U436" i="5" s="1"/>
  <c r="S436" i="5"/>
  <c r="R436" i="5"/>
  <c r="T533" i="5"/>
  <c r="U533" i="5" s="1"/>
  <c r="S533" i="5"/>
  <c r="R533" i="5"/>
  <c r="T528" i="5"/>
  <c r="U528" i="5" s="1"/>
  <c r="S528" i="5"/>
  <c r="R528" i="5"/>
  <c r="T506" i="5"/>
  <c r="U506" i="5" s="1"/>
  <c r="S506" i="5"/>
  <c r="R506" i="5"/>
  <c r="T661" i="5"/>
  <c r="U661" i="5" s="1"/>
  <c r="S661" i="5"/>
  <c r="R661" i="5"/>
  <c r="T532" i="5"/>
  <c r="U532" i="5" s="1"/>
  <c r="S532" i="5"/>
  <c r="R532" i="5"/>
  <c r="T520" i="5"/>
  <c r="U520" i="5" s="1"/>
  <c r="S520" i="5"/>
  <c r="R520" i="5"/>
  <c r="T508" i="5"/>
  <c r="U508" i="5" s="1"/>
  <c r="S508" i="5"/>
  <c r="R508" i="5"/>
  <c r="T497" i="5"/>
  <c r="U497" i="5" s="1"/>
  <c r="S497" i="5"/>
  <c r="R497" i="5"/>
  <c r="T300" i="5"/>
  <c r="U300" i="5" s="1"/>
  <c r="S300" i="5"/>
  <c r="R300" i="5"/>
  <c r="T188" i="5"/>
  <c r="U188" i="5" s="1"/>
  <c r="S188" i="5"/>
  <c r="R188" i="5"/>
  <c r="T41" i="5"/>
  <c r="U41" i="5" s="1"/>
  <c r="S41" i="5"/>
  <c r="R41" i="5"/>
  <c r="T37" i="5"/>
  <c r="U37" i="5" s="1"/>
  <c r="S37" i="5"/>
  <c r="R37" i="5"/>
  <c r="T662" i="5"/>
  <c r="U662" i="5" s="1"/>
  <c r="S662" i="5"/>
  <c r="R662" i="5"/>
  <c r="T321" i="5"/>
  <c r="U321" i="5" s="1"/>
  <c r="S321" i="5"/>
  <c r="R321" i="5"/>
  <c r="T320" i="5"/>
  <c r="U320" i="5" s="1"/>
  <c r="S320" i="5"/>
  <c r="R320" i="5"/>
  <c r="T301" i="5"/>
  <c r="U301" i="5" s="1"/>
  <c r="S301" i="5"/>
  <c r="R301" i="5"/>
  <c r="T189" i="5"/>
  <c r="U189" i="5" s="1"/>
  <c r="S189" i="5"/>
  <c r="R189" i="5"/>
  <c r="T42" i="5"/>
  <c r="U42" i="5" s="1"/>
  <c r="S42" i="5"/>
  <c r="R42" i="5"/>
  <c r="T38" i="5"/>
  <c r="U38" i="5" s="1"/>
  <c r="S38" i="5"/>
  <c r="R38" i="5"/>
  <c r="T208" i="5"/>
  <c r="U208" i="5" s="1"/>
  <c r="S208" i="5"/>
  <c r="R208" i="5"/>
  <c r="T63" i="5"/>
  <c r="U63" i="5" s="1"/>
  <c r="S63" i="5"/>
  <c r="R63" i="5"/>
  <c r="T687" i="5"/>
  <c r="U687" i="5" s="1"/>
  <c r="S687" i="5"/>
  <c r="R687" i="5"/>
  <c r="T685" i="5"/>
  <c r="U685" i="5" s="1"/>
  <c r="S685" i="5"/>
  <c r="R685" i="5"/>
  <c r="T667" i="5"/>
  <c r="U667" i="5" s="1"/>
  <c r="S667" i="5"/>
  <c r="R667" i="5"/>
  <c r="T663" i="5"/>
  <c r="U663" i="5" s="1"/>
  <c r="S663" i="5"/>
  <c r="R663" i="5"/>
  <c r="T538" i="5"/>
  <c r="U538" i="5" s="1"/>
  <c r="S538" i="5"/>
  <c r="R538" i="5"/>
  <c r="T534" i="5"/>
  <c r="U534" i="5" s="1"/>
  <c r="S534" i="5"/>
  <c r="R534" i="5"/>
  <c r="T530" i="5"/>
  <c r="U530" i="5" s="1"/>
  <c r="S530" i="5"/>
  <c r="R530" i="5"/>
  <c r="T521" i="5"/>
  <c r="U521" i="5" s="1"/>
  <c r="S521" i="5"/>
  <c r="R521" i="5"/>
  <c r="T516" i="5"/>
  <c r="U516" i="5" s="1"/>
  <c r="S516" i="5"/>
  <c r="R516" i="5"/>
  <c r="T509" i="5"/>
  <c r="U509" i="5" s="1"/>
  <c r="S509" i="5"/>
  <c r="R509" i="5"/>
  <c r="T505" i="5"/>
  <c r="U505" i="5" s="1"/>
  <c r="S505" i="5"/>
  <c r="R505" i="5"/>
  <c r="T498" i="5"/>
  <c r="U498" i="5" s="1"/>
  <c r="S498" i="5"/>
  <c r="R498" i="5"/>
  <c r="T306" i="5"/>
  <c r="U306" i="5" s="1"/>
  <c r="S306" i="5"/>
  <c r="R306" i="5"/>
  <c r="T304" i="5"/>
  <c r="U304" i="5" s="1"/>
  <c r="S304" i="5"/>
  <c r="R304" i="5"/>
  <c r="T302" i="5"/>
  <c r="U302" i="5" s="1"/>
  <c r="S302" i="5"/>
  <c r="R302" i="5"/>
  <c r="T252" i="5"/>
  <c r="U252" i="5" s="1"/>
  <c r="S252" i="5"/>
  <c r="R252" i="5"/>
  <c r="T246" i="5"/>
  <c r="U246" i="5" s="1"/>
  <c r="S246" i="5"/>
  <c r="R246" i="5"/>
  <c r="T212" i="5"/>
  <c r="U212" i="5" s="1"/>
  <c r="S212" i="5"/>
  <c r="R212" i="5"/>
  <c r="T43" i="5"/>
  <c r="U43" i="5" s="1"/>
  <c r="S43" i="5"/>
  <c r="R43" i="5"/>
  <c r="T40" i="5"/>
  <c r="U40" i="5" s="1"/>
  <c r="S40" i="5"/>
  <c r="R40" i="5"/>
  <c r="T39" i="5"/>
  <c r="U39" i="5" s="1"/>
  <c r="S39" i="5"/>
  <c r="R39" i="5"/>
  <c r="T326" i="5"/>
  <c r="U326" i="5" s="1"/>
  <c r="S326" i="5"/>
  <c r="R326" i="5"/>
  <c r="T324" i="5"/>
  <c r="U324" i="5" s="1"/>
  <c r="S324" i="5"/>
  <c r="R324" i="5"/>
  <c r="T322" i="5"/>
  <c r="U322" i="5" s="1"/>
  <c r="S322" i="5"/>
  <c r="R322" i="5"/>
  <c r="T731" i="5"/>
  <c r="U731" i="5" s="1"/>
  <c r="S731" i="5"/>
  <c r="R731" i="5"/>
  <c r="T729" i="5"/>
  <c r="U729" i="5" s="1"/>
  <c r="S729" i="5"/>
  <c r="R729" i="5"/>
  <c r="T727" i="5"/>
  <c r="U727" i="5" s="1"/>
  <c r="S727" i="5"/>
  <c r="R727" i="5"/>
  <c r="T726" i="5"/>
  <c r="U726" i="5" s="1"/>
  <c r="S726" i="5"/>
  <c r="R726" i="5"/>
  <c r="T722" i="5"/>
  <c r="U722" i="5" s="1"/>
  <c r="S722" i="5"/>
  <c r="R722" i="5"/>
  <c r="T704" i="5"/>
  <c r="U704" i="5" s="1"/>
  <c r="S704" i="5"/>
  <c r="R704" i="5"/>
  <c r="T703" i="5"/>
  <c r="U703" i="5" s="1"/>
  <c r="S703" i="5"/>
  <c r="R703" i="5"/>
  <c r="T699" i="5"/>
  <c r="U699" i="5" s="1"/>
  <c r="S699" i="5"/>
  <c r="R699" i="5"/>
  <c r="T653" i="5"/>
  <c r="U653" i="5" s="1"/>
  <c r="S653" i="5"/>
  <c r="R653" i="5"/>
  <c r="T650" i="5"/>
  <c r="U650" i="5" s="1"/>
  <c r="S650" i="5"/>
  <c r="R650" i="5"/>
  <c r="T646" i="5"/>
  <c r="U646" i="5" s="1"/>
  <c r="S646" i="5"/>
  <c r="R646" i="5"/>
  <c r="T645" i="5"/>
  <c r="U645" i="5" s="1"/>
  <c r="S645" i="5"/>
  <c r="R645" i="5"/>
  <c r="T644" i="5"/>
  <c r="U644" i="5" s="1"/>
  <c r="S644" i="5"/>
  <c r="R644" i="5"/>
  <c r="Q734" i="5"/>
  <c r="T643" i="5"/>
  <c r="S643" i="5"/>
  <c r="S734" i="5" s="1"/>
  <c r="R643" i="5"/>
  <c r="R734" i="5" s="1"/>
  <c r="T634" i="5"/>
  <c r="U634" i="5" s="1"/>
  <c r="S634" i="5"/>
  <c r="R634" i="5"/>
  <c r="T623" i="5"/>
  <c r="U623" i="5" s="1"/>
  <c r="S623" i="5"/>
  <c r="R623" i="5"/>
  <c r="T622" i="5"/>
  <c r="U622" i="5" s="1"/>
  <c r="S622" i="5"/>
  <c r="R622" i="5"/>
  <c r="T621" i="5"/>
  <c r="U621" i="5" s="1"/>
  <c r="S621" i="5"/>
  <c r="R621" i="5"/>
  <c r="T617" i="5"/>
  <c r="U617" i="5" s="1"/>
  <c r="S617" i="5"/>
  <c r="R617" i="5"/>
  <c r="T616" i="5"/>
  <c r="U616" i="5" s="1"/>
  <c r="S616" i="5"/>
  <c r="R616" i="5"/>
  <c r="T615" i="5"/>
  <c r="U615" i="5" s="1"/>
  <c r="S615" i="5"/>
  <c r="R615" i="5"/>
  <c r="T614" i="5"/>
  <c r="U614" i="5" s="1"/>
  <c r="S614" i="5"/>
  <c r="R614" i="5"/>
  <c r="T613" i="5"/>
  <c r="U613" i="5" s="1"/>
  <c r="S613" i="5"/>
  <c r="R613" i="5"/>
  <c r="T612" i="5"/>
  <c r="U612" i="5" s="1"/>
  <c r="S612" i="5"/>
  <c r="R612" i="5"/>
  <c r="T591" i="5"/>
  <c r="U591" i="5" s="1"/>
  <c r="S591" i="5"/>
  <c r="R591" i="5"/>
  <c r="T590" i="5"/>
  <c r="U590" i="5" s="1"/>
  <c r="S590" i="5"/>
  <c r="R590" i="5"/>
  <c r="T589" i="5"/>
  <c r="U589" i="5" s="1"/>
  <c r="S589" i="5"/>
  <c r="R589" i="5"/>
  <c r="T588" i="5"/>
  <c r="U588" i="5" s="1"/>
  <c r="S588" i="5"/>
  <c r="R588" i="5"/>
  <c r="T587" i="5"/>
  <c r="U587" i="5" s="1"/>
  <c r="S587" i="5"/>
  <c r="R587" i="5"/>
  <c r="T586" i="5"/>
  <c r="U586" i="5" s="1"/>
  <c r="S586" i="5"/>
  <c r="R586" i="5"/>
  <c r="T583" i="5"/>
  <c r="U583" i="5" s="1"/>
  <c r="S583" i="5"/>
  <c r="R583" i="5"/>
  <c r="T581" i="5"/>
  <c r="U581" i="5" s="1"/>
  <c r="S581" i="5"/>
  <c r="R581" i="5"/>
  <c r="T580" i="5"/>
  <c r="U580" i="5" s="1"/>
  <c r="S580" i="5"/>
  <c r="R580" i="5"/>
  <c r="T579" i="5"/>
  <c r="U579" i="5" s="1"/>
  <c r="S579" i="5"/>
  <c r="R579" i="5"/>
  <c r="T578" i="5"/>
  <c r="U578" i="5" s="1"/>
  <c r="S578" i="5"/>
  <c r="R578" i="5"/>
  <c r="T577" i="5"/>
  <c r="U577" i="5" s="1"/>
  <c r="S577" i="5"/>
  <c r="R577" i="5"/>
  <c r="T576" i="5"/>
  <c r="U576" i="5" s="1"/>
  <c r="S576" i="5"/>
  <c r="R576" i="5"/>
  <c r="T552" i="5"/>
  <c r="U552" i="5" s="1"/>
  <c r="S552" i="5"/>
  <c r="R552" i="5"/>
  <c r="T549" i="5"/>
  <c r="U549" i="5" s="1"/>
  <c r="S549" i="5"/>
  <c r="R549" i="5"/>
  <c r="T548" i="5"/>
  <c r="U548" i="5" s="1"/>
  <c r="S548" i="5"/>
  <c r="R548" i="5"/>
  <c r="T547" i="5"/>
  <c r="U547" i="5" s="1"/>
  <c r="S547" i="5"/>
  <c r="R547" i="5"/>
  <c r="T546" i="5"/>
  <c r="U546" i="5" s="1"/>
  <c r="S546" i="5"/>
  <c r="R546" i="5"/>
  <c r="T545" i="5"/>
  <c r="U545" i="5" s="1"/>
  <c r="S545" i="5"/>
  <c r="R545" i="5"/>
  <c r="T496" i="5"/>
  <c r="U496" i="5" s="1"/>
  <c r="S496" i="5"/>
  <c r="R496" i="5"/>
  <c r="T495" i="5"/>
  <c r="U495" i="5" s="1"/>
  <c r="S495" i="5"/>
  <c r="R495" i="5"/>
  <c r="T476" i="5"/>
  <c r="U476" i="5" s="1"/>
  <c r="S476" i="5"/>
  <c r="R476" i="5"/>
  <c r="T475" i="5"/>
  <c r="U475" i="5" s="1"/>
  <c r="S475" i="5"/>
  <c r="R475" i="5"/>
  <c r="T474" i="5"/>
  <c r="U474" i="5" s="1"/>
  <c r="S474" i="5"/>
  <c r="R474" i="5"/>
  <c r="T473" i="5"/>
  <c r="U473" i="5" s="1"/>
  <c r="S473" i="5"/>
  <c r="R473" i="5"/>
  <c r="T472" i="5"/>
  <c r="U472" i="5" s="1"/>
  <c r="S472" i="5"/>
  <c r="R472" i="5"/>
  <c r="T466" i="5"/>
  <c r="U466" i="5" s="1"/>
  <c r="S466" i="5"/>
  <c r="R466" i="5"/>
  <c r="T422" i="5"/>
  <c r="U422" i="5" s="1"/>
  <c r="S422" i="5"/>
  <c r="R422" i="5"/>
  <c r="T417" i="5"/>
  <c r="U417" i="5" s="1"/>
  <c r="S417" i="5"/>
  <c r="R417" i="5"/>
  <c r="T416" i="5"/>
  <c r="U416" i="5" s="1"/>
  <c r="S416" i="5"/>
  <c r="R416" i="5"/>
  <c r="T409" i="5"/>
  <c r="U409" i="5" s="1"/>
  <c r="S409" i="5"/>
  <c r="R409" i="5"/>
  <c r="T408" i="5"/>
  <c r="U408" i="5" s="1"/>
  <c r="S408" i="5"/>
  <c r="R408" i="5"/>
  <c r="T400" i="5"/>
  <c r="U400" i="5" s="1"/>
  <c r="S400" i="5"/>
  <c r="R400" i="5"/>
  <c r="T397" i="5"/>
  <c r="U397" i="5" s="1"/>
  <c r="S397" i="5"/>
  <c r="R397" i="5"/>
  <c r="T396" i="5"/>
  <c r="U396" i="5" s="1"/>
  <c r="S396" i="5"/>
  <c r="R396" i="5"/>
  <c r="T356" i="5"/>
  <c r="U356" i="5" s="1"/>
  <c r="S356" i="5"/>
  <c r="R356" i="5"/>
  <c r="T355" i="5"/>
  <c r="U355" i="5" s="1"/>
  <c r="S355" i="5"/>
  <c r="R355" i="5"/>
  <c r="T354" i="5"/>
  <c r="U354" i="5" s="1"/>
  <c r="S354" i="5"/>
  <c r="R354" i="5"/>
  <c r="T352" i="5"/>
  <c r="U352" i="5" s="1"/>
  <c r="S352" i="5"/>
  <c r="R352" i="5"/>
  <c r="T349" i="5"/>
  <c r="U349" i="5" s="1"/>
  <c r="S349" i="5"/>
  <c r="R349" i="5"/>
  <c r="T348" i="5"/>
  <c r="U348" i="5" s="1"/>
  <c r="S348" i="5"/>
  <c r="R348" i="5"/>
  <c r="T347" i="5"/>
  <c r="U347" i="5" s="1"/>
  <c r="S347" i="5"/>
  <c r="R347" i="5"/>
  <c r="T341" i="5"/>
  <c r="U341" i="5" s="1"/>
  <c r="S341" i="5"/>
  <c r="R341" i="5"/>
  <c r="T338" i="5"/>
  <c r="U338" i="5" s="1"/>
  <c r="S338" i="5"/>
  <c r="R338" i="5"/>
  <c r="T333" i="5"/>
  <c r="U333" i="5" s="1"/>
  <c r="S333" i="5"/>
  <c r="R333" i="5"/>
  <c r="T332" i="5"/>
  <c r="U332" i="5" s="1"/>
  <c r="S332" i="5"/>
  <c r="R332" i="5"/>
  <c r="T331" i="5"/>
  <c r="U331" i="5" s="1"/>
  <c r="S331" i="5"/>
  <c r="R331" i="5"/>
  <c r="T329" i="5"/>
  <c r="U329" i="5" s="1"/>
  <c r="S329" i="5"/>
  <c r="R329" i="5"/>
  <c r="T289" i="5"/>
  <c r="U289" i="5" s="1"/>
  <c r="S289" i="5"/>
  <c r="R289" i="5"/>
  <c r="T285" i="5"/>
  <c r="U285" i="5" s="1"/>
  <c r="S285" i="5"/>
  <c r="R285" i="5"/>
  <c r="T284" i="5"/>
  <c r="U284" i="5" s="1"/>
  <c r="S284" i="5"/>
  <c r="R284" i="5"/>
  <c r="T283" i="5"/>
  <c r="U283" i="5" s="1"/>
  <c r="S283" i="5"/>
  <c r="R283" i="5"/>
  <c r="T276" i="5"/>
  <c r="U276" i="5" s="1"/>
  <c r="S276" i="5"/>
  <c r="R276" i="5"/>
  <c r="T272" i="5"/>
  <c r="U272" i="5" s="1"/>
  <c r="S272" i="5"/>
  <c r="R272" i="5"/>
  <c r="T271" i="5"/>
  <c r="U271" i="5" s="1"/>
  <c r="S271" i="5"/>
  <c r="R271" i="5"/>
  <c r="T270" i="5"/>
  <c r="U270" i="5" s="1"/>
  <c r="S270" i="5"/>
  <c r="R270" i="5"/>
  <c r="T268" i="5"/>
  <c r="U268" i="5" s="1"/>
  <c r="S268" i="5"/>
  <c r="R268" i="5"/>
  <c r="T230" i="5"/>
  <c r="U230" i="5" s="1"/>
  <c r="S230" i="5"/>
  <c r="R230" i="5"/>
  <c r="T229" i="5"/>
  <c r="U229" i="5" s="1"/>
  <c r="S229" i="5"/>
  <c r="R229" i="5"/>
  <c r="T207" i="5"/>
  <c r="U207" i="5" s="1"/>
  <c r="S207" i="5"/>
  <c r="R207" i="5"/>
  <c r="T206" i="5"/>
  <c r="U206" i="5" s="1"/>
  <c r="S206" i="5"/>
  <c r="R206" i="5"/>
  <c r="T199" i="5"/>
  <c r="U199" i="5" s="1"/>
  <c r="S199" i="5"/>
  <c r="R199" i="5"/>
  <c r="T194" i="5"/>
  <c r="U194" i="5" s="1"/>
  <c r="S194" i="5"/>
  <c r="R194" i="5"/>
  <c r="T187" i="5"/>
  <c r="U187" i="5" s="1"/>
  <c r="S187" i="5"/>
  <c r="R187" i="5"/>
  <c r="T186" i="5"/>
  <c r="U186" i="5" s="1"/>
  <c r="S186" i="5"/>
  <c r="R186" i="5"/>
  <c r="T185" i="5"/>
  <c r="U185" i="5" s="1"/>
  <c r="S185" i="5"/>
  <c r="R185" i="5"/>
  <c r="T184" i="5"/>
  <c r="U184" i="5" s="1"/>
  <c r="S184" i="5"/>
  <c r="R184" i="5"/>
  <c r="T182" i="5"/>
  <c r="U182" i="5" s="1"/>
  <c r="S182" i="5"/>
  <c r="R182" i="5"/>
  <c r="T175" i="5"/>
  <c r="U175" i="5" s="1"/>
  <c r="S175" i="5"/>
  <c r="R175" i="5"/>
  <c r="T174" i="5"/>
  <c r="U174" i="5" s="1"/>
  <c r="S174" i="5"/>
  <c r="R174" i="5"/>
  <c r="T173" i="5"/>
  <c r="U173" i="5" s="1"/>
  <c r="S173" i="5"/>
  <c r="R173" i="5"/>
  <c r="T172" i="5"/>
  <c r="U172" i="5" s="1"/>
  <c r="S172" i="5"/>
  <c r="R172" i="5"/>
  <c r="T164" i="5"/>
  <c r="U164" i="5" s="1"/>
  <c r="S164" i="5"/>
  <c r="R164" i="5"/>
  <c r="T163" i="5"/>
  <c r="U163" i="5" s="1"/>
  <c r="S163" i="5"/>
  <c r="R163" i="5"/>
  <c r="T162" i="5"/>
  <c r="U162" i="5" s="1"/>
  <c r="S162" i="5"/>
  <c r="R162" i="5"/>
  <c r="T161" i="5"/>
  <c r="U161" i="5" s="1"/>
  <c r="S161" i="5"/>
  <c r="R161" i="5"/>
  <c r="T159" i="5"/>
  <c r="U159" i="5" s="1"/>
  <c r="S159" i="5"/>
  <c r="R159" i="5"/>
  <c r="T158" i="5"/>
  <c r="U158" i="5" s="1"/>
  <c r="S158" i="5"/>
  <c r="R158" i="5"/>
  <c r="T129" i="5"/>
  <c r="U129" i="5" s="1"/>
  <c r="S129" i="5"/>
  <c r="R129" i="5"/>
  <c r="T123" i="5"/>
  <c r="U123" i="5" s="1"/>
  <c r="S123" i="5"/>
  <c r="R123" i="5"/>
  <c r="T121" i="5"/>
  <c r="U121" i="5" s="1"/>
  <c r="S121" i="5"/>
  <c r="R121" i="5"/>
  <c r="T119" i="5"/>
  <c r="U119" i="5" s="1"/>
  <c r="S119" i="5"/>
  <c r="R119" i="5"/>
  <c r="T116" i="5"/>
  <c r="U116" i="5" s="1"/>
  <c r="S116" i="5"/>
  <c r="R116" i="5"/>
  <c r="T115" i="5"/>
  <c r="U115" i="5" s="1"/>
  <c r="S115" i="5"/>
  <c r="R115" i="5"/>
  <c r="T114" i="5"/>
  <c r="U114" i="5" s="1"/>
  <c r="S114" i="5"/>
  <c r="R114" i="5"/>
  <c r="T112" i="5"/>
  <c r="U112" i="5" s="1"/>
  <c r="S112" i="5"/>
  <c r="R112" i="5"/>
  <c r="T111" i="5"/>
  <c r="U111" i="5" s="1"/>
  <c r="S111" i="5"/>
  <c r="R111" i="5"/>
  <c r="T109" i="5"/>
  <c r="U109" i="5" s="1"/>
  <c r="S109" i="5"/>
  <c r="R109" i="5"/>
  <c r="T108" i="5"/>
  <c r="U108" i="5" s="1"/>
  <c r="S108" i="5"/>
  <c r="R108" i="5"/>
  <c r="T105" i="5"/>
  <c r="U105" i="5" s="1"/>
  <c r="S105" i="5"/>
  <c r="R105" i="5"/>
  <c r="T104" i="5"/>
  <c r="U104" i="5" s="1"/>
  <c r="S104" i="5"/>
  <c r="R104" i="5"/>
  <c r="T103" i="5"/>
  <c r="U103" i="5" s="1"/>
  <c r="S103" i="5"/>
  <c r="R103" i="5"/>
  <c r="T102" i="5"/>
  <c r="U102" i="5" s="1"/>
  <c r="S102" i="5"/>
  <c r="R102" i="5"/>
  <c r="T62" i="5"/>
  <c r="U62" i="5" s="1"/>
  <c r="S62" i="5"/>
  <c r="R62" i="5"/>
  <c r="T59" i="5"/>
  <c r="U59" i="5" s="1"/>
  <c r="S59" i="5"/>
  <c r="R59" i="5"/>
  <c r="T58" i="5"/>
  <c r="U58" i="5" s="1"/>
  <c r="S58" i="5"/>
  <c r="R58" i="5"/>
  <c r="T57" i="5"/>
  <c r="U57" i="5" s="1"/>
  <c r="S57" i="5"/>
  <c r="R57" i="5"/>
  <c r="T56" i="5"/>
  <c r="U56" i="5" s="1"/>
  <c r="S56" i="5"/>
  <c r="R56" i="5"/>
  <c r="T23" i="5"/>
  <c r="U23" i="5" s="1"/>
  <c r="S23" i="5"/>
  <c r="R23" i="5"/>
  <c r="T22" i="5"/>
  <c r="U22" i="5" s="1"/>
  <c r="S22" i="5"/>
  <c r="R22" i="5"/>
  <c r="T21" i="5"/>
  <c r="U21" i="5" s="1"/>
  <c r="S21" i="5"/>
  <c r="R21" i="5"/>
  <c r="T20" i="5"/>
  <c r="U20" i="5" s="1"/>
  <c r="S20" i="5"/>
  <c r="R20" i="5"/>
  <c r="T8" i="5"/>
  <c r="U8" i="5" s="1"/>
  <c r="S8" i="5"/>
  <c r="R8" i="5"/>
  <c r="T6" i="5"/>
  <c r="U6" i="5" s="1"/>
  <c r="S6" i="5"/>
  <c r="R6" i="5"/>
  <c r="T339" i="5"/>
  <c r="U339" i="5" s="1"/>
  <c r="S339" i="5"/>
  <c r="R339" i="5"/>
  <c r="T335" i="5"/>
  <c r="U335" i="5" s="1"/>
  <c r="S335" i="5"/>
  <c r="R335" i="5"/>
  <c r="T317" i="5"/>
  <c r="U317" i="5" s="1"/>
  <c r="S317" i="5"/>
  <c r="R317" i="5"/>
  <c r="T550" i="5"/>
  <c r="U550" i="5" s="1"/>
  <c r="S550" i="5"/>
  <c r="R550" i="5"/>
  <c r="T279" i="5"/>
  <c r="U279" i="5" s="1"/>
  <c r="S279" i="5"/>
  <c r="R279" i="5"/>
  <c r="T278" i="5"/>
  <c r="U278" i="5" s="1"/>
  <c r="S278" i="5"/>
  <c r="R278" i="5"/>
  <c r="T257" i="5"/>
  <c r="U257" i="5" s="1"/>
  <c r="S257" i="5"/>
  <c r="R257" i="5"/>
  <c r="T219" i="5"/>
  <c r="U219" i="5" s="1"/>
  <c r="S219" i="5"/>
  <c r="R219" i="5"/>
  <c r="T140" i="5"/>
  <c r="U140" i="5" s="1"/>
  <c r="S140" i="5"/>
  <c r="R140" i="5"/>
  <c r="T136" i="5"/>
  <c r="U136" i="5" s="1"/>
  <c r="S136" i="5"/>
  <c r="R136" i="5"/>
  <c r="T135" i="5"/>
  <c r="U135" i="5" s="1"/>
  <c r="S135" i="5"/>
  <c r="R135" i="5"/>
  <c r="T134" i="5"/>
  <c r="U134" i="5" s="1"/>
  <c r="S134" i="5"/>
  <c r="R134" i="5"/>
  <c r="T133" i="5"/>
  <c r="U133" i="5" s="1"/>
  <c r="S133" i="5"/>
  <c r="R133" i="5"/>
  <c r="T131" i="5"/>
  <c r="U131" i="5" s="1"/>
  <c r="S131" i="5"/>
  <c r="R131" i="5"/>
  <c r="T344" i="5"/>
  <c r="U344" i="5" s="1"/>
  <c r="S344" i="5"/>
  <c r="R344" i="5"/>
  <c r="T228" i="5"/>
  <c r="U228" i="5" s="1"/>
  <c r="S228" i="5"/>
  <c r="R228" i="5"/>
  <c r="T225" i="5"/>
  <c r="U225" i="5" s="1"/>
  <c r="S225" i="5"/>
  <c r="R225" i="5"/>
  <c r="T280" i="5"/>
  <c r="U280" i="5" s="1"/>
  <c r="S280" i="5"/>
  <c r="R280" i="5"/>
  <c r="T222" i="5"/>
  <c r="U222" i="5" s="1"/>
  <c r="S222" i="5"/>
  <c r="R222" i="5"/>
  <c r="T88" i="5"/>
  <c r="U88" i="5" s="1"/>
  <c r="S88" i="5"/>
  <c r="R88" i="5"/>
  <c r="T334" i="5"/>
  <c r="U334" i="5" s="1"/>
  <c r="S334" i="5"/>
  <c r="R334" i="5"/>
  <c r="T720" i="5"/>
  <c r="U720" i="5" s="1"/>
  <c r="S720" i="5"/>
  <c r="R720" i="5"/>
  <c r="T702" i="5"/>
  <c r="U702" i="5" s="1"/>
  <c r="S702" i="5"/>
  <c r="R702" i="5"/>
  <c r="T700" i="5"/>
  <c r="U700" i="5" s="1"/>
  <c r="S700" i="5"/>
  <c r="R700" i="5"/>
  <c r="T684" i="5"/>
  <c r="U684" i="5" s="1"/>
  <c r="S684" i="5"/>
  <c r="R684" i="5"/>
  <c r="T666" i="5"/>
  <c r="U666" i="5" s="1"/>
  <c r="S666" i="5"/>
  <c r="R666" i="5"/>
  <c r="T707" i="5"/>
  <c r="U707" i="5" s="1"/>
  <c r="S707" i="5"/>
  <c r="R707" i="5"/>
  <c r="T381" i="5"/>
  <c r="U381" i="5" s="1"/>
  <c r="S381" i="5"/>
  <c r="R381" i="5"/>
  <c r="T366" i="5"/>
  <c r="U366" i="5" s="1"/>
  <c r="S366" i="5"/>
  <c r="R366" i="5"/>
  <c r="T694" i="5"/>
  <c r="U694" i="5" s="1"/>
  <c r="S694" i="5"/>
  <c r="R694" i="5"/>
  <c r="T676" i="5"/>
  <c r="U676" i="5" s="1"/>
  <c r="S676" i="5"/>
  <c r="R676" i="5"/>
  <c r="T412" i="5"/>
  <c r="U412" i="5" s="1"/>
  <c r="S412" i="5"/>
  <c r="R412" i="5"/>
  <c r="T210" i="5"/>
  <c r="U210" i="5" s="1"/>
  <c r="S210" i="5"/>
  <c r="R210" i="5"/>
  <c r="T732" i="5"/>
  <c r="U732" i="5" s="1"/>
  <c r="S732" i="5"/>
  <c r="R732" i="5"/>
  <c r="T730" i="5"/>
  <c r="U730" i="5" s="1"/>
  <c r="S730" i="5"/>
  <c r="R730" i="5"/>
  <c r="T689" i="5"/>
  <c r="U689" i="5" s="1"/>
  <c r="S689" i="5"/>
  <c r="R689" i="5"/>
  <c r="T551" i="5"/>
  <c r="U551" i="5" s="1"/>
  <c r="S551" i="5"/>
  <c r="R551" i="5"/>
  <c r="T544" i="5"/>
  <c r="U544" i="5" s="1"/>
  <c r="S544" i="5"/>
  <c r="R544" i="5"/>
  <c r="T415" i="5"/>
  <c r="U415" i="5" s="1"/>
  <c r="S415" i="5"/>
  <c r="R415" i="5"/>
  <c r="T414" i="5"/>
  <c r="U414" i="5" s="1"/>
  <c r="S414" i="5"/>
  <c r="R414" i="5"/>
  <c r="T406" i="5"/>
  <c r="U406" i="5" s="1"/>
  <c r="S406" i="5"/>
  <c r="R406" i="5"/>
  <c r="T404" i="5"/>
  <c r="U404" i="5" s="1"/>
  <c r="S404" i="5"/>
  <c r="R404" i="5"/>
  <c r="T221" i="5"/>
  <c r="U221" i="5" s="1"/>
  <c r="S221" i="5"/>
  <c r="R221" i="5"/>
  <c r="T193" i="5"/>
  <c r="U193" i="5" s="1"/>
  <c r="S193" i="5"/>
  <c r="R193" i="5"/>
  <c r="T50" i="5"/>
  <c r="U50" i="5" s="1"/>
  <c r="S50" i="5"/>
  <c r="R50" i="5"/>
  <c r="T49" i="5"/>
  <c r="U49" i="5" s="1"/>
  <c r="S49" i="5"/>
  <c r="R49" i="5"/>
  <c r="T48" i="5"/>
  <c r="U48" i="5" s="1"/>
  <c r="S48" i="5"/>
  <c r="R48" i="5"/>
  <c r="T19" i="5"/>
  <c r="U19" i="5" s="1"/>
  <c r="S19" i="5"/>
  <c r="R19" i="5"/>
  <c r="T420" i="5"/>
  <c r="U420" i="5" s="1"/>
  <c r="S420" i="5"/>
  <c r="R420" i="5"/>
  <c r="T419" i="5"/>
  <c r="U419" i="5" s="1"/>
  <c r="S419" i="5"/>
  <c r="R419" i="5"/>
  <c r="T418" i="5"/>
  <c r="U418" i="5" s="1"/>
  <c r="S418" i="5"/>
  <c r="R418" i="5"/>
  <c r="T405" i="5"/>
  <c r="U405" i="5" s="1"/>
  <c r="S405" i="5"/>
  <c r="R405" i="5"/>
  <c r="T719" i="5"/>
  <c r="U719" i="5" s="1"/>
  <c r="S719" i="5"/>
  <c r="R719" i="5"/>
  <c r="T718" i="5"/>
  <c r="U718" i="5" s="1"/>
  <c r="S718" i="5"/>
  <c r="R718" i="5"/>
  <c r="T708" i="5"/>
  <c r="U708" i="5" s="1"/>
  <c r="S708" i="5"/>
  <c r="R708" i="5"/>
  <c r="T706" i="5"/>
  <c r="U706" i="5" s="1"/>
  <c r="S706" i="5"/>
  <c r="R706" i="5"/>
  <c r="T701" i="5"/>
  <c r="U701" i="5" s="1"/>
  <c r="S701" i="5"/>
  <c r="R701" i="5"/>
  <c r="T692" i="5"/>
  <c r="U692" i="5" s="1"/>
  <c r="S692" i="5"/>
  <c r="R692" i="5"/>
  <c r="T647" i="5"/>
  <c r="U647" i="5" s="1"/>
  <c r="S647" i="5"/>
  <c r="R647" i="5"/>
  <c r="T683" i="5"/>
  <c r="U683" i="5" s="1"/>
  <c r="S683" i="5"/>
  <c r="R683" i="5"/>
  <c r="T682" i="5"/>
  <c r="U682" i="5" s="1"/>
  <c r="S682" i="5"/>
  <c r="R682" i="5"/>
  <c r="T681" i="5"/>
  <c r="U681" i="5" s="1"/>
  <c r="S681" i="5"/>
  <c r="R681" i="5"/>
  <c r="T626" i="5"/>
  <c r="U626" i="5" s="1"/>
  <c r="S626" i="5"/>
  <c r="R626" i="5"/>
  <c r="T624" i="5"/>
  <c r="U624" i="5" s="1"/>
  <c r="S624" i="5"/>
  <c r="R624" i="5"/>
  <c r="T618" i="5"/>
  <c r="U618" i="5" s="1"/>
  <c r="S618" i="5"/>
  <c r="R618" i="5"/>
  <c r="T413" i="5"/>
  <c r="U413" i="5" s="1"/>
  <c r="S413" i="5"/>
  <c r="R413" i="5"/>
  <c r="T298" i="5"/>
  <c r="U298" i="5" s="1"/>
  <c r="S298" i="5"/>
  <c r="R298" i="5"/>
  <c r="T292" i="5"/>
  <c r="U292" i="5" s="1"/>
  <c r="S292" i="5"/>
  <c r="R292" i="5"/>
  <c r="T253" i="5"/>
  <c r="U253" i="5" s="1"/>
  <c r="S253" i="5"/>
  <c r="R253" i="5"/>
  <c r="T243" i="5"/>
  <c r="U243" i="5" s="1"/>
  <c r="S243" i="5"/>
  <c r="R243" i="5"/>
  <c r="T236" i="5"/>
  <c r="U236" i="5" s="1"/>
  <c r="S236" i="5"/>
  <c r="R236" i="5"/>
  <c r="T231" i="5"/>
  <c r="U231" i="5" s="1"/>
  <c r="S231" i="5"/>
  <c r="R231" i="5"/>
  <c r="T166" i="5"/>
  <c r="U166" i="5" s="1"/>
  <c r="S166" i="5"/>
  <c r="R166" i="5"/>
  <c r="T165" i="5"/>
  <c r="U165" i="5" s="1"/>
  <c r="S165" i="5"/>
  <c r="R165" i="5"/>
  <c r="T318" i="5"/>
  <c r="U318" i="5" s="1"/>
  <c r="S318" i="5"/>
  <c r="R318" i="5"/>
  <c r="T573" i="5"/>
  <c r="U573" i="5" s="1"/>
  <c r="S573" i="5"/>
  <c r="R573" i="5"/>
  <c r="T389" i="5"/>
  <c r="U389" i="5" s="1"/>
  <c r="S389" i="5"/>
  <c r="R389" i="5"/>
  <c r="T369" i="5"/>
  <c r="U369" i="5" s="1"/>
  <c r="S369" i="5"/>
  <c r="R369" i="5"/>
  <c r="T723" i="5"/>
  <c r="U723" i="5" s="1"/>
  <c r="S723" i="5"/>
  <c r="R723" i="5"/>
  <c r="T716" i="5"/>
  <c r="U716" i="5" s="1"/>
  <c r="S716" i="5"/>
  <c r="R716" i="5"/>
  <c r="T715" i="5"/>
  <c r="U715" i="5" s="1"/>
  <c r="S715" i="5"/>
  <c r="R715" i="5"/>
  <c r="T712" i="5"/>
  <c r="U712" i="5" s="1"/>
  <c r="S712" i="5"/>
  <c r="R712" i="5"/>
  <c r="T705" i="5"/>
  <c r="U705" i="5" s="1"/>
  <c r="S705" i="5"/>
  <c r="R705" i="5"/>
  <c r="T693" i="5"/>
  <c r="U693" i="5" s="1"/>
  <c r="S693" i="5"/>
  <c r="R693" i="5"/>
  <c r="T690" i="5"/>
  <c r="U690" i="5" s="1"/>
  <c r="S690" i="5"/>
  <c r="R690" i="5"/>
  <c r="T688" i="5"/>
  <c r="U688" i="5" s="1"/>
  <c r="S688" i="5"/>
  <c r="R688" i="5"/>
  <c r="T686" i="5"/>
  <c r="U686" i="5" s="1"/>
  <c r="S686" i="5"/>
  <c r="R686" i="5"/>
  <c r="T675" i="5"/>
  <c r="U675" i="5" s="1"/>
  <c r="S675" i="5"/>
  <c r="R675" i="5"/>
  <c r="T674" i="5"/>
  <c r="U674" i="5" s="1"/>
  <c r="S674" i="5"/>
  <c r="R674" i="5"/>
  <c r="T669" i="5"/>
  <c r="U669" i="5" s="1"/>
  <c r="S669" i="5"/>
  <c r="R669" i="5"/>
  <c r="T668" i="5"/>
  <c r="U668" i="5" s="1"/>
  <c r="S668" i="5"/>
  <c r="R668" i="5"/>
  <c r="T665" i="5"/>
  <c r="U665" i="5" s="1"/>
  <c r="S665" i="5"/>
  <c r="R665" i="5"/>
  <c r="T664" i="5"/>
  <c r="U664" i="5" s="1"/>
  <c r="S664" i="5"/>
  <c r="R664" i="5"/>
  <c r="T660" i="5"/>
  <c r="U660" i="5" s="1"/>
  <c r="S660" i="5"/>
  <c r="R660" i="5"/>
  <c r="T656" i="5"/>
  <c r="U656" i="5" s="1"/>
  <c r="S656" i="5"/>
  <c r="R656" i="5"/>
  <c r="T655" i="5"/>
  <c r="U655" i="5" s="1"/>
  <c r="S655" i="5"/>
  <c r="R655" i="5"/>
  <c r="T654" i="5"/>
  <c r="U654" i="5" s="1"/>
  <c r="S654" i="5"/>
  <c r="R654" i="5"/>
  <c r="T649" i="5"/>
  <c r="U649" i="5" s="1"/>
  <c r="S649" i="5"/>
  <c r="R649" i="5"/>
  <c r="T648" i="5"/>
  <c r="U648" i="5" s="1"/>
  <c r="S648" i="5"/>
  <c r="R648" i="5"/>
  <c r="T636" i="5"/>
  <c r="U636" i="5" s="1"/>
  <c r="S636" i="5"/>
  <c r="R636" i="5"/>
  <c r="T635" i="5"/>
  <c r="U635" i="5" s="1"/>
  <c r="S635" i="5"/>
  <c r="R635" i="5"/>
  <c r="T633" i="5"/>
  <c r="U633" i="5" s="1"/>
  <c r="S633" i="5"/>
  <c r="R633" i="5"/>
  <c r="T632" i="5"/>
  <c r="U632" i="5" s="1"/>
  <c r="S632" i="5"/>
  <c r="R632" i="5"/>
  <c r="T606" i="5"/>
  <c r="U606" i="5" s="1"/>
  <c r="S606" i="5"/>
  <c r="R606" i="5"/>
  <c r="T605" i="5"/>
  <c r="U605" i="5" s="1"/>
  <c r="S605" i="5"/>
  <c r="R605" i="5"/>
  <c r="T602" i="5"/>
  <c r="U602" i="5" s="1"/>
  <c r="S602" i="5"/>
  <c r="R602" i="5"/>
  <c r="T601" i="5"/>
  <c r="U601" i="5" s="1"/>
  <c r="S601" i="5"/>
  <c r="R601" i="5"/>
  <c r="T571" i="5"/>
  <c r="U571" i="5" s="1"/>
  <c r="S571" i="5"/>
  <c r="R571" i="5"/>
  <c r="T569" i="5"/>
  <c r="U569" i="5" s="1"/>
  <c r="S569" i="5"/>
  <c r="R569" i="5"/>
  <c r="T566" i="5"/>
  <c r="U566" i="5" s="1"/>
  <c r="S566" i="5"/>
  <c r="R566" i="5"/>
  <c r="T564" i="5"/>
  <c r="U564" i="5" s="1"/>
  <c r="S564" i="5"/>
  <c r="R564" i="5"/>
  <c r="T540" i="5"/>
  <c r="U540" i="5" s="1"/>
  <c r="S540" i="5"/>
  <c r="R540" i="5"/>
  <c r="T536" i="5"/>
  <c r="U536" i="5" s="1"/>
  <c r="S536" i="5"/>
  <c r="R536" i="5"/>
  <c r="T526" i="5"/>
  <c r="U526" i="5" s="1"/>
  <c r="S526" i="5"/>
  <c r="R526" i="5"/>
  <c r="T522" i="5"/>
  <c r="U522" i="5" s="1"/>
  <c r="S522" i="5"/>
  <c r="R522" i="5"/>
  <c r="T514" i="5"/>
  <c r="U514" i="5" s="1"/>
  <c r="S514" i="5"/>
  <c r="R514" i="5"/>
  <c r="T510" i="5"/>
  <c r="U510" i="5" s="1"/>
  <c r="S510" i="5"/>
  <c r="R510" i="5"/>
  <c r="T503" i="5"/>
  <c r="U503" i="5" s="1"/>
  <c r="S503" i="5"/>
  <c r="R503" i="5"/>
  <c r="T499" i="5"/>
  <c r="U499" i="5" s="1"/>
  <c r="S499" i="5"/>
  <c r="R499" i="5"/>
  <c r="T493" i="5"/>
  <c r="U493" i="5" s="1"/>
  <c r="S493" i="5"/>
  <c r="R493" i="5"/>
  <c r="T450" i="5"/>
  <c r="U450" i="5" s="1"/>
  <c r="S450" i="5"/>
  <c r="R450" i="5"/>
  <c r="T448" i="5"/>
  <c r="U448" i="5" s="1"/>
  <c r="S448" i="5"/>
  <c r="R448" i="5"/>
  <c r="T445" i="5"/>
  <c r="U445" i="5" s="1"/>
  <c r="S445" i="5"/>
  <c r="R445" i="5"/>
  <c r="T443" i="5"/>
  <c r="U443" i="5" s="1"/>
  <c r="S443" i="5"/>
  <c r="R443" i="5"/>
  <c r="T441" i="5"/>
  <c r="U441" i="5" s="1"/>
  <c r="S441" i="5"/>
  <c r="R441" i="5"/>
  <c r="T439" i="5"/>
  <c r="U439" i="5" s="1"/>
  <c r="S439" i="5"/>
  <c r="R439" i="5"/>
  <c r="T432" i="5"/>
  <c r="U432" i="5" s="1"/>
  <c r="S432" i="5"/>
  <c r="R432" i="5"/>
  <c r="T429" i="5"/>
  <c r="U429" i="5" s="1"/>
  <c r="S429" i="5"/>
  <c r="R429" i="5"/>
  <c r="T427" i="5"/>
  <c r="U427" i="5" s="1"/>
  <c r="S427" i="5"/>
  <c r="R427" i="5"/>
  <c r="T425" i="5"/>
  <c r="U425" i="5" s="1"/>
  <c r="S425" i="5"/>
  <c r="R425" i="5"/>
  <c r="T424" i="5"/>
  <c r="U424" i="5" s="1"/>
  <c r="S424" i="5"/>
  <c r="R424" i="5"/>
  <c r="T423" i="5"/>
  <c r="U423" i="5" s="1"/>
  <c r="S423" i="5"/>
  <c r="R423" i="5"/>
  <c r="T353" i="5"/>
  <c r="U353" i="5" s="1"/>
  <c r="S353" i="5"/>
  <c r="R353" i="5"/>
  <c r="T337" i="5"/>
  <c r="U337" i="5" s="1"/>
  <c r="S337" i="5"/>
  <c r="R337" i="5"/>
  <c r="T336" i="5"/>
  <c r="U336" i="5" s="1"/>
  <c r="S336" i="5"/>
  <c r="R336" i="5"/>
  <c r="T311" i="5"/>
  <c r="U311" i="5" s="1"/>
  <c r="S311" i="5"/>
  <c r="R311" i="5"/>
  <c r="T310" i="5"/>
  <c r="U310" i="5" s="1"/>
  <c r="S310" i="5"/>
  <c r="R310" i="5"/>
  <c r="T309" i="5"/>
  <c r="U309" i="5" s="1"/>
  <c r="S309" i="5"/>
  <c r="R309" i="5"/>
  <c r="T307" i="5"/>
  <c r="U307" i="5" s="1"/>
  <c r="S307" i="5"/>
  <c r="R307" i="5"/>
  <c r="T305" i="5"/>
  <c r="U305" i="5" s="1"/>
  <c r="S305" i="5"/>
  <c r="R305" i="5"/>
  <c r="T303" i="5"/>
  <c r="U303" i="5" s="1"/>
  <c r="S303" i="5"/>
  <c r="R303" i="5"/>
  <c r="T287" i="5"/>
  <c r="U287" i="5" s="1"/>
  <c r="S287" i="5"/>
  <c r="R287" i="5"/>
  <c r="T286" i="5"/>
  <c r="U286" i="5" s="1"/>
  <c r="S286" i="5"/>
  <c r="R286" i="5"/>
  <c r="T274" i="5"/>
  <c r="U274" i="5" s="1"/>
  <c r="S274" i="5"/>
  <c r="R274" i="5"/>
  <c r="T273" i="5"/>
  <c r="U273" i="5" s="1"/>
  <c r="S273" i="5"/>
  <c r="R273" i="5"/>
  <c r="T263" i="5"/>
  <c r="U263" i="5" s="1"/>
  <c r="S263" i="5"/>
  <c r="R263" i="5"/>
  <c r="T251" i="5"/>
  <c r="U251" i="5" s="1"/>
  <c r="S251" i="5"/>
  <c r="R251" i="5"/>
  <c r="T234" i="5"/>
  <c r="U234" i="5" s="1"/>
  <c r="S234" i="5"/>
  <c r="R234" i="5"/>
  <c r="T233" i="5"/>
  <c r="U233" i="5" s="1"/>
  <c r="S233" i="5"/>
  <c r="R233" i="5"/>
  <c r="T232" i="5"/>
  <c r="U232" i="5" s="1"/>
  <c r="S232" i="5"/>
  <c r="R232" i="5"/>
  <c r="T213" i="5"/>
  <c r="U213" i="5" s="1"/>
  <c r="S213" i="5"/>
  <c r="R213" i="5"/>
  <c r="T192" i="5"/>
  <c r="U192" i="5" s="1"/>
  <c r="S192" i="5"/>
  <c r="R192" i="5"/>
  <c r="T191" i="5"/>
  <c r="U191" i="5" s="1"/>
  <c r="S191" i="5"/>
  <c r="R191" i="5"/>
  <c r="T190" i="5"/>
  <c r="U190" i="5" s="1"/>
  <c r="S190" i="5"/>
  <c r="R190" i="5"/>
  <c r="T169" i="5"/>
  <c r="U169" i="5" s="1"/>
  <c r="S169" i="5"/>
  <c r="R169" i="5"/>
  <c r="T167" i="5"/>
  <c r="U167" i="5" s="1"/>
  <c r="S167" i="5"/>
  <c r="R167" i="5"/>
  <c r="T151" i="5"/>
  <c r="U151" i="5" s="1"/>
  <c r="S151" i="5"/>
  <c r="R151" i="5"/>
  <c r="T149" i="5"/>
  <c r="U149" i="5" s="1"/>
  <c r="S149" i="5"/>
  <c r="R149" i="5"/>
  <c r="T147" i="5"/>
  <c r="U147" i="5" s="1"/>
  <c r="S147" i="5"/>
  <c r="R147" i="5"/>
  <c r="T145" i="5"/>
  <c r="U145" i="5" s="1"/>
  <c r="S145" i="5"/>
  <c r="R145" i="5"/>
  <c r="T126" i="5"/>
  <c r="U126" i="5" s="1"/>
  <c r="S126" i="5"/>
  <c r="R126" i="5"/>
  <c r="T124" i="5"/>
  <c r="U124" i="5" s="1"/>
  <c r="S124" i="5"/>
  <c r="R124" i="5"/>
  <c r="T99" i="5"/>
  <c r="U99" i="5" s="1"/>
  <c r="S99" i="5"/>
  <c r="R99" i="5"/>
  <c r="T97" i="5"/>
  <c r="U97" i="5" s="1"/>
  <c r="S97" i="5"/>
  <c r="R97" i="5"/>
  <c r="T74" i="5"/>
  <c r="U74" i="5" s="1"/>
  <c r="S74" i="5"/>
  <c r="R74" i="5"/>
  <c r="T72" i="5"/>
  <c r="U72" i="5" s="1"/>
  <c r="S72" i="5"/>
  <c r="R72" i="5"/>
  <c r="T70" i="5"/>
  <c r="U70" i="5" s="1"/>
  <c r="S70" i="5"/>
  <c r="R70" i="5"/>
  <c r="T44" i="5"/>
  <c r="U44" i="5" s="1"/>
  <c r="S44" i="5"/>
  <c r="R44" i="5"/>
  <c r="T35" i="5"/>
  <c r="U35" i="5" s="1"/>
  <c r="S35" i="5"/>
  <c r="R35" i="5"/>
  <c r="T33" i="5"/>
  <c r="U33" i="5" s="1"/>
  <c r="S33" i="5"/>
  <c r="R33" i="5"/>
  <c r="T31" i="5"/>
  <c r="U31" i="5" s="1"/>
  <c r="S31" i="5"/>
  <c r="R31" i="5"/>
  <c r="T29" i="5"/>
  <c r="U29" i="5" s="1"/>
  <c r="S29" i="5"/>
  <c r="R29" i="5"/>
  <c r="T17" i="5"/>
  <c r="U17" i="5" s="1"/>
  <c r="S17" i="5"/>
  <c r="R17" i="5"/>
  <c r="T15" i="5"/>
  <c r="U15" i="5" s="1"/>
  <c r="S15" i="5"/>
  <c r="R15" i="5"/>
  <c r="T327" i="5"/>
  <c r="U327" i="5" s="1"/>
  <c r="S327" i="5"/>
  <c r="R327" i="5"/>
  <c r="T325" i="5"/>
  <c r="U325" i="5" s="1"/>
  <c r="S325" i="5"/>
  <c r="R325" i="5"/>
  <c r="T323" i="5"/>
  <c r="U323" i="5" s="1"/>
  <c r="S323" i="5"/>
  <c r="R323" i="5"/>
  <c r="T541" i="5"/>
  <c r="R541" i="5"/>
  <c r="T537" i="5"/>
  <c r="R537" i="5"/>
  <c r="T527" i="5"/>
  <c r="R527" i="5"/>
  <c r="T523" i="5"/>
  <c r="R523" i="5"/>
  <c r="T515" i="5"/>
  <c r="R515" i="5"/>
  <c r="T511" i="5"/>
  <c r="R511" i="5"/>
  <c r="T504" i="5"/>
  <c r="R504" i="5"/>
  <c r="T500" i="5"/>
  <c r="R500" i="5"/>
  <c r="T494" i="5"/>
  <c r="R494" i="5"/>
  <c r="T170" i="5"/>
  <c r="R170" i="5"/>
  <c r="T168" i="5"/>
  <c r="R168" i="5"/>
  <c r="T152" i="5"/>
  <c r="R152" i="5"/>
  <c r="T150" i="5"/>
  <c r="R150" i="5"/>
  <c r="T148" i="5"/>
  <c r="R148" i="5"/>
  <c r="T146" i="5"/>
  <c r="R146" i="5"/>
  <c r="T127" i="5"/>
  <c r="R127" i="5"/>
  <c r="T125" i="5"/>
  <c r="R125" i="5"/>
  <c r="T100" i="5"/>
  <c r="R100" i="5"/>
  <c r="T98" i="5"/>
  <c r="R98" i="5"/>
  <c r="T75" i="5"/>
  <c r="R75" i="5"/>
  <c r="T73" i="5"/>
  <c r="R73" i="5"/>
  <c r="T71" i="5"/>
  <c r="R71" i="5"/>
  <c r="T45" i="5"/>
  <c r="R45" i="5"/>
  <c r="T36" i="5"/>
  <c r="R36" i="5"/>
  <c r="T34" i="5"/>
  <c r="R34" i="5"/>
  <c r="T32" i="5"/>
  <c r="R32" i="5"/>
  <c r="T30" i="5"/>
  <c r="R30" i="5"/>
  <c r="T18" i="5"/>
  <c r="R18" i="5"/>
  <c r="T16" i="5"/>
  <c r="R16" i="5"/>
  <c r="T572" i="5"/>
  <c r="R572" i="5"/>
  <c r="T570" i="5"/>
  <c r="R570" i="5"/>
  <c r="T567" i="5"/>
  <c r="R567" i="5"/>
  <c r="T565" i="5"/>
  <c r="R565" i="5"/>
  <c r="T451" i="5"/>
  <c r="R451" i="5"/>
  <c r="T449" i="5"/>
  <c r="R449" i="5"/>
  <c r="T446" i="5"/>
  <c r="R446" i="5"/>
  <c r="T444" i="5"/>
  <c r="R444" i="5"/>
  <c r="T442" i="5"/>
  <c r="R442" i="5"/>
  <c r="T440" i="5"/>
  <c r="R440" i="5"/>
  <c r="T433" i="5"/>
  <c r="R433" i="5"/>
  <c r="T430" i="5"/>
  <c r="R430" i="5"/>
  <c r="T428" i="5"/>
  <c r="R428" i="5"/>
  <c r="T364" i="5"/>
  <c r="U364" i="5" s="1"/>
  <c r="S364" i="5"/>
  <c r="R364" i="5"/>
  <c r="T713" i="5"/>
  <c r="U713" i="5" s="1"/>
  <c r="S713" i="5"/>
  <c r="R713" i="5"/>
  <c r="T710" i="5"/>
  <c r="U710" i="5" s="1"/>
  <c r="S710" i="5"/>
  <c r="R710" i="5"/>
  <c r="T709" i="5"/>
  <c r="U709" i="5" s="1"/>
  <c r="S709" i="5"/>
  <c r="R709" i="5"/>
  <c r="T691" i="5"/>
  <c r="U691" i="5" s="1"/>
  <c r="S691" i="5"/>
  <c r="R691" i="5"/>
  <c r="T673" i="5"/>
  <c r="U673" i="5" s="1"/>
  <c r="S673" i="5"/>
  <c r="R673" i="5"/>
  <c r="T672" i="5"/>
  <c r="U672" i="5" s="1"/>
  <c r="S672" i="5"/>
  <c r="R672" i="5"/>
  <c r="T658" i="5"/>
  <c r="U658" i="5" s="1"/>
  <c r="S658" i="5"/>
  <c r="R658" i="5"/>
  <c r="T607" i="5"/>
  <c r="U607" i="5" s="1"/>
  <c r="S607" i="5"/>
  <c r="R607" i="5"/>
  <c r="T604" i="5"/>
  <c r="U604" i="5" s="1"/>
  <c r="S604" i="5"/>
  <c r="R604" i="5"/>
  <c r="T603" i="5"/>
  <c r="U603" i="5" s="1"/>
  <c r="S603" i="5"/>
  <c r="R603" i="5"/>
  <c r="T600" i="5"/>
  <c r="U600" i="5" s="1"/>
  <c r="S600" i="5"/>
  <c r="R600" i="5"/>
  <c r="T574" i="5"/>
  <c r="U574" i="5" s="1"/>
  <c r="S574" i="5"/>
  <c r="R574" i="5"/>
  <c r="T568" i="5"/>
  <c r="U568" i="5" s="1"/>
  <c r="S568" i="5"/>
  <c r="R568" i="5"/>
  <c r="T563" i="5"/>
  <c r="U563" i="5" s="1"/>
  <c r="S563" i="5"/>
  <c r="R563" i="5"/>
  <c r="T559" i="5"/>
  <c r="U559" i="5" s="1"/>
  <c r="S559" i="5"/>
  <c r="R559" i="5"/>
  <c r="T557" i="5"/>
  <c r="U557" i="5" s="1"/>
  <c r="S557" i="5"/>
  <c r="R557" i="5"/>
  <c r="T465" i="5"/>
  <c r="U465" i="5" s="1"/>
  <c r="S465" i="5"/>
  <c r="R465" i="5"/>
  <c r="T464" i="5"/>
  <c r="U464" i="5" s="1"/>
  <c r="S464" i="5"/>
  <c r="R464" i="5"/>
  <c r="T452" i="5"/>
  <c r="U452" i="5" s="1"/>
  <c r="S452" i="5"/>
  <c r="R452" i="5"/>
  <c r="T447" i="5"/>
  <c r="U447" i="5" s="1"/>
  <c r="S447" i="5"/>
  <c r="R447" i="5"/>
  <c r="T437" i="5"/>
  <c r="U437" i="5" s="1"/>
  <c r="S437" i="5"/>
  <c r="R437" i="5"/>
  <c r="T431" i="5"/>
  <c r="U431" i="5" s="1"/>
  <c r="S431" i="5"/>
  <c r="R431" i="5"/>
  <c r="Q293" i="5"/>
  <c r="T256" i="5"/>
  <c r="S256" i="5"/>
  <c r="S293" i="5" s="1"/>
  <c r="R256" i="5"/>
  <c r="R293" i="5" s="1"/>
  <c r="T242" i="5"/>
  <c r="U242" i="5" s="1"/>
  <c r="S242" i="5"/>
  <c r="R242" i="5"/>
  <c r="T226" i="5"/>
  <c r="U226" i="5" s="1"/>
  <c r="S226" i="5"/>
  <c r="R226" i="5"/>
  <c r="T218" i="5"/>
  <c r="U218" i="5" s="1"/>
  <c r="S218" i="5"/>
  <c r="R218" i="5"/>
  <c r="T211" i="5"/>
  <c r="U211" i="5" s="1"/>
  <c r="S211" i="5"/>
  <c r="R211" i="5"/>
  <c r="T201" i="5"/>
  <c r="U201" i="5" s="1"/>
  <c r="S201" i="5"/>
  <c r="R201" i="5"/>
  <c r="T183" i="5"/>
  <c r="U183" i="5" s="1"/>
  <c r="S183" i="5"/>
  <c r="R183" i="5"/>
  <c r="T153" i="5"/>
  <c r="U153" i="5" s="1"/>
  <c r="S153" i="5"/>
  <c r="R153" i="5"/>
  <c r="T122" i="5"/>
  <c r="U122" i="5" s="1"/>
  <c r="S122" i="5"/>
  <c r="R122" i="5"/>
  <c r="T94" i="5"/>
  <c r="U94" i="5" s="1"/>
  <c r="S94" i="5"/>
  <c r="R94" i="5"/>
  <c r="T92" i="5"/>
  <c r="U92" i="5" s="1"/>
  <c r="S92" i="5"/>
  <c r="R92" i="5"/>
  <c r="T65" i="5"/>
  <c r="U65" i="5" s="1"/>
  <c r="S65" i="5"/>
  <c r="R65" i="5"/>
  <c r="T55" i="5"/>
  <c r="U55" i="5" s="1"/>
  <c r="S55" i="5"/>
  <c r="R55" i="5"/>
  <c r="T9" i="5"/>
  <c r="U9" i="5" s="1"/>
  <c r="S9" i="5"/>
  <c r="R9" i="5"/>
  <c r="T390" i="5"/>
  <c r="U390" i="5" s="1"/>
  <c r="S390" i="5"/>
  <c r="R390" i="5"/>
  <c r="T388" i="5"/>
  <c r="U388" i="5" s="1"/>
  <c r="S388" i="5"/>
  <c r="R388" i="5"/>
  <c r="T380" i="5"/>
  <c r="U380" i="5" s="1"/>
  <c r="S380" i="5"/>
  <c r="R380" i="5"/>
  <c r="T371" i="5"/>
  <c r="U371" i="5" s="1"/>
  <c r="S371" i="5"/>
  <c r="R371" i="5"/>
  <c r="T368" i="5"/>
  <c r="U368" i="5" s="1"/>
  <c r="S368" i="5"/>
  <c r="R368" i="5"/>
  <c r="T367" i="5"/>
  <c r="U367" i="5" s="1"/>
  <c r="S367" i="5"/>
  <c r="R367" i="5"/>
  <c r="T363" i="5"/>
  <c r="U363" i="5" s="1"/>
  <c r="S363" i="5"/>
  <c r="R363" i="5"/>
  <c r="T733" i="5"/>
  <c r="U733" i="5" s="1"/>
  <c r="S733" i="5"/>
  <c r="R733" i="5"/>
  <c r="T728" i="5"/>
  <c r="U728" i="5" s="1"/>
  <c r="S728" i="5"/>
  <c r="R728" i="5"/>
  <c r="T725" i="5"/>
  <c r="U725" i="5" s="1"/>
  <c r="S725" i="5"/>
  <c r="R725" i="5"/>
  <c r="T724" i="5"/>
  <c r="U724" i="5" s="1"/>
  <c r="S724" i="5"/>
  <c r="R724" i="5"/>
  <c r="T717" i="5"/>
  <c r="U717" i="5" s="1"/>
  <c r="S717" i="5"/>
  <c r="R717" i="5"/>
  <c r="T711" i="5"/>
  <c r="U711" i="5" s="1"/>
  <c r="S711" i="5"/>
  <c r="R711" i="5"/>
  <c r="T678" i="5"/>
  <c r="U678" i="5" s="1"/>
  <c r="S678" i="5"/>
  <c r="R678" i="5"/>
  <c r="T677" i="5"/>
  <c r="U677" i="5" s="1"/>
  <c r="S677" i="5"/>
  <c r="R677" i="5"/>
  <c r="T670" i="5"/>
  <c r="U670" i="5" s="1"/>
  <c r="S670" i="5"/>
  <c r="R670" i="5"/>
  <c r="T657" i="5"/>
  <c r="U657" i="5" s="1"/>
  <c r="S657" i="5"/>
  <c r="R657" i="5"/>
  <c r="T652" i="5"/>
  <c r="U652" i="5" s="1"/>
  <c r="S652" i="5"/>
  <c r="R652" i="5"/>
  <c r="T651" i="5"/>
  <c r="U651" i="5" s="1"/>
  <c r="S651" i="5"/>
  <c r="R651" i="5"/>
  <c r="T640" i="5"/>
  <c r="U640" i="5" s="1"/>
  <c r="S640" i="5"/>
  <c r="R640" i="5"/>
  <c r="T639" i="5"/>
  <c r="U639" i="5" s="1"/>
  <c r="S639" i="5"/>
  <c r="R639" i="5"/>
  <c r="T638" i="5"/>
  <c r="U638" i="5" s="1"/>
  <c r="S638" i="5"/>
  <c r="R638" i="5"/>
  <c r="T637" i="5"/>
  <c r="U637" i="5" s="1"/>
  <c r="S637" i="5"/>
  <c r="R637" i="5"/>
  <c r="T631" i="5"/>
  <c r="U631" i="5" s="1"/>
  <c r="S631" i="5"/>
  <c r="R631" i="5"/>
  <c r="T630" i="5"/>
  <c r="U630" i="5" s="1"/>
  <c r="S630" i="5"/>
  <c r="R630" i="5"/>
  <c r="T611" i="5"/>
  <c r="U611" i="5" s="1"/>
  <c r="S611" i="5"/>
  <c r="R611" i="5"/>
  <c r="T610" i="5"/>
  <c r="U610" i="5" s="1"/>
  <c r="S610" i="5"/>
  <c r="R610" i="5"/>
  <c r="T609" i="5"/>
  <c r="U609" i="5" s="1"/>
  <c r="S609" i="5"/>
  <c r="R609" i="5"/>
  <c r="T608" i="5"/>
  <c r="U608" i="5" s="1"/>
  <c r="S608" i="5"/>
  <c r="R608" i="5"/>
  <c r="T599" i="5"/>
  <c r="U599" i="5" s="1"/>
  <c r="S599" i="5"/>
  <c r="R599" i="5"/>
  <c r="T598" i="5"/>
  <c r="U598" i="5" s="1"/>
  <c r="S598" i="5"/>
  <c r="R598" i="5"/>
  <c r="T594" i="5"/>
  <c r="U594" i="5" s="1"/>
  <c r="S594" i="5"/>
  <c r="R594" i="5"/>
  <c r="T593" i="5"/>
  <c r="U593" i="5" s="1"/>
  <c r="S593" i="5"/>
  <c r="R593" i="5"/>
  <c r="T575" i="5"/>
  <c r="U575" i="5" s="1"/>
  <c r="S575" i="5"/>
  <c r="R575" i="5"/>
  <c r="T562" i="5"/>
  <c r="U562" i="5" s="1"/>
  <c r="S562" i="5"/>
  <c r="R562" i="5"/>
  <c r="T561" i="5"/>
  <c r="U561" i="5" s="1"/>
  <c r="S561" i="5"/>
  <c r="R561" i="5"/>
  <c r="T558" i="5"/>
  <c r="U558" i="5" s="1"/>
  <c r="S558" i="5"/>
  <c r="R558" i="5"/>
  <c r="T556" i="5"/>
  <c r="U556" i="5" s="1"/>
  <c r="S556" i="5"/>
  <c r="R556" i="5"/>
  <c r="T555" i="5"/>
  <c r="U555" i="5" s="1"/>
  <c r="S555" i="5"/>
  <c r="R555" i="5"/>
  <c r="T531" i="5"/>
  <c r="U531" i="5" s="1"/>
  <c r="S531" i="5"/>
  <c r="R531" i="5"/>
  <c r="T529" i="5"/>
  <c r="U529" i="5" s="1"/>
  <c r="S529" i="5"/>
  <c r="R529" i="5"/>
  <c r="T518" i="5"/>
  <c r="U518" i="5" s="1"/>
  <c r="S518" i="5"/>
  <c r="R518" i="5"/>
  <c r="T517" i="5"/>
  <c r="U517" i="5" s="1"/>
  <c r="S517" i="5"/>
  <c r="R517" i="5"/>
  <c r="T507" i="5"/>
  <c r="U507" i="5" s="1"/>
  <c r="S507" i="5"/>
  <c r="R507" i="5"/>
  <c r="T463" i="5"/>
  <c r="U463" i="5" s="1"/>
  <c r="S463" i="5"/>
  <c r="R463" i="5"/>
  <c r="T461" i="5"/>
  <c r="U461" i="5" s="1"/>
  <c r="S461" i="5"/>
  <c r="R461" i="5"/>
  <c r="T460" i="5"/>
  <c r="U460" i="5" s="1"/>
  <c r="S460" i="5"/>
  <c r="R460" i="5"/>
  <c r="T455" i="5"/>
  <c r="U455" i="5" s="1"/>
  <c r="S455" i="5"/>
  <c r="R455" i="5"/>
  <c r="T454" i="5"/>
  <c r="U454" i="5" s="1"/>
  <c r="S454" i="5"/>
  <c r="R454" i="5"/>
  <c r="T453" i="5"/>
  <c r="U453" i="5" s="1"/>
  <c r="S453" i="5"/>
  <c r="R453" i="5"/>
  <c r="T438" i="5"/>
  <c r="U438" i="5" s="1"/>
  <c r="S438" i="5"/>
  <c r="R438" i="5"/>
  <c r="T435" i="5"/>
  <c r="U435" i="5" s="1"/>
  <c r="S435" i="5"/>
  <c r="R435" i="5"/>
  <c r="T434" i="5"/>
  <c r="U434" i="5" s="1"/>
  <c r="S434" i="5"/>
  <c r="R434" i="5"/>
  <c r="T411" i="5"/>
  <c r="U411" i="5" s="1"/>
  <c r="S411" i="5"/>
  <c r="R411" i="5"/>
  <c r="T410" i="5"/>
  <c r="U410" i="5" s="1"/>
  <c r="S410" i="5"/>
  <c r="R410" i="5"/>
  <c r="T395" i="5"/>
  <c r="U395" i="5" s="1"/>
  <c r="S395" i="5"/>
  <c r="R395" i="5"/>
  <c r="T358" i="5"/>
  <c r="U358" i="5" s="1"/>
  <c r="S358" i="5"/>
  <c r="R358" i="5"/>
  <c r="T357" i="5"/>
  <c r="U357" i="5" s="1"/>
  <c r="S357" i="5"/>
  <c r="R357" i="5"/>
  <c r="T343" i="5"/>
  <c r="U343" i="5" s="1"/>
  <c r="S343" i="5"/>
  <c r="R343" i="5"/>
  <c r="T342" i="5"/>
  <c r="U342" i="5" s="1"/>
  <c r="S342" i="5"/>
  <c r="R342" i="5"/>
  <c r="T328" i="5"/>
  <c r="U328" i="5" s="1"/>
  <c r="S328" i="5"/>
  <c r="R328" i="5"/>
  <c r="T314" i="5"/>
  <c r="U314" i="5" s="1"/>
  <c r="S314" i="5"/>
  <c r="R314" i="5"/>
  <c r="T313" i="5"/>
  <c r="U313" i="5" s="1"/>
  <c r="S313" i="5"/>
  <c r="R313" i="5"/>
  <c r="T312" i="5"/>
  <c r="U312" i="5" s="1"/>
  <c r="S312" i="5"/>
  <c r="R312" i="5"/>
  <c r="T308" i="5"/>
  <c r="U308" i="5" s="1"/>
  <c r="S308" i="5"/>
  <c r="R308" i="5"/>
  <c r="T291" i="5"/>
  <c r="U291" i="5" s="1"/>
  <c r="S291" i="5"/>
  <c r="R291" i="5"/>
  <c r="T282" i="5"/>
  <c r="U282" i="5" s="1"/>
  <c r="S282" i="5"/>
  <c r="R282" i="5"/>
  <c r="T281" i="5"/>
  <c r="U281" i="5" s="1"/>
  <c r="S281" i="5"/>
  <c r="R281" i="5"/>
  <c r="T275" i="5"/>
  <c r="U275" i="5" s="1"/>
  <c r="S275" i="5"/>
  <c r="R275" i="5"/>
  <c r="T269" i="5"/>
  <c r="U269" i="5" s="1"/>
  <c r="S269" i="5"/>
  <c r="R269" i="5"/>
  <c r="T267" i="5"/>
  <c r="U267" i="5" s="1"/>
  <c r="S267" i="5"/>
  <c r="R267" i="5"/>
  <c r="T262" i="5"/>
  <c r="U262" i="5" s="1"/>
  <c r="S262" i="5"/>
  <c r="R262" i="5"/>
  <c r="T258" i="5"/>
  <c r="U258" i="5" s="1"/>
  <c r="S258" i="5"/>
  <c r="R258" i="5"/>
  <c r="T245" i="5"/>
  <c r="U245" i="5" s="1"/>
  <c r="S245" i="5"/>
  <c r="R245" i="5"/>
  <c r="T241" i="5"/>
  <c r="U241" i="5" s="1"/>
  <c r="S241" i="5"/>
  <c r="R241" i="5"/>
  <c r="T224" i="5"/>
  <c r="U224" i="5" s="1"/>
  <c r="S224" i="5"/>
  <c r="R224" i="5"/>
  <c r="T223" i="5"/>
  <c r="U223" i="5" s="1"/>
  <c r="S223" i="5"/>
  <c r="R223" i="5"/>
  <c r="T202" i="5"/>
  <c r="U202" i="5" s="1"/>
  <c r="S202" i="5"/>
  <c r="R202" i="5"/>
  <c r="T197" i="5"/>
  <c r="U197" i="5" s="1"/>
  <c r="S197" i="5"/>
  <c r="R197" i="5"/>
  <c r="T196" i="5"/>
  <c r="U196" i="5" s="1"/>
  <c r="S196" i="5"/>
  <c r="R196" i="5"/>
  <c r="T181" i="5"/>
  <c r="U181" i="5" s="1"/>
  <c r="S181" i="5"/>
  <c r="R181" i="5"/>
  <c r="T180" i="5"/>
  <c r="U180" i="5" s="1"/>
  <c r="S180" i="5"/>
  <c r="R180" i="5"/>
  <c r="T179" i="5"/>
  <c r="U179" i="5" s="1"/>
  <c r="S179" i="5"/>
  <c r="R179" i="5"/>
  <c r="Q254" i="5"/>
  <c r="T178" i="5"/>
  <c r="S178" i="5"/>
  <c r="S254" i="5" s="1"/>
  <c r="R178" i="5"/>
  <c r="R254" i="5" s="1"/>
  <c r="T157" i="5"/>
  <c r="U157" i="5" s="1"/>
  <c r="S157" i="5"/>
  <c r="R157" i="5"/>
  <c r="T156" i="5"/>
  <c r="U156" i="5" s="1"/>
  <c r="S156" i="5"/>
  <c r="R156" i="5"/>
  <c r="T155" i="5"/>
  <c r="U155" i="5" s="1"/>
  <c r="S155" i="5"/>
  <c r="R155" i="5"/>
  <c r="T154" i="5"/>
  <c r="U154" i="5" s="1"/>
  <c r="S154" i="5"/>
  <c r="R154" i="5"/>
  <c r="T137" i="5"/>
  <c r="U137" i="5" s="1"/>
  <c r="S137" i="5"/>
  <c r="R137" i="5"/>
  <c r="T130" i="5"/>
  <c r="U130" i="5" s="1"/>
  <c r="S130" i="5"/>
  <c r="R130" i="5"/>
  <c r="T118" i="5"/>
  <c r="U118" i="5" s="1"/>
  <c r="S118" i="5"/>
  <c r="R118" i="5"/>
  <c r="T117" i="5"/>
  <c r="U117" i="5" s="1"/>
  <c r="S117" i="5"/>
  <c r="R117" i="5"/>
  <c r="T107" i="5"/>
  <c r="U107" i="5" s="1"/>
  <c r="S107" i="5"/>
  <c r="R107" i="5"/>
  <c r="T106" i="5"/>
  <c r="U106" i="5" s="1"/>
  <c r="S106" i="5"/>
  <c r="R106" i="5"/>
  <c r="T101" i="5"/>
  <c r="U101" i="5" s="1"/>
  <c r="S101" i="5"/>
  <c r="R101" i="5"/>
  <c r="T93" i="5"/>
  <c r="U93" i="5" s="1"/>
  <c r="S93" i="5"/>
  <c r="R93" i="5"/>
  <c r="T91" i="5"/>
  <c r="U91" i="5" s="1"/>
  <c r="S91" i="5"/>
  <c r="R91" i="5"/>
  <c r="T84" i="5"/>
  <c r="U84" i="5" s="1"/>
  <c r="S84" i="5"/>
  <c r="R84" i="5"/>
  <c r="T79" i="5"/>
  <c r="U79" i="5" s="1"/>
  <c r="S79" i="5"/>
  <c r="R79" i="5"/>
  <c r="T68" i="5"/>
  <c r="U68" i="5" s="1"/>
  <c r="S68" i="5"/>
  <c r="R68" i="5"/>
  <c r="T66" i="5"/>
  <c r="U66" i="5" s="1"/>
  <c r="S66" i="5"/>
  <c r="R66" i="5"/>
  <c r="T64" i="5"/>
  <c r="U64" i="5" s="1"/>
  <c r="S64" i="5"/>
  <c r="R64" i="5"/>
  <c r="T61" i="5"/>
  <c r="U61" i="5" s="1"/>
  <c r="S61" i="5"/>
  <c r="R61" i="5"/>
  <c r="T54" i="5"/>
  <c r="U54" i="5" s="1"/>
  <c r="S54" i="5"/>
  <c r="R54" i="5"/>
  <c r="T53" i="5"/>
  <c r="U53" i="5" s="1"/>
  <c r="S53" i="5"/>
  <c r="R53" i="5"/>
  <c r="T51" i="5"/>
  <c r="U51" i="5" s="1"/>
  <c r="S51" i="5"/>
  <c r="R51" i="5"/>
  <c r="T47" i="5"/>
  <c r="U47" i="5" s="1"/>
  <c r="S47" i="5"/>
  <c r="R47" i="5"/>
  <c r="T46" i="5"/>
  <c r="U46" i="5" s="1"/>
  <c r="S46" i="5"/>
  <c r="R46" i="5"/>
  <c r="T28" i="5"/>
  <c r="U28" i="5" s="1"/>
  <c r="S28" i="5"/>
  <c r="R28" i="5"/>
  <c r="T14" i="5"/>
  <c r="U14" i="5" s="1"/>
  <c r="S14" i="5"/>
  <c r="R14" i="5"/>
  <c r="T13" i="5"/>
  <c r="U13" i="5" s="1"/>
  <c r="S13" i="5"/>
  <c r="R13" i="5"/>
  <c r="T10" i="5"/>
  <c r="U10" i="5" s="1"/>
  <c r="S10" i="5"/>
  <c r="R10" i="5"/>
  <c r="T582" i="5"/>
  <c r="U582" i="5" s="1"/>
  <c r="S582" i="5"/>
  <c r="R582" i="5"/>
  <c r="T139" i="5"/>
  <c r="U139" i="5" s="1"/>
  <c r="S139" i="5"/>
  <c r="R139" i="5"/>
  <c r="T138" i="5"/>
  <c r="U138" i="5" s="1"/>
  <c r="S138" i="5"/>
  <c r="R138" i="5"/>
  <c r="T27" i="5"/>
  <c r="U27" i="5" s="1"/>
  <c r="S27" i="5"/>
  <c r="R27" i="5"/>
  <c r="T254" i="5" l="1"/>
  <c r="P254" i="5" s="1"/>
  <c r="U178" i="5"/>
  <c r="U254" i="5" s="1"/>
  <c r="T293" i="5"/>
  <c r="P293" i="5" s="1"/>
  <c r="U256" i="5"/>
  <c r="U293" i="5" s="1"/>
  <c r="T734" i="5"/>
  <c r="P734" i="5" s="1"/>
  <c r="U643" i="5"/>
  <c r="U734" i="5" s="1"/>
  <c r="T176" i="5"/>
  <c r="P176" i="5" s="1"/>
  <c r="U5" i="5"/>
  <c r="U176" i="5" s="1"/>
  <c r="T391" i="5"/>
  <c r="P391" i="5" s="1"/>
  <c r="U362" i="5"/>
  <c r="U391" i="5" s="1"/>
  <c r="M61" i="4"/>
  <c r="J58" i="4"/>
  <c r="T360" i="5"/>
  <c r="P360" i="5" s="1"/>
  <c r="U295" i="5"/>
  <c r="U360" i="5" s="1"/>
  <c r="T641" i="5"/>
  <c r="P641" i="5" s="1"/>
  <c r="U393" i="5"/>
  <c r="U641" i="5" s="1"/>
  <c r="Q25" i="2"/>
  <c r="Q24" i="2"/>
  <c r="Q23" i="2"/>
  <c r="Q22" i="2"/>
  <c r="Q21" i="2"/>
  <c r="Q20" i="2"/>
  <c r="P26" i="2" s="1"/>
  <c r="O25" i="2"/>
  <c r="O24" i="2"/>
  <c r="O23" i="2"/>
  <c r="O22" i="2"/>
  <c r="O21" i="2"/>
  <c r="O20" i="2"/>
  <c r="N26" i="2" s="1"/>
  <c r="M25" i="2"/>
  <c r="M24" i="2"/>
  <c r="M23" i="2"/>
  <c r="M22" i="2"/>
  <c r="M21" i="2"/>
  <c r="M20" i="2"/>
  <c r="L26" i="2" s="1"/>
  <c r="K25" i="2"/>
  <c r="K24" i="2"/>
  <c r="K23" i="2"/>
  <c r="K22" i="2"/>
  <c r="K21" i="2"/>
  <c r="K20" i="2"/>
  <c r="J26" i="2" s="1"/>
  <c r="I25" i="2"/>
  <c r="I24" i="2"/>
  <c r="I23" i="2"/>
  <c r="I22" i="2"/>
  <c r="I21" i="2"/>
  <c r="I20" i="2"/>
  <c r="H26" i="2" s="1"/>
  <c r="G25" i="2"/>
  <c r="G24" i="2"/>
  <c r="G23" i="2"/>
  <c r="G22" i="2"/>
  <c r="G21" i="2"/>
  <c r="G20" i="2"/>
  <c r="F26" i="2" s="1"/>
  <c r="E25" i="2"/>
  <c r="E24" i="2"/>
  <c r="E23" i="2"/>
  <c r="E22" i="2"/>
  <c r="E21" i="2"/>
  <c r="E20" i="2"/>
  <c r="D26" i="2" s="1"/>
  <c r="C25" i="2"/>
  <c r="C24" i="2"/>
  <c r="C23" i="2"/>
  <c r="C22" i="2"/>
  <c r="C21" i="2"/>
  <c r="C20" i="2"/>
  <c r="B26" i="2" s="1"/>
  <c r="D5" i="15"/>
  <c r="L10" i="9"/>
  <c r="D7" i="15"/>
  <c r="E7" i="15" s="1"/>
  <c r="L20" i="13"/>
  <c r="E5" i="15" l="1"/>
  <c r="C34" i="2"/>
  <c r="C33" i="2"/>
  <c r="C32" i="2"/>
  <c r="C31" i="2"/>
  <c r="C30" i="2"/>
  <c r="C29" i="2"/>
  <c r="C28" i="2"/>
  <c r="B35" i="2" s="1"/>
  <c r="C43" i="2"/>
  <c r="G47" i="2" s="1"/>
  <c r="C42" i="2"/>
  <c r="E47" i="2" s="1"/>
  <c r="C41" i="2"/>
  <c r="E34" i="2"/>
  <c r="E33" i="2"/>
  <c r="E32" i="2"/>
  <c r="E31" i="2"/>
  <c r="E30" i="2"/>
  <c r="E29" i="2"/>
  <c r="E28" i="2"/>
  <c r="D35" i="2" s="1"/>
  <c r="E43" i="2"/>
  <c r="G48" i="2" s="1"/>
  <c r="E42" i="2"/>
  <c r="E48" i="2" s="1"/>
  <c r="E41" i="2"/>
  <c r="G34" i="2"/>
  <c r="G33" i="2"/>
  <c r="G32" i="2"/>
  <c r="G31" i="2"/>
  <c r="G30" i="2"/>
  <c r="G29" i="2"/>
  <c r="G28" i="2"/>
  <c r="F35" i="2" s="1"/>
  <c r="G43" i="2"/>
  <c r="G49" i="2" s="1"/>
  <c r="G42" i="2"/>
  <c r="E49" i="2" s="1"/>
  <c r="G41" i="2"/>
  <c r="I34" i="2"/>
  <c r="I33" i="2"/>
  <c r="I32" i="2"/>
  <c r="I31" i="2"/>
  <c r="I30" i="2"/>
  <c r="I29" i="2"/>
  <c r="I28" i="2"/>
  <c r="H35" i="2" s="1"/>
  <c r="I43" i="2"/>
  <c r="G51" i="2" s="1"/>
  <c r="I42" i="2"/>
  <c r="E51" i="2" s="1"/>
  <c r="I41" i="2"/>
  <c r="K34" i="2"/>
  <c r="K33" i="2"/>
  <c r="K32" i="2"/>
  <c r="K31" i="2"/>
  <c r="K30" i="2"/>
  <c r="K29" i="2"/>
  <c r="K28" i="2"/>
  <c r="J35" i="2" s="1"/>
  <c r="K43" i="2"/>
  <c r="G52" i="2" s="1"/>
  <c r="K42" i="2"/>
  <c r="E52" i="2" s="1"/>
  <c r="K41" i="2"/>
  <c r="M34" i="2"/>
  <c r="M33" i="2"/>
  <c r="M32" i="2"/>
  <c r="M31" i="2"/>
  <c r="M30" i="2"/>
  <c r="M29" i="2"/>
  <c r="M28" i="2"/>
  <c r="L35" i="2" s="1"/>
  <c r="M43" i="2"/>
  <c r="M42" i="2"/>
  <c r="M41" i="2"/>
  <c r="O34" i="2"/>
  <c r="O33" i="2"/>
  <c r="O32" i="2"/>
  <c r="O31" i="2"/>
  <c r="O30" i="2"/>
  <c r="O29" i="2"/>
  <c r="O28" i="2"/>
  <c r="N35" i="2" s="1"/>
  <c r="O43" i="2"/>
  <c r="O42" i="2"/>
  <c r="O41" i="2"/>
  <c r="Q34" i="2"/>
  <c r="Q33" i="2"/>
  <c r="Q32" i="2"/>
  <c r="Q31" i="2"/>
  <c r="Q30" i="2"/>
  <c r="Q29" i="2"/>
  <c r="Q28" i="2"/>
  <c r="P35" i="2" s="1"/>
  <c r="Q43" i="2"/>
  <c r="Q42" i="2"/>
  <c r="Q41" i="2"/>
  <c r="F12" i="7"/>
  <c r="M12" i="7" s="1"/>
  <c r="F11" i="7"/>
  <c r="M11" i="7" s="1"/>
  <c r="F10" i="7"/>
  <c r="M10" i="7" s="1"/>
  <c r="F9" i="7"/>
  <c r="M9" i="7" s="1"/>
  <c r="F8" i="7"/>
  <c r="M8" i="7" s="1"/>
  <c r="F7" i="7"/>
  <c r="M7" i="7" s="1"/>
  <c r="F6" i="7"/>
  <c r="M6" i="7" s="1"/>
  <c r="Q37" i="2" l="1"/>
  <c r="P39" i="2" s="1"/>
  <c r="O37" i="2"/>
  <c r="N39" i="2" s="1"/>
  <c r="M37" i="2"/>
  <c r="L39" i="2" s="1"/>
  <c r="K37" i="2"/>
  <c r="J39" i="2" s="1"/>
  <c r="C52" i="2" s="1"/>
  <c r="I37" i="2"/>
  <c r="H39" i="2" s="1"/>
  <c r="C51" i="2" s="1"/>
  <c r="G37" i="2"/>
  <c r="F39" i="2" s="1"/>
  <c r="C49" i="2" s="1"/>
  <c r="E37" i="2"/>
  <c r="D39" i="2" s="1"/>
  <c r="C48" i="2" s="1"/>
  <c r="C37" i="2"/>
  <c r="B39" i="2" s="1"/>
  <c r="C47" i="2" s="1"/>
  <c r="I57" i="2" l="1"/>
  <c r="G57" i="2"/>
  <c r="E57" i="2"/>
  <c r="C57" i="2"/>
  <c r="I58" i="2"/>
  <c r="G58" i="2"/>
  <c r="E58" i="2"/>
  <c r="C58" i="2"/>
  <c r="I60" i="2"/>
  <c r="G60" i="2"/>
  <c r="E60" i="2"/>
  <c r="C60" i="2"/>
  <c r="C50" i="2"/>
  <c r="B53" i="2"/>
  <c r="H31" i="3"/>
  <c r="J48" i="4"/>
  <c r="I47" i="6"/>
  <c r="J49" i="4"/>
  <c r="I48" i="6"/>
  <c r="J55" i="4"/>
  <c r="I54" i="6"/>
  <c r="L12" i="7"/>
  <c r="N12" i="7"/>
  <c r="Q12" i="7"/>
  <c r="R12" i="7"/>
  <c r="G10" i="8"/>
  <c r="H10" i="8"/>
  <c r="I10" i="8"/>
  <c r="H12" i="7"/>
  <c r="J12" i="7"/>
  <c r="O12" i="7"/>
  <c r="E10" i="8"/>
  <c r="G12" i="7"/>
  <c r="K12" i="7"/>
  <c r="P12" i="7"/>
  <c r="F10" i="8"/>
  <c r="L11" i="7"/>
  <c r="N11" i="7"/>
  <c r="Q11" i="7"/>
  <c r="R11" i="7"/>
  <c r="G9" i="8"/>
  <c r="H9" i="8"/>
  <c r="I9" i="8"/>
  <c r="H11" i="7"/>
  <c r="J11" i="7"/>
  <c r="O11" i="7"/>
  <c r="E9" i="8"/>
  <c r="G11" i="7"/>
  <c r="K11" i="7"/>
  <c r="P11" i="7"/>
  <c r="F9" i="8"/>
  <c r="L10" i="7"/>
  <c r="N10" i="7"/>
  <c r="Q10" i="7"/>
  <c r="R10" i="7"/>
  <c r="G8" i="8"/>
  <c r="H8" i="8"/>
  <c r="I8" i="8"/>
  <c r="H10" i="7"/>
  <c r="J10" i="7"/>
  <c r="O10" i="7"/>
  <c r="E8" i="8"/>
  <c r="G10" i="7"/>
  <c r="K10" i="7"/>
  <c r="P10" i="7"/>
  <c r="F8" i="8"/>
  <c r="L9" i="7"/>
  <c r="N9" i="7"/>
  <c r="Q9" i="7"/>
  <c r="R9" i="7"/>
  <c r="G7" i="8"/>
  <c r="H7" i="8"/>
  <c r="I7" i="8"/>
  <c r="H9" i="7"/>
  <c r="J9" i="7"/>
  <c r="O9" i="7"/>
  <c r="E7" i="8"/>
  <c r="G9" i="7"/>
  <c r="K9" i="7"/>
  <c r="P9" i="7"/>
  <c r="F7" i="8"/>
  <c r="L8" i="7"/>
  <c r="N8" i="7"/>
  <c r="Q8" i="7"/>
  <c r="R8" i="7"/>
  <c r="G6" i="8"/>
  <c r="H6" i="8"/>
  <c r="I6" i="8"/>
  <c r="H8" i="7"/>
  <c r="J8" i="7"/>
  <c r="O8" i="7"/>
  <c r="E6" i="8"/>
  <c r="G8" i="7"/>
  <c r="K8" i="7"/>
  <c r="P8" i="7"/>
  <c r="F6" i="8"/>
  <c r="L7" i="7"/>
  <c r="N7" i="7"/>
  <c r="Q7" i="7"/>
  <c r="R7" i="7"/>
  <c r="G5" i="8"/>
  <c r="H5" i="8"/>
  <c r="I5" i="8"/>
  <c r="H7" i="7"/>
  <c r="J7" i="7"/>
  <c r="O7" i="7"/>
  <c r="E5" i="8"/>
  <c r="G7" i="7"/>
  <c r="K7" i="7"/>
  <c r="P7" i="7"/>
  <c r="F5" i="8"/>
  <c r="L6" i="7"/>
  <c r="N6" i="7"/>
  <c r="Q6" i="7"/>
  <c r="R6" i="7"/>
  <c r="R13" i="7"/>
  <c r="R16" i="7"/>
  <c r="R18" i="7"/>
  <c r="Q13" i="7"/>
  <c r="Q16" i="7"/>
  <c r="Q18" i="7"/>
  <c r="G4" i="8"/>
  <c r="H4" i="8"/>
  <c r="I4" i="8"/>
  <c r="I12" i="8"/>
  <c r="H12" i="8"/>
  <c r="G12" i="8"/>
  <c r="D4" i="15"/>
  <c r="E4" i="15"/>
  <c r="C59" i="2"/>
  <c r="B61" i="2"/>
  <c r="G6" i="12"/>
  <c r="I6" i="12"/>
  <c r="J6" i="12"/>
  <c r="K6" i="12"/>
  <c r="E59" i="2"/>
  <c r="D61" i="2"/>
  <c r="G7" i="12"/>
  <c r="I7" i="12"/>
  <c r="J7" i="12"/>
  <c r="K7" i="12"/>
  <c r="G8" i="12"/>
  <c r="I8" i="12"/>
  <c r="J8" i="12"/>
  <c r="K8" i="12"/>
  <c r="K11" i="12"/>
  <c r="K13" i="12"/>
  <c r="D6" i="15"/>
  <c r="D9" i="15"/>
  <c r="E9" i="15"/>
  <c r="D12" i="15"/>
  <c r="H6" i="7"/>
  <c r="J6" i="7"/>
  <c r="O6" i="7"/>
  <c r="O13" i="7"/>
  <c r="O16" i="7"/>
  <c r="E4" i="8"/>
  <c r="E12" i="8"/>
  <c r="C4" i="15"/>
  <c r="C9" i="15"/>
  <c r="G6" i="7"/>
  <c r="K6" i="7"/>
  <c r="P6" i="7"/>
  <c r="P13" i="7"/>
  <c r="P16" i="7"/>
  <c r="F4" i="8"/>
  <c r="F12" i="8"/>
  <c r="B4" i="15"/>
  <c r="B9" i="15"/>
  <c r="I59" i="2"/>
  <c r="H61" i="2"/>
  <c r="G6" i="13"/>
  <c r="H6" i="14"/>
  <c r="H14" i="14"/>
  <c r="H21" i="14"/>
  <c r="H27" i="14"/>
  <c r="G7" i="13"/>
  <c r="H33" i="14"/>
  <c r="G8" i="13"/>
  <c r="H7" i="14"/>
  <c r="H15" i="14"/>
  <c r="H22" i="14"/>
  <c r="H28" i="14"/>
  <c r="G9" i="13"/>
  <c r="H34" i="14"/>
  <c r="G10" i="13"/>
  <c r="H8" i="14"/>
  <c r="H16" i="14"/>
  <c r="H23" i="14"/>
  <c r="H29" i="14"/>
  <c r="G11" i="13"/>
  <c r="H35" i="14"/>
  <c r="G12" i="13"/>
  <c r="H9" i="14"/>
  <c r="G13" i="13"/>
  <c r="H10" i="14"/>
  <c r="H17" i="14"/>
  <c r="G14" i="13"/>
  <c r="H36" i="14"/>
  <c r="G15" i="13"/>
  <c r="H37" i="14"/>
  <c r="G16" i="13"/>
  <c r="H38" i="14"/>
  <c r="G17" i="13"/>
  <c r="H39" i="14"/>
  <c r="G59" i="2"/>
  <c r="F61" i="2"/>
  <c r="G6" i="9"/>
  <c r="H6" i="10"/>
  <c r="H11" i="10"/>
  <c r="H16" i="10"/>
  <c r="H28" i="10"/>
  <c r="G7" i="9"/>
  <c r="H7" i="10"/>
  <c r="H12" i="10"/>
  <c r="H20" i="10"/>
  <c r="H24" i="10"/>
  <c r="H29" i="10"/>
  <c r="G9" i="12"/>
  <c r="G50" i="2"/>
  <c r="F53" i="2"/>
  <c r="E50" i="2"/>
  <c r="D53" i="2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L48" i="4"/>
  <c r="P16" i="5"/>
  <c r="S16" i="5"/>
  <c r="P18" i="5"/>
  <c r="S18" i="5"/>
  <c r="P30" i="5"/>
  <c r="S30" i="5"/>
  <c r="P32" i="5"/>
  <c r="S32" i="5"/>
  <c r="P34" i="5"/>
  <c r="S34" i="5"/>
  <c r="P36" i="5"/>
  <c r="S36" i="5"/>
  <c r="P45" i="5"/>
  <c r="S45" i="5"/>
  <c r="P71" i="5"/>
  <c r="S71" i="5"/>
  <c r="P73" i="5"/>
  <c r="S73" i="5"/>
  <c r="P75" i="5"/>
  <c r="S75" i="5"/>
  <c r="P98" i="5"/>
  <c r="S98" i="5"/>
  <c r="P100" i="5"/>
  <c r="S100" i="5"/>
  <c r="P125" i="5"/>
  <c r="S125" i="5"/>
  <c r="P127" i="5"/>
  <c r="S127" i="5"/>
  <c r="P146" i="5"/>
  <c r="S146" i="5"/>
  <c r="P148" i="5"/>
  <c r="S148" i="5"/>
  <c r="P150" i="5"/>
  <c r="S150" i="5"/>
  <c r="P152" i="5"/>
  <c r="S152" i="5"/>
  <c r="P168" i="5"/>
  <c r="S168" i="5"/>
  <c r="P170" i="5"/>
  <c r="S170" i="5"/>
  <c r="P494" i="5"/>
  <c r="S494" i="5"/>
  <c r="P500" i="5"/>
  <c r="S500" i="5"/>
  <c r="P504" i="5"/>
  <c r="S504" i="5"/>
  <c r="P511" i="5"/>
  <c r="S511" i="5"/>
  <c r="P515" i="5"/>
  <c r="S515" i="5"/>
  <c r="P523" i="5"/>
  <c r="S523" i="5"/>
  <c r="P527" i="5"/>
  <c r="S527" i="5"/>
  <c r="P537" i="5"/>
  <c r="S537" i="5"/>
  <c r="P541" i="5"/>
  <c r="S541" i="5"/>
  <c r="L49" i="4"/>
  <c r="P428" i="5"/>
  <c r="S428" i="5"/>
  <c r="P430" i="5"/>
  <c r="S430" i="5"/>
  <c r="P433" i="5"/>
  <c r="S433" i="5"/>
  <c r="P440" i="5"/>
  <c r="S440" i="5"/>
  <c r="P442" i="5"/>
  <c r="S442" i="5"/>
  <c r="P444" i="5"/>
  <c r="S444" i="5"/>
  <c r="P446" i="5"/>
  <c r="S446" i="5"/>
  <c r="P449" i="5"/>
  <c r="S449" i="5"/>
  <c r="P451" i="5"/>
  <c r="S451" i="5"/>
  <c r="P565" i="5"/>
  <c r="S565" i="5"/>
  <c r="P567" i="5"/>
  <c r="S567" i="5"/>
  <c r="P570" i="5"/>
  <c r="S570" i="5"/>
  <c r="P572" i="5"/>
  <c r="S572" i="5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L55" i="4"/>
  <c r="P359" i="5"/>
  <c r="S359" i="5"/>
  <c r="U359" i="5"/>
  <c r="N55" i="4"/>
  <c r="L8" i="12"/>
  <c r="L7" i="12"/>
  <c r="L6" i="12"/>
  <c r="L11" i="12"/>
  <c r="L13" i="12"/>
  <c r="E6" i="15"/>
  <c r="N48" i="4"/>
  <c r="N49" i="4"/>
  <c r="K6" i="10"/>
  <c r="K8" i="10"/>
  <c r="K7" i="10"/>
  <c r="K11" i="10"/>
  <c r="K13" i="10"/>
  <c r="K12" i="10"/>
  <c r="K16" i="10"/>
  <c r="K17" i="10"/>
  <c r="K20" i="10"/>
  <c r="K21" i="10"/>
  <c r="K24" i="10"/>
  <c r="K25" i="10"/>
  <c r="K28" i="10"/>
  <c r="K30" i="10"/>
  <c r="K29" i="10"/>
  <c r="L56" i="4"/>
  <c r="L6" i="10"/>
  <c r="M6" i="10"/>
  <c r="L8" i="10"/>
  <c r="M8" i="10"/>
  <c r="L11" i="10"/>
  <c r="M11" i="10"/>
  <c r="L13" i="10"/>
  <c r="M13" i="10"/>
  <c r="L16" i="10"/>
  <c r="M16" i="10"/>
  <c r="L17" i="10"/>
  <c r="M17" i="10"/>
  <c r="L28" i="10"/>
  <c r="M28" i="10"/>
  <c r="L30" i="10"/>
  <c r="M30" i="10"/>
  <c r="L7" i="10"/>
  <c r="M7" i="10"/>
  <c r="L12" i="10"/>
  <c r="M12" i="10"/>
  <c r="L20" i="10"/>
  <c r="M20" i="10"/>
  <c r="L21" i="10"/>
  <c r="M21" i="10"/>
  <c r="L24" i="10"/>
  <c r="M24" i="10"/>
  <c r="L25" i="10"/>
  <c r="M25" i="10"/>
  <c r="L29" i="10"/>
  <c r="M29" i="10"/>
  <c r="N56" i="4"/>
  <c r="N61" i="4"/>
  <c r="U541" i="5"/>
  <c r="U537" i="5"/>
  <c r="U527" i="5"/>
  <c r="U523" i="5"/>
  <c r="U515" i="5"/>
  <c r="U511" i="5"/>
  <c r="U504" i="5"/>
  <c r="U500" i="5"/>
  <c r="U494" i="5"/>
  <c r="U170" i="5"/>
  <c r="U168" i="5"/>
  <c r="U152" i="5"/>
  <c r="U150" i="5"/>
  <c r="U148" i="5"/>
  <c r="U146" i="5"/>
  <c r="U127" i="5"/>
  <c r="U125" i="5"/>
  <c r="U100" i="5"/>
  <c r="U98" i="5"/>
  <c r="U75" i="5"/>
  <c r="U73" i="5"/>
  <c r="U71" i="5"/>
  <c r="U45" i="5"/>
  <c r="U36" i="5"/>
  <c r="U34" i="5"/>
  <c r="U32" i="5"/>
  <c r="U30" i="5"/>
  <c r="U18" i="5"/>
  <c r="U16" i="5"/>
  <c r="U572" i="5"/>
  <c r="U570" i="5"/>
  <c r="U567" i="5"/>
  <c r="U565" i="5"/>
  <c r="U451" i="5"/>
  <c r="U449" i="5"/>
  <c r="U446" i="5"/>
  <c r="U444" i="5"/>
  <c r="U442" i="5"/>
  <c r="U440" i="5"/>
  <c r="U433" i="5"/>
  <c r="U430" i="5"/>
  <c r="U428" i="5"/>
  <c r="D15" i="15"/>
</calcChain>
</file>

<file path=xl/sharedStrings.xml><?xml version="1.0" encoding="utf-8"?>
<sst xmlns="http://schemas.openxmlformats.org/spreadsheetml/2006/main" count="8857" uniqueCount="1290">
  <si>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</si>
  <si>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</si>
  <si>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</si>
  <si>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</si>
  <si>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</si>
  <si>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</si>
  <si>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</si>
  <si>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</si>
  <si>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</si>
  <si>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400J</t>
  </si>
  <si>
    <t>5W</t>
  </si>
  <si>
    <t>200J</t>
  </si>
  <si>
    <t>4W</t>
  </si>
  <si>
    <t>126J</t>
  </si>
  <si>
    <t>3W</t>
  </si>
  <si>
    <t>2W</t>
  </si>
  <si>
    <t>80J</t>
  </si>
  <si>
    <t>1W</t>
  </si>
  <si>
    <t>40J</t>
  </si>
  <si>
    <t>26J</t>
  </si>
  <si>
    <t>12J</t>
  </si>
  <si>
    <t>10J</t>
  </si>
  <si>
    <t>6J</t>
  </si>
  <si>
    <t>4J</t>
  </si>
  <si>
    <t>3J</t>
  </si>
  <si>
    <t>2J</t>
  </si>
  <si>
    <t>1J</t>
  </si>
  <si>
    <t>Opbouw uurtarief</t>
  </si>
  <si>
    <t>Regulier werk</t>
  </si>
  <si>
    <t>Regie werk</t>
  </si>
  <si>
    <t>Uitvoering</t>
  </si>
  <si>
    <t>Directe leiding</t>
  </si>
  <si>
    <t>ONDERDEEL</t>
  </si>
  <si>
    <t>Vakvolwassene</t>
  </si>
  <si>
    <t>Leiding (meewerkend)</t>
  </si>
  <si>
    <t>Leiding (niet-meewerkend)</t>
  </si>
  <si>
    <t>Vakvolwassene regie</t>
  </si>
  <si>
    <t>Leiding regie</t>
  </si>
  <si>
    <t>Loongroep/ervaring</t>
  </si>
  <si>
    <t>&gt;3 dienstjaren</t>
  </si>
  <si>
    <t/>
  </si>
  <si>
    <t>voorman/vrouw</t>
  </si>
  <si>
    <t>objectleider</t>
  </si>
  <si>
    <t>specialist</t>
  </si>
  <si>
    <t>Basis uurloon (CAO)</t>
  </si>
  <si>
    <t>Basis toeslagen</t>
  </si>
  <si>
    <t>Totaal basisloon</t>
  </si>
  <si>
    <t>Vakantietoeslag</t>
  </si>
  <si>
    <t>Overige structurele uitkeringen</t>
  </si>
  <si>
    <t>Totaal uurloon inclusief toeslagen</t>
  </si>
  <si>
    <t>Sociale lasten</t>
  </si>
  <si>
    <t>Totaal uurloon inclusief sociale lasten</t>
  </si>
  <si>
    <t>Vakantiedagen</t>
  </si>
  <si>
    <t>Betaalde feestdagen</t>
  </si>
  <si>
    <t>Ziektedagen</t>
  </si>
  <si>
    <t>Overige niet werkbare dagen</t>
  </si>
  <si>
    <t>TOTAAL LOONKOSTEN PER UUR</t>
  </si>
  <si>
    <t>Materialen en middelen</t>
  </si>
  <si>
    <t>Machinekosten</t>
  </si>
  <si>
    <t>Werkkleding en uitrusting</t>
  </si>
  <si>
    <t>Afvalzakken</t>
  </si>
  <si>
    <t>Reiskosten/vervoerskosten/parkeergelden</t>
  </si>
  <si>
    <t>Overige directe kosten</t>
  </si>
  <si>
    <t>TOTAAL DIRECTE KOSTEN</t>
  </si>
  <si>
    <t>Indirecte leiding</t>
  </si>
  <si>
    <t>Managementkosten</t>
  </si>
  <si>
    <t>P.Z. kosten</t>
  </si>
  <si>
    <t>Opleiding</t>
  </si>
  <si>
    <t>Huisvesting</t>
  </si>
  <si>
    <t>Administratiekosten</t>
  </si>
  <si>
    <t>Overige overhead</t>
  </si>
  <si>
    <t>TOTAAL INDIRECTE KOSTEN</t>
  </si>
  <si>
    <t>RISICO EN WINST</t>
  </si>
  <si>
    <t>TOTAAL UURTARIEF (excl. BTW)</t>
  </si>
  <si>
    <t>Onregelmatigheids tijdstip:</t>
  </si>
  <si>
    <t>toeslag</t>
  </si>
  <si>
    <t>tarief</t>
  </si>
  <si>
    <t>- DN: ma-vr nacht</t>
  </si>
  <si>
    <t>- W: weekend</t>
  </si>
  <si>
    <t>- X: feestdag</t>
  </si>
  <si>
    <t>TARIEVEN REGULIER WERK</t>
  </si>
  <si>
    <t>Werkdag</t>
  </si>
  <si>
    <t>Weekend</t>
  </si>
  <si>
    <t>Feestdag</t>
  </si>
  <si>
    <t>Aandeel</t>
  </si>
  <si>
    <t>Tarief</t>
  </si>
  <si>
    <t>Gewogen tarief uitvoering</t>
  </si>
  <si>
    <t>Tarieven regulier werk</t>
  </si>
  <si>
    <t>TARIEVEN REGIE WERK</t>
  </si>
  <si>
    <t>Regie uurtarief</t>
  </si>
  <si>
    <t>Regie uurtarief specialistich</t>
  </si>
  <si>
    <t>Regie uurtarief specialistich vloeronder</t>
  </si>
  <si>
    <t>Regie uurtarief glasbeassing</t>
  </si>
  <si>
    <t>Tarieven regie werk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</si>
  <si>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</si>
  <si>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</si>
  <si>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</si>
  <si>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</si>
  <si>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</si>
  <si>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</si>
  <si>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</si>
  <si>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</si>
  <si>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     </t>
  </si>
  <si>
    <t>BHB</t>
  </si>
  <si>
    <t xml:space="preserve">B    </t>
  </si>
  <si>
    <t>Kantoor-/personeels-/vergaderruimte hard (basis)</t>
  </si>
  <si>
    <t>m²/uur</t>
  </si>
  <si>
    <t>BHV</t>
  </si>
  <si>
    <t>Kantoor-/personeels-/vergaderruimte hard (volledig)</t>
  </si>
  <si>
    <t>BZB</t>
  </si>
  <si>
    <t>Kantoor-/personeels-/vergaderruimte zacht (basis)</t>
  </si>
  <si>
    <t>BZV</t>
  </si>
  <si>
    <t>Kantoor-/personeels-/vergaderruimte zacht (volledig)</t>
  </si>
  <si>
    <t>LHB</t>
  </si>
  <si>
    <t>Leslokalen/studieruimte hard (basis)</t>
  </si>
  <si>
    <t>LHV</t>
  </si>
  <si>
    <t>Leslokalen/studieruimte hard (volledig)</t>
  </si>
  <si>
    <t>LZB</t>
  </si>
  <si>
    <t>Leslokalen/studieruimte zacht (basis)</t>
  </si>
  <si>
    <t>LZV</t>
  </si>
  <si>
    <t>Leslokalen/studieruimte zacht (volledig)</t>
  </si>
  <si>
    <t>MHB</t>
  </si>
  <si>
    <t>Media-/bilbiotheek hard (basis)</t>
  </si>
  <si>
    <t>MHV</t>
  </si>
  <si>
    <t>Media-/bilbiotheek hard (volledig)</t>
  </si>
  <si>
    <t>MZB</t>
  </si>
  <si>
    <t>Media-/bilbiotheek zacht (basis)</t>
  </si>
  <si>
    <t>MZV</t>
  </si>
  <si>
    <t>Media-/bilbiotheek zacht (volledig)</t>
  </si>
  <si>
    <t>RHB</t>
  </si>
  <si>
    <t>Receptie/ontvangstruimten hard (basis)</t>
  </si>
  <si>
    <t>RHV</t>
  </si>
  <si>
    <t>Receptie/ontvangstruimten hard (volledig)</t>
  </si>
  <si>
    <t>PMHB</t>
  </si>
  <si>
    <t xml:space="preserve">PM   </t>
  </si>
  <si>
    <t>Praktijklokaal minimaal hard (basis)</t>
  </si>
  <si>
    <t>PMHV</t>
  </si>
  <si>
    <t>Praktijklokaal minimaal hard (volledig)</t>
  </si>
  <si>
    <t>PTHB</t>
  </si>
  <si>
    <t xml:space="preserve">PT   </t>
  </si>
  <si>
    <t>Praktijklokaal techniek hard (basis)</t>
  </si>
  <si>
    <t>PTHV</t>
  </si>
  <si>
    <t>Praktijklokaal techniek hard (volledig)</t>
  </si>
  <si>
    <t>PUHB</t>
  </si>
  <si>
    <t xml:space="preserve">PU   </t>
  </si>
  <si>
    <t>Praktijklokaal uitgebreid hard (basis)</t>
  </si>
  <si>
    <t>PUHV</t>
  </si>
  <si>
    <t>Praktijklokaal uitgebreid hard (volledig)</t>
  </si>
  <si>
    <t>DHB</t>
  </si>
  <si>
    <t xml:space="preserve">S    </t>
  </si>
  <si>
    <t>Douche/wasruimte hard (basis)</t>
  </si>
  <si>
    <t>DHV</t>
  </si>
  <si>
    <t>Douche/wasruimte hard (volledig)</t>
  </si>
  <si>
    <t>KHB</t>
  </si>
  <si>
    <t>Kleedruimte hard (basis)</t>
  </si>
  <si>
    <t>KHV</t>
  </si>
  <si>
    <t>Kleedruimte hard (volledig)</t>
  </si>
  <si>
    <t>SHB</t>
  </si>
  <si>
    <t>Sanitaire ruimte/toiletten hard (basis)</t>
  </si>
  <si>
    <t>SHV</t>
  </si>
  <si>
    <t>Sanitaire ruimte/toiletten hard (volledig)</t>
  </si>
  <si>
    <t>AHB</t>
  </si>
  <si>
    <t xml:space="preserve">V    </t>
  </si>
  <si>
    <t>Aula/pauzeruimte hard (basis)</t>
  </si>
  <si>
    <t>AHV</t>
  </si>
  <si>
    <t>Aula/pauzeruimte hard (volledig)</t>
  </si>
  <si>
    <t>AZB</t>
  </si>
  <si>
    <t>Aula/pauzeruimte zacht (basis)</t>
  </si>
  <si>
    <t>AZV</t>
  </si>
  <si>
    <t>Aula/pauzeruimte zacht (volledig)</t>
  </si>
  <si>
    <t>EHB</t>
  </si>
  <si>
    <t>Entree hard (basis)</t>
  </si>
  <si>
    <t>EHV</t>
  </si>
  <si>
    <t>Entree hard (volledig)</t>
  </si>
  <si>
    <t>EZB</t>
  </si>
  <si>
    <t>Entree zacht (basis)</t>
  </si>
  <si>
    <t>EZV</t>
  </si>
  <si>
    <t>Entree zacht (volledig)</t>
  </si>
  <si>
    <t>FHB</t>
  </si>
  <si>
    <t>Fitness ruimte hard (basis)</t>
  </si>
  <si>
    <t>FHV</t>
  </si>
  <si>
    <t>Fitness ruimte hard (volledig)</t>
  </si>
  <si>
    <t>GHB</t>
  </si>
  <si>
    <t>Gymzaal/sportruimte hard (basis)</t>
  </si>
  <si>
    <t>GHV</t>
  </si>
  <si>
    <t>Gymzaal/sportruimte hard (volledig)</t>
  </si>
  <si>
    <t>IHB</t>
  </si>
  <si>
    <t>Lift hard (basis)</t>
  </si>
  <si>
    <t>IHV</t>
  </si>
  <si>
    <t>Lift hard (volledig)</t>
  </si>
  <si>
    <t>OHB</t>
  </si>
  <si>
    <t>Archief/bergruimte/magazijn hard (basis)</t>
  </si>
  <si>
    <t>OHV</t>
  </si>
  <si>
    <t>Archief/bergruimte/magazijn hard (volledig)</t>
  </si>
  <si>
    <t>PHB</t>
  </si>
  <si>
    <t>Pantry/keuken hard (basis)</t>
  </si>
  <si>
    <t>PHV</t>
  </si>
  <si>
    <t>Pantry/keuken hard (volledig)</t>
  </si>
  <si>
    <t>THB</t>
  </si>
  <si>
    <t>Trap hard (basis)</t>
  </si>
  <si>
    <t>THV</t>
  </si>
  <si>
    <t>Trap hard (volledig)</t>
  </si>
  <si>
    <t>VHB</t>
  </si>
  <si>
    <t>Verkeersruimte/garderobe/reprografie hard (basis)</t>
  </si>
  <si>
    <t>VHV</t>
  </si>
  <si>
    <t>Verkeersruimte/garderobe/reprografie hard (volledig)</t>
  </si>
  <si>
    <t>VZB</t>
  </si>
  <si>
    <t>Verkeersruimte/garderobe/reprografie zacht (basis)</t>
  </si>
  <si>
    <t>VZV</t>
  </si>
  <si>
    <t>Verkeersruimte/garderobe/reprografie zacht (volledig)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</si>
  <si>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</si>
  <si>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</si>
  <si>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</si>
  <si>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</si>
  <si>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</si>
  <si>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</si>
  <si>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</si>
  <si>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</si>
  <si>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</si>
  <si>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</si>
  <si>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Aula/pauzeruimte harde vloer</t>
  </si>
  <si>
    <t>AZ</t>
  </si>
  <si>
    <t>Aula/pauzeruimte zachte vloer</t>
  </si>
  <si>
    <t>BH</t>
  </si>
  <si>
    <t>Kantoor/personeels-/vergaderrruimte harde vloer</t>
  </si>
  <si>
    <t>BZ</t>
  </si>
  <si>
    <t>Kantoor/personeels-/vergaderrruimte zachte vloer</t>
  </si>
  <si>
    <t>DH</t>
  </si>
  <si>
    <t>Douche/wasruimte harde vloer</t>
  </si>
  <si>
    <t>EH</t>
  </si>
  <si>
    <t>Entree harde vloer</t>
  </si>
  <si>
    <t>EZ</t>
  </si>
  <si>
    <t>Entree zachte vloer</t>
  </si>
  <si>
    <t>FH</t>
  </si>
  <si>
    <t>Fitness ruimte - harde vloer</t>
  </si>
  <si>
    <t>GH</t>
  </si>
  <si>
    <t>Gymzaal/sportruimte/toestelberging harde vloer</t>
  </si>
  <si>
    <t>IH</t>
  </si>
  <si>
    <t>Lift harde vloer</t>
  </si>
  <si>
    <t>KH</t>
  </si>
  <si>
    <t>Kleedruimte harde vloer</t>
  </si>
  <si>
    <t>LH</t>
  </si>
  <si>
    <t>Leslokaal/studieruimte harde vloer</t>
  </si>
  <si>
    <t>LZ</t>
  </si>
  <si>
    <t>Leslokaal/studieruimte zachte vloer</t>
  </si>
  <si>
    <t>MH</t>
  </si>
  <si>
    <t>Media-/bibliotheek harde vloer</t>
  </si>
  <si>
    <t>MZ</t>
  </si>
  <si>
    <t>Media-/bibliotheek zachte vloer</t>
  </si>
  <si>
    <t>OH</t>
  </si>
  <si>
    <t>Archief/magazijn/opslag harde vloer</t>
  </si>
  <si>
    <t>PH</t>
  </si>
  <si>
    <t>Pantry/keuken harde vloer</t>
  </si>
  <si>
    <t>PMH</t>
  </si>
  <si>
    <t>Praktijklokaal minimaal harde vloer</t>
  </si>
  <si>
    <t>PTH</t>
  </si>
  <si>
    <t>Praktijklokaal techniek harde vloer</t>
  </si>
  <si>
    <t>PUH</t>
  </si>
  <si>
    <t>Praktijklokaal uitgebreid harde vloer</t>
  </si>
  <si>
    <t>RH</t>
  </si>
  <si>
    <t>Receptie/ontvangstruimte harde vloer</t>
  </si>
  <si>
    <t>SH</t>
  </si>
  <si>
    <t>Sanitaire ruimte/toiletten harde vloer</t>
  </si>
  <si>
    <t>SHN</t>
  </si>
  <si>
    <t>Sanitaire ruimte/toiletten harde vloer naloop</t>
  </si>
  <si>
    <t>TH</t>
  </si>
  <si>
    <t>Trap harde vloer</t>
  </si>
  <si>
    <t>VH</t>
  </si>
  <si>
    <t>Verkeersruimte/garderobe/reprografie harde vloer</t>
  </si>
  <si>
    <t>VZ</t>
  </si>
  <si>
    <t>Verkeersruimte/garderobe/reprografie zachte vloer</t>
  </si>
  <si>
    <t>Z005</t>
  </si>
  <si>
    <t>extra</t>
  </si>
  <si>
    <t>Algemene ruimtes schoonmaak (vaste tijd 60 minuten)</t>
  </si>
  <si>
    <t>min./keer</t>
  </si>
  <si>
    <t xml:space="preserve">Totaal werkdag                  </t>
  </si>
  <si>
    <t xml:space="preserve">Gemiddeld uurtarief werkdag     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</si>
  <si>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</si>
  <si>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</si>
  <si>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</si>
  <si>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</si>
  <si>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</si>
  <si>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</si>
  <si>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</si>
  <si>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</si>
  <si>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DAG-KRACHT</t>
  </si>
  <si>
    <t>UREN HOOG-FREQUENT/ DAG</t>
  </si>
  <si>
    <t>500 - Farel College, Paladijnenweg 101, Amersfoort</t>
  </si>
  <si>
    <t>500</t>
  </si>
  <si>
    <t>A</t>
  </si>
  <si>
    <t>00</t>
  </si>
  <si>
    <t>00.01</t>
  </si>
  <si>
    <t>entree</t>
  </si>
  <si>
    <t>tapijt</t>
  </si>
  <si>
    <t>00.02</t>
  </si>
  <si>
    <t>theorielokaal</t>
  </si>
  <si>
    <t>linoleum</t>
  </si>
  <si>
    <t>00.03</t>
  </si>
  <si>
    <t>vergaderruimte</t>
  </si>
  <si>
    <t>laminaat</t>
  </si>
  <si>
    <t>00.04</t>
  </si>
  <si>
    <t>lokaal</t>
  </si>
  <si>
    <t>00.05</t>
  </si>
  <si>
    <t>trap</t>
  </si>
  <si>
    <t>steen</t>
  </si>
  <si>
    <t>00.06</t>
  </si>
  <si>
    <t>traphal</t>
  </si>
  <si>
    <t>00.07</t>
  </si>
  <si>
    <t>kantoor</t>
  </si>
  <si>
    <t>00.08</t>
  </si>
  <si>
    <t>00.11</t>
  </si>
  <si>
    <t>gang/garderobe</t>
  </si>
  <si>
    <t>00.12</t>
  </si>
  <si>
    <t>garderobe</t>
  </si>
  <si>
    <t>00.13</t>
  </si>
  <si>
    <t>toilet</t>
  </si>
  <si>
    <t>gietvloer</t>
  </si>
  <si>
    <t>00.14</t>
  </si>
  <si>
    <t>00.15</t>
  </si>
  <si>
    <t>praktijklokaal techniek</t>
  </si>
  <si>
    <t>sure stepp</t>
  </si>
  <si>
    <t>00.16</t>
  </si>
  <si>
    <t>lokaal techniek</t>
  </si>
  <si>
    <t>00.17</t>
  </si>
  <si>
    <t>lokaal muziek</t>
  </si>
  <si>
    <t>00.18</t>
  </si>
  <si>
    <t>lokaal  muziek</t>
  </si>
  <si>
    <t>00.19</t>
  </si>
  <si>
    <t>00.20</t>
  </si>
  <si>
    <t>aula</t>
  </si>
  <si>
    <t>pvc</t>
  </si>
  <si>
    <t>00.21</t>
  </si>
  <si>
    <t>aula aanbouw</t>
  </si>
  <si>
    <t>00.22</t>
  </si>
  <si>
    <t>vide aula</t>
  </si>
  <si>
    <t>00.23</t>
  </si>
  <si>
    <t>balkon aula bij banken</t>
  </si>
  <si>
    <t>00.24</t>
  </si>
  <si>
    <t>gang</t>
  </si>
  <si>
    <t>00.25</t>
  </si>
  <si>
    <t>00.26</t>
  </si>
  <si>
    <t>00.27</t>
  </si>
  <si>
    <t>toilet hr docenten</t>
  </si>
  <si>
    <t>00.28</t>
  </si>
  <si>
    <t>toilet ds docenten</t>
  </si>
  <si>
    <t>00.29</t>
  </si>
  <si>
    <t>gymzaal</t>
  </si>
  <si>
    <t>gymvloer</t>
  </si>
  <si>
    <t>00.30</t>
  </si>
  <si>
    <t>toestelberging</t>
  </si>
  <si>
    <t>00.31</t>
  </si>
  <si>
    <t>kleedruimte</t>
  </si>
  <si>
    <t>00.34</t>
  </si>
  <si>
    <t>kleedruimte docenten</t>
  </si>
  <si>
    <t>00.35</t>
  </si>
  <si>
    <t>00.36</t>
  </si>
  <si>
    <t>00.37</t>
  </si>
  <si>
    <t>00.38</t>
  </si>
  <si>
    <t>00.39</t>
  </si>
  <si>
    <t>topshield2</t>
  </si>
  <si>
    <t>00.40</t>
  </si>
  <si>
    <t>00.41</t>
  </si>
  <si>
    <t>handvaardigheidlokaal</t>
  </si>
  <si>
    <t>00.42</t>
  </si>
  <si>
    <t>tekenlokaal</t>
  </si>
  <si>
    <t>00.43</t>
  </si>
  <si>
    <t>00.44</t>
  </si>
  <si>
    <t>00.45</t>
  </si>
  <si>
    <t>00.46</t>
  </si>
  <si>
    <t>00.47</t>
  </si>
  <si>
    <t>00.48</t>
  </si>
  <si>
    <t>00.49</t>
  </si>
  <si>
    <t>00.50</t>
  </si>
  <si>
    <t>00.51</t>
  </si>
  <si>
    <t>00.52</t>
  </si>
  <si>
    <t>00.53</t>
  </si>
  <si>
    <t>00.54</t>
  </si>
  <si>
    <t>hal/opslag</t>
  </si>
  <si>
    <t>00.55</t>
  </si>
  <si>
    <t>00.56</t>
  </si>
  <si>
    <t>lift</t>
  </si>
  <si>
    <t>00.57</t>
  </si>
  <si>
    <t>00.58</t>
  </si>
  <si>
    <t>rubber</t>
  </si>
  <si>
    <t>00.59</t>
  </si>
  <si>
    <t>00.60</t>
  </si>
  <si>
    <t>receptie</t>
  </si>
  <si>
    <t>00.61</t>
  </si>
  <si>
    <t>kopieer</t>
  </si>
  <si>
    <t>00.62</t>
  </si>
  <si>
    <t>conciërge</t>
  </si>
  <si>
    <t>00.63</t>
  </si>
  <si>
    <t>toilet miva</t>
  </si>
  <si>
    <t>00.64</t>
  </si>
  <si>
    <t>toilet heren</t>
  </si>
  <si>
    <t>00.65</t>
  </si>
  <si>
    <t>toilet dames</t>
  </si>
  <si>
    <t>00.66</t>
  </si>
  <si>
    <t>00.67</t>
  </si>
  <si>
    <t>kantoor administratie</t>
  </si>
  <si>
    <t>00.68</t>
  </si>
  <si>
    <t>00.69</t>
  </si>
  <si>
    <t>trap bg/1e</t>
  </si>
  <si>
    <t>00.70</t>
  </si>
  <si>
    <t>Personeelskamer</t>
  </si>
  <si>
    <t>00.71</t>
  </si>
  <si>
    <t>00.72</t>
  </si>
  <si>
    <t>00.73</t>
  </si>
  <si>
    <t>00.74</t>
  </si>
  <si>
    <t>reprografie</t>
  </si>
  <si>
    <t>00.75</t>
  </si>
  <si>
    <t>00.76</t>
  </si>
  <si>
    <t>00.77</t>
  </si>
  <si>
    <t>00.78</t>
  </si>
  <si>
    <t>mediatheek groot</t>
  </si>
  <si>
    <t>00.79</t>
  </si>
  <si>
    <t>kantoor mediatheek groot</t>
  </si>
  <si>
    <t>00.80</t>
  </si>
  <si>
    <t>flotex</t>
  </si>
  <si>
    <t>01</t>
  </si>
  <si>
    <t>01.01</t>
  </si>
  <si>
    <t>01.02</t>
  </si>
  <si>
    <t>01.03</t>
  </si>
  <si>
    <t>01.04</t>
  </si>
  <si>
    <t>01.08</t>
  </si>
  <si>
    <t>01.08a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</si>
  <si>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</si>
  <si>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</si>
  <si>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</si>
  <si>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</si>
  <si>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</si>
  <si>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</si>
  <si>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</si>
  <si>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</si>
  <si>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verbindingshal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</si>
  <si>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</si>
  <si>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</si>
  <si>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</si>
  <si>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</si>
  <si>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</si>
  <si>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</si>
  <si>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</si>
  <si>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</si>
  <si>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</si>
  <si>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</si>
  <si>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</si>
  <si>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</si>
  <si>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</si>
  <si>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</si>
  <si>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</si>
  <si>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01.32</t>
  </si>
  <si>
    <t>01.33</t>
  </si>
  <si>
    <t>01.34</t>
  </si>
  <si>
    <t>toilet ds</t>
  </si>
  <si>
    <t>01.35</t>
  </si>
  <si>
    <t>toilet hr</t>
  </si>
  <si>
    <t>01.36</t>
  </si>
  <si>
    <t>01.37</t>
  </si>
  <si>
    <t>01.38</t>
  </si>
  <si>
    <t>studieplein 1</t>
  </si>
  <si>
    <t>01.40</t>
  </si>
  <si>
    <t>01.41</t>
  </si>
  <si>
    <t>spreekkamer</t>
  </si>
  <si>
    <t>01.42</t>
  </si>
  <si>
    <t>01.43</t>
  </si>
  <si>
    <t>01.44</t>
  </si>
  <si>
    <t>01.45</t>
  </si>
  <si>
    <t>01.46</t>
  </si>
  <si>
    <t>01.46a</t>
  </si>
  <si>
    <t>01.46b</t>
  </si>
  <si>
    <t>01.47</t>
  </si>
  <si>
    <t>studieplein 2</t>
  </si>
  <si>
    <t>01.48</t>
  </si>
  <si>
    <t>spreekamer</t>
  </si>
  <si>
    <t>01.49</t>
  </si>
  <si>
    <t>01.50</t>
  </si>
  <si>
    <t>01.51</t>
  </si>
  <si>
    <t>01.52</t>
  </si>
  <si>
    <t>01.53</t>
  </si>
  <si>
    <t>toilet MIVA</t>
  </si>
  <si>
    <t>01.54</t>
  </si>
  <si>
    <t>toilet docenten</t>
  </si>
  <si>
    <t>01.55</t>
  </si>
  <si>
    <t>02</t>
  </si>
  <si>
    <t>02.01</t>
  </si>
  <si>
    <t>02.02</t>
  </si>
  <si>
    <t>hal voor lokalen</t>
  </si>
  <si>
    <t>02.03</t>
  </si>
  <si>
    <t>02.04</t>
  </si>
  <si>
    <t>02.05</t>
  </si>
  <si>
    <t>hal bij trap</t>
  </si>
  <si>
    <t>02.06</t>
  </si>
  <si>
    <t>02.07</t>
  </si>
  <si>
    <t>02.08</t>
  </si>
  <si>
    <t>kabinet</t>
  </si>
  <si>
    <t>02.09</t>
  </si>
  <si>
    <t>02.10</t>
  </si>
  <si>
    <t>02.11</t>
  </si>
  <si>
    <t>02.12</t>
  </si>
  <si>
    <t>02.13</t>
  </si>
  <si>
    <t>laboratorium</t>
  </si>
  <si>
    <t>02.13a</t>
  </si>
  <si>
    <t>02.14</t>
  </si>
  <si>
    <t>02.15</t>
  </si>
  <si>
    <t>02.16</t>
  </si>
  <si>
    <t>02.17</t>
  </si>
  <si>
    <t>02.18</t>
  </si>
  <si>
    <t>PC</t>
  </si>
  <si>
    <t>00.301</t>
  </si>
  <si>
    <t>00.302</t>
  </si>
  <si>
    <t>Totaal werkdag</t>
  </si>
  <si>
    <t>600 - Oostwende College, Plecht 1, Bunschoten</t>
  </si>
  <si>
    <t>600</t>
  </si>
  <si>
    <t>0.01</t>
  </si>
  <si>
    <t>0.02</t>
  </si>
  <si>
    <t>0.04</t>
  </si>
  <si>
    <t>0.05</t>
  </si>
  <si>
    <t>0.06</t>
  </si>
  <si>
    <t>studieruimte</t>
  </si>
  <si>
    <t>0.07</t>
  </si>
  <si>
    <t>0.08</t>
  </si>
  <si>
    <t>0.09</t>
  </si>
  <si>
    <t>0.10</t>
  </si>
  <si>
    <t>0.11</t>
  </si>
  <si>
    <t>0.12</t>
  </si>
  <si>
    <t>0.13</t>
  </si>
  <si>
    <t>0.14</t>
  </si>
  <si>
    <t>0.15</t>
  </si>
  <si>
    <t>0.16</t>
  </si>
  <si>
    <t>0.18</t>
  </si>
  <si>
    <t>0.19</t>
  </si>
  <si>
    <t>0.20a</t>
  </si>
  <si>
    <t>kunststof</t>
  </si>
  <si>
    <t>0.20b</t>
  </si>
  <si>
    <t>0.20c</t>
  </si>
  <si>
    <t>0.20d</t>
  </si>
  <si>
    <t>0.21</t>
  </si>
  <si>
    <t>praktijklokaal muziek</t>
  </si>
  <si>
    <t>0.23</t>
  </si>
  <si>
    <t>0.26</t>
  </si>
  <si>
    <t>0.27</t>
  </si>
  <si>
    <t>0.28</t>
  </si>
  <si>
    <t>0.29</t>
  </si>
  <si>
    <t>0.32</t>
  </si>
  <si>
    <t>0.33</t>
  </si>
  <si>
    <t>0.34</t>
  </si>
  <si>
    <t>0.37</t>
  </si>
  <si>
    <t>0.38</t>
  </si>
  <si>
    <t>0.39</t>
  </si>
  <si>
    <t>keuken</t>
  </si>
  <si>
    <t>0.42</t>
  </si>
  <si>
    <t>0.43</t>
  </si>
  <si>
    <t>0.44</t>
  </si>
  <si>
    <t>0.45</t>
  </si>
  <si>
    <t>douche</t>
  </si>
  <si>
    <t>0.46</t>
  </si>
  <si>
    <t>0.47</t>
  </si>
  <si>
    <t>0.48</t>
  </si>
  <si>
    <t>0.50</t>
  </si>
  <si>
    <t>0.52</t>
  </si>
  <si>
    <t>0.53</t>
  </si>
  <si>
    <t>0.54</t>
  </si>
  <si>
    <t>praktijklokaal handvaardigheid</t>
  </si>
  <si>
    <t>1.01</t>
  </si>
  <si>
    <t>mediatheek</t>
  </si>
  <si>
    <t>1.02</t>
  </si>
  <si>
    <t>1.03</t>
  </si>
  <si>
    <t>1.04</t>
  </si>
  <si>
    <t>1.05</t>
  </si>
  <si>
    <t>1.06</t>
  </si>
  <si>
    <t>1.07</t>
  </si>
  <si>
    <t>1.08</t>
  </si>
  <si>
    <t>1.10</t>
  </si>
  <si>
    <t>1.11</t>
  </si>
  <si>
    <t>praktijklokaal natuurkunde</t>
  </si>
  <si>
    <t>1.12</t>
  </si>
  <si>
    <t>1.13</t>
  </si>
  <si>
    <t>1.14</t>
  </si>
  <si>
    <t>1.16</t>
  </si>
  <si>
    <t>1.17</t>
  </si>
  <si>
    <t>praktijklokaal verzorging</t>
  </si>
  <si>
    <t>1.18</t>
  </si>
  <si>
    <t>1.19a</t>
  </si>
  <si>
    <t>docentenruimte</t>
  </si>
  <si>
    <t>1.19b</t>
  </si>
  <si>
    <t>werkruimte</t>
  </si>
  <si>
    <t>1.19c</t>
  </si>
  <si>
    <t>1.19d</t>
  </si>
  <si>
    <t>1.22</t>
  </si>
  <si>
    <t>1.25</t>
  </si>
  <si>
    <t>praktijklokaal detailhandel</t>
  </si>
  <si>
    <t>1.28</t>
  </si>
  <si>
    <t>regiekamer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</si>
  <si>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</si>
  <si>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</si>
  <si>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</si>
  <si>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</si>
  <si>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</si>
  <si>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</si>
  <si>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</si>
  <si>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</si>
  <si>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</si>
  <si>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730 - Het Element Taalcentrum, J.P. Sweelinckstraat 4, Amersfoort</t>
  </si>
  <si>
    <t>730</t>
  </si>
  <si>
    <t>-01</t>
  </si>
  <si>
    <t>-1.01</t>
  </si>
  <si>
    <t>traphal k/bg</t>
  </si>
  <si>
    <t>pvc/tegel</t>
  </si>
  <si>
    <t>-1.02</t>
  </si>
  <si>
    <t>muzieklokaal</t>
  </si>
  <si>
    <t>-1.03</t>
  </si>
  <si>
    <t>-1.04</t>
  </si>
  <si>
    <t>inloopmat</t>
  </si>
  <si>
    <t>concierge</t>
  </si>
  <si>
    <t>natuursteen</t>
  </si>
  <si>
    <t>toiletten personeel</t>
  </si>
  <si>
    <t>personeelskamer</t>
  </si>
  <si>
    <t>printerruimte</t>
  </si>
  <si>
    <t>leslokaal</t>
  </si>
  <si>
    <t>trappenhuis 1e/bg</t>
  </si>
  <si>
    <t>0.17</t>
  </si>
  <si>
    <t>Hal voor toiletten</t>
  </si>
  <si>
    <t>0.20</t>
  </si>
  <si>
    <t>0.22</t>
  </si>
  <si>
    <t>bibliotheek</t>
  </si>
  <si>
    <t>hal bij trappenhuis</t>
  </si>
  <si>
    <t>toilet  hr</t>
  </si>
  <si>
    <t>1.09</t>
  </si>
  <si>
    <t>Handvaardigheid</t>
  </si>
  <si>
    <t>740 - Het Element Taalcentrum 1, Hooglandseweg Noord 55, Amersfoort</t>
  </si>
  <si>
    <t>740</t>
  </si>
  <si>
    <t>Aula</t>
  </si>
  <si>
    <t>Concierge</t>
  </si>
  <si>
    <t>0.03</t>
  </si>
  <si>
    <t>Uitgifte keuken</t>
  </si>
  <si>
    <t>Handvaardigheidslokaal</t>
  </si>
  <si>
    <t>Entree gymzaal 1</t>
  </si>
  <si>
    <t>Sportzaal 1</t>
  </si>
  <si>
    <t>hout</t>
  </si>
  <si>
    <t>Berging gymzaal 1</t>
  </si>
  <si>
    <t>DS Kleedruimte 1</t>
  </si>
  <si>
    <t>marmoleum</t>
  </si>
  <si>
    <t>0.08a</t>
  </si>
  <si>
    <t>DS toilet Kleedruimte 1</t>
  </si>
  <si>
    <t>HR Kleedruimte 1</t>
  </si>
  <si>
    <t>0.09a</t>
  </si>
  <si>
    <t>HR toilet Kleedruimte 1</t>
  </si>
  <si>
    <t>Kleedruimte docenten 1</t>
  </si>
  <si>
    <t>dhgt</t>
  </si>
  <si>
    <t>0.10a</t>
  </si>
  <si>
    <t>Douche docenten 1</t>
  </si>
  <si>
    <t>Verkeersruimte</t>
  </si>
  <si>
    <t>DS toilet</t>
  </si>
  <si>
    <t>0.13a</t>
  </si>
  <si>
    <t>HR toilet</t>
  </si>
  <si>
    <t>Trap Bg/1e</t>
  </si>
  <si>
    <t>0.15a</t>
  </si>
  <si>
    <t>beton</t>
  </si>
  <si>
    <t>Personeelsruimte</t>
  </si>
  <si>
    <t>Overlegruimte</t>
  </si>
  <si>
    <t>Muzieklokaal</t>
  </si>
  <si>
    <t>Kooklokaal</t>
  </si>
  <si>
    <t>Entree gymzaal 2</t>
  </si>
  <si>
    <t>Gymzaal 2</t>
  </si>
  <si>
    <t>Berging gymzaal 2</t>
  </si>
  <si>
    <t>DS kleedruimte 2</t>
  </si>
  <si>
    <t>0.23a</t>
  </si>
  <si>
    <t>DS toilet  kleedruimte 2</t>
  </si>
  <si>
    <t>0.24</t>
  </si>
  <si>
    <t>HR kleedruimte 2</t>
  </si>
  <si>
    <t>0.24a</t>
  </si>
  <si>
    <t>HR toilet kleedruimte 2</t>
  </si>
  <si>
    <t>0.25</t>
  </si>
  <si>
    <t>Kleedruimte docenten 2</t>
  </si>
  <si>
    <t>0.25a</t>
  </si>
  <si>
    <t>Douche docenten 2</t>
  </si>
  <si>
    <t>1,01</t>
  </si>
  <si>
    <t>Gang bij trap</t>
  </si>
  <si>
    <t>1,02</t>
  </si>
  <si>
    <t>Lokaal A</t>
  </si>
  <si>
    <t>1,03</t>
  </si>
  <si>
    <t>Kantoor</t>
  </si>
  <si>
    <t>1,04</t>
  </si>
  <si>
    <t>Lokaal C</t>
  </si>
  <si>
    <t>1,05</t>
  </si>
  <si>
    <t>Lokaal E</t>
  </si>
  <si>
    <t>1,06</t>
  </si>
  <si>
    <t>Lokaal G</t>
  </si>
  <si>
    <t>1,07</t>
  </si>
  <si>
    <t>Bibliotheek</t>
  </si>
  <si>
    <t>1,08</t>
  </si>
  <si>
    <t>Lokaal I</t>
  </si>
  <si>
    <t>1,09</t>
  </si>
  <si>
    <t>1,10</t>
  </si>
  <si>
    <t>HR  toilet</t>
  </si>
  <si>
    <t>1,11</t>
  </si>
  <si>
    <t>Lokaal K</t>
  </si>
  <si>
    <t>1,12</t>
  </si>
  <si>
    <t>Lokaal M</t>
  </si>
  <si>
    <t>1,13</t>
  </si>
  <si>
    <t>Kantoor intake 1</t>
  </si>
  <si>
    <t>1,14</t>
  </si>
  <si>
    <t>Lokaal N</t>
  </si>
  <si>
    <t>1,15</t>
  </si>
  <si>
    <t>Gang bij lift</t>
  </si>
  <si>
    <t>1,16</t>
  </si>
  <si>
    <t>Gang</t>
  </si>
  <si>
    <t>1,17</t>
  </si>
  <si>
    <t>Winkel parktijk</t>
  </si>
  <si>
    <t>1,18</t>
  </si>
  <si>
    <t>1,19</t>
  </si>
  <si>
    <t>Vergaderruimte</t>
  </si>
  <si>
    <t>1,20</t>
  </si>
  <si>
    <t>Leerlingwerkplekken</t>
  </si>
  <si>
    <t>1,21</t>
  </si>
  <si>
    <t>Lokaal L</t>
  </si>
  <si>
    <t>1,22</t>
  </si>
  <si>
    <t>Lokaal J</t>
  </si>
  <si>
    <t>1,23</t>
  </si>
  <si>
    <t>1,24</t>
  </si>
  <si>
    <t>1,25</t>
  </si>
  <si>
    <t>Lokaal H</t>
  </si>
  <si>
    <t>1,26</t>
  </si>
  <si>
    <t>Ds/Hr toilet</t>
  </si>
  <si>
    <t>1,27</t>
  </si>
  <si>
    <t>Lokaal F</t>
  </si>
  <si>
    <t>1,28</t>
  </si>
  <si>
    <t>Lokaal D</t>
  </si>
  <si>
    <t>1,29</t>
  </si>
  <si>
    <t>Lokaal B</t>
  </si>
  <si>
    <t>1,30</t>
  </si>
  <si>
    <t>1,31</t>
  </si>
  <si>
    <t>E</t>
  </si>
  <si>
    <t>Algemene ruimten</t>
  </si>
  <si>
    <t>---------</t>
  </si>
  <si>
    <t>900 - Bureau Meerscholen, J.P. Sweelinckstraat 4, Amersfoort</t>
  </si>
  <si>
    <t>900</t>
  </si>
  <si>
    <t>pantry</t>
  </si>
  <si>
    <t>overleg Cube</t>
  </si>
  <si>
    <t>kantoor ICT</t>
  </si>
  <si>
    <t>kantoor directie</t>
  </si>
  <si>
    <t>kantoor controllers</t>
  </si>
  <si>
    <t>kantoor college</t>
  </si>
  <si>
    <t>kantoor secreatariaat</t>
  </si>
  <si>
    <t>overleg cube</t>
  </si>
  <si>
    <t>kantoor HR</t>
  </si>
  <si>
    <t>team HR</t>
  </si>
  <si>
    <t>kantoor Admin</t>
  </si>
  <si>
    <t>kantoor salaris</t>
  </si>
  <si>
    <t>kantoor Finance</t>
  </si>
  <si>
    <t>hal</t>
  </si>
  <si>
    <t>rubbernoppen</t>
  </si>
  <si>
    <t>1100 - Corlaer College VMBO, Ds. Kuijpersstraat 3, Nijkerk</t>
  </si>
  <si>
    <t>1100</t>
  </si>
  <si>
    <t>hal pauzeruimte</t>
  </si>
  <si>
    <t>topshield2-2024</t>
  </si>
  <si>
    <t>0.03a</t>
  </si>
  <si>
    <t>leerlingpunt</t>
  </si>
  <si>
    <t>0.03b</t>
  </si>
  <si>
    <t>0.03c</t>
  </si>
  <si>
    <t>spreekruimte</t>
  </si>
  <si>
    <t>0.03d</t>
  </si>
  <si>
    <t>0.03e</t>
  </si>
  <si>
    <t>0.03f</t>
  </si>
  <si>
    <t>werkplek/balie</t>
  </si>
  <si>
    <t>0.03g</t>
  </si>
  <si>
    <t>werkplek leerlingpunt</t>
  </si>
  <si>
    <t>personeelsruimte</t>
  </si>
  <si>
    <t>praktijklokaal</t>
  </si>
  <si>
    <t>0.11a</t>
  </si>
  <si>
    <t>0.11b</t>
  </si>
  <si>
    <t>lokaal verzorging</t>
  </si>
  <si>
    <t>topshield2-2015</t>
  </si>
  <si>
    <t>0.17e</t>
  </si>
  <si>
    <t>0.17f</t>
  </si>
  <si>
    <t>wasruimte</t>
  </si>
  <si>
    <t>0.17g</t>
  </si>
  <si>
    <t>0.17i</t>
  </si>
  <si>
    <t>kapsalon</t>
  </si>
  <si>
    <t>bolidt</t>
  </si>
  <si>
    <t>Lokaal</t>
  </si>
  <si>
    <t>topshield2-2022</t>
  </si>
  <si>
    <t>Toilet Z&amp;W lokaal</t>
  </si>
  <si>
    <t>MIVA Toilet Z&amp;W lokaa</t>
  </si>
  <si>
    <t>0.63</t>
  </si>
  <si>
    <t>gang/pauzeruimte</t>
  </si>
  <si>
    <t>0.64</t>
  </si>
  <si>
    <t>0.65</t>
  </si>
  <si>
    <t>0.66</t>
  </si>
  <si>
    <t>0.67</t>
  </si>
  <si>
    <t>0.69</t>
  </si>
  <si>
    <t>0.70</t>
  </si>
  <si>
    <t>0.71</t>
  </si>
  <si>
    <t>0.72</t>
  </si>
  <si>
    <t>0.73</t>
  </si>
  <si>
    <t>0.74</t>
  </si>
  <si>
    <t>0.75</t>
  </si>
  <si>
    <t>0.76</t>
  </si>
  <si>
    <t>0.77</t>
  </si>
  <si>
    <t>0.78</t>
  </si>
  <si>
    <t>0.79</t>
  </si>
  <si>
    <t>0.80</t>
  </si>
  <si>
    <t>0.81</t>
  </si>
  <si>
    <t>0.82</t>
  </si>
  <si>
    <t>0.83</t>
  </si>
  <si>
    <t>0.84</t>
  </si>
  <si>
    <t>0.85</t>
  </si>
  <si>
    <t>Gang/pauzeruimte</t>
  </si>
  <si>
    <t>0.86</t>
  </si>
  <si>
    <t>0.87</t>
  </si>
  <si>
    <t>0.88</t>
  </si>
  <si>
    <t>0.89</t>
  </si>
  <si>
    <t>0.90</t>
  </si>
  <si>
    <t>0.91</t>
  </si>
  <si>
    <t>0.92</t>
  </si>
  <si>
    <t>0.93</t>
  </si>
  <si>
    <t>staal</t>
  </si>
  <si>
    <t>0.94</t>
  </si>
  <si>
    <t>0.95</t>
  </si>
  <si>
    <t>Techlab ontwerpen</t>
  </si>
  <si>
    <t>0.96</t>
  </si>
  <si>
    <t>0.97</t>
  </si>
  <si>
    <t>podium</t>
  </si>
  <si>
    <t>0.98</t>
  </si>
  <si>
    <t>receptie/concierge</t>
  </si>
  <si>
    <t>0.99</t>
  </si>
  <si>
    <t>1.00</t>
  </si>
  <si>
    <t>1.15</t>
  </si>
  <si>
    <t>1.18a</t>
  </si>
  <si>
    <t>1.18b</t>
  </si>
  <si>
    <t>1.18c</t>
  </si>
  <si>
    <t>1.18d</t>
  </si>
  <si>
    <t>1.19</t>
  </si>
  <si>
    <t>1.20a</t>
  </si>
  <si>
    <t>1.20aa</t>
  </si>
  <si>
    <t>douche docenten</t>
  </si>
  <si>
    <t>1.20ab</t>
  </si>
  <si>
    <t>1.20c</t>
  </si>
  <si>
    <t>techlab (topshield 2-2015)</t>
  </si>
  <si>
    <t>1.20d</t>
  </si>
  <si>
    <t>kantoor/voorlokaal (topshield 2-2015)</t>
  </si>
  <si>
    <t>1.21</t>
  </si>
  <si>
    <t>sportvloer</t>
  </si>
  <si>
    <t>1.21a</t>
  </si>
  <si>
    <t>kleedruimte hr</t>
  </si>
  <si>
    <t>1.21b</t>
  </si>
  <si>
    <t>1.21c</t>
  </si>
  <si>
    <t>douche hr</t>
  </si>
  <si>
    <t>1.21d</t>
  </si>
  <si>
    <t>douche ds</t>
  </si>
  <si>
    <t>1.21e</t>
  </si>
  <si>
    <t>1.21f</t>
  </si>
  <si>
    <t>kleedruimte ds</t>
  </si>
  <si>
    <t>1.21g</t>
  </si>
  <si>
    <t>1.21h</t>
  </si>
  <si>
    <t>1.22a</t>
  </si>
  <si>
    <t>1.22b</t>
  </si>
  <si>
    <t>1.22c</t>
  </si>
  <si>
    <t>1.22d</t>
  </si>
  <si>
    <t>1.22e</t>
  </si>
  <si>
    <t>1.22f</t>
  </si>
  <si>
    <t>1.22g</t>
  </si>
  <si>
    <t>1.22h</t>
  </si>
  <si>
    <t>1.22i</t>
  </si>
  <si>
    <t>ehbo ruimte</t>
  </si>
  <si>
    <t>1.23</t>
  </si>
  <si>
    <t>1.23a</t>
  </si>
  <si>
    <t>1.23b</t>
  </si>
  <si>
    <t>1.23c</t>
  </si>
  <si>
    <t>1.23d</t>
  </si>
  <si>
    <t>1.23e</t>
  </si>
  <si>
    <t>1.23f</t>
  </si>
  <si>
    <t>1.23g</t>
  </si>
  <si>
    <t>1.23h</t>
  </si>
  <si>
    <t>1.24a</t>
  </si>
  <si>
    <t>1.24b</t>
  </si>
  <si>
    <t>1.24c</t>
  </si>
  <si>
    <t>1.24d</t>
  </si>
  <si>
    <t>1.24e</t>
  </si>
  <si>
    <t>1.24f</t>
  </si>
  <si>
    <t>1.24g</t>
  </si>
  <si>
    <t>1.24h</t>
  </si>
  <si>
    <t>1.24i</t>
  </si>
  <si>
    <t>1.26</t>
  </si>
  <si>
    <t>1.27</t>
  </si>
  <si>
    <t>1.32a</t>
  </si>
  <si>
    <t>lokaal/gang</t>
  </si>
  <si>
    <t>1.32b</t>
  </si>
  <si>
    <t>praktijklokaal tekenen</t>
  </si>
  <si>
    <t>1.34/1.36</t>
  </si>
  <si>
    <t>1.34b</t>
  </si>
  <si>
    <t>1.38</t>
  </si>
  <si>
    <t>1.61</t>
  </si>
  <si>
    <t>1.63</t>
  </si>
  <si>
    <t>1.64</t>
  </si>
  <si>
    <t>1.65</t>
  </si>
  <si>
    <t>1.66</t>
  </si>
  <si>
    <t>1.67</t>
  </si>
  <si>
    <t>1.68</t>
  </si>
  <si>
    <t>1.70</t>
  </si>
  <si>
    <t>1.71</t>
  </si>
  <si>
    <t>1.72</t>
  </si>
  <si>
    <t>1.73</t>
  </si>
  <si>
    <t>1.75</t>
  </si>
  <si>
    <t>1.77</t>
  </si>
  <si>
    <t>1.78</t>
  </si>
  <si>
    <t>1.79</t>
  </si>
  <si>
    <t>wachtruimte</t>
  </si>
  <si>
    <t>1.80</t>
  </si>
  <si>
    <t>metaal/rubbernoppen</t>
  </si>
  <si>
    <t>1.81</t>
  </si>
  <si>
    <t>2.01</t>
  </si>
  <si>
    <t>2.02</t>
  </si>
  <si>
    <t>2.03</t>
  </si>
  <si>
    <t>2.04</t>
  </si>
  <si>
    <t>topshield2-2019</t>
  </si>
  <si>
    <t>2.05</t>
  </si>
  <si>
    <t>2.06a</t>
  </si>
  <si>
    <t>Studio 2</t>
  </si>
  <si>
    <t>2.06b</t>
  </si>
  <si>
    <t>Studio 2 zithoek</t>
  </si>
  <si>
    <t>2.07</t>
  </si>
  <si>
    <t>2.08</t>
  </si>
  <si>
    <t>2.09</t>
  </si>
  <si>
    <t>2.10</t>
  </si>
  <si>
    <t>2.11</t>
  </si>
  <si>
    <t>2.12</t>
  </si>
  <si>
    <t>2.13</t>
  </si>
  <si>
    <t>topshield2-2020</t>
  </si>
  <si>
    <t>2.14</t>
  </si>
  <si>
    <t>2.17</t>
  </si>
  <si>
    <t>2.18</t>
  </si>
  <si>
    <t>2.19a</t>
  </si>
  <si>
    <t>studio 1</t>
  </si>
  <si>
    <t>2.19b</t>
  </si>
  <si>
    <t>studio 1 zithoek</t>
  </si>
  <si>
    <t>2.20</t>
  </si>
  <si>
    <t>2.21</t>
  </si>
  <si>
    <t>2.22</t>
  </si>
  <si>
    <t>2.60</t>
  </si>
  <si>
    <t>2.61</t>
  </si>
  <si>
    <t>2.62</t>
  </si>
  <si>
    <t>2.63</t>
  </si>
  <si>
    <t>2.64</t>
  </si>
  <si>
    <t>2.66</t>
  </si>
  <si>
    <t>2.68</t>
  </si>
  <si>
    <t>2.69</t>
  </si>
  <si>
    <t>2.70</t>
  </si>
  <si>
    <t>2.71</t>
  </si>
  <si>
    <t>2.72</t>
  </si>
  <si>
    <t>2.73</t>
  </si>
  <si>
    <t>2.74</t>
  </si>
  <si>
    <t>2.75</t>
  </si>
  <si>
    <t>03</t>
  </si>
  <si>
    <t>3.01</t>
  </si>
  <si>
    <t>3.02</t>
  </si>
  <si>
    <t>3.03</t>
  </si>
  <si>
    <t>3.04</t>
  </si>
  <si>
    <t>3.05</t>
  </si>
  <si>
    <t>3.06a</t>
  </si>
  <si>
    <t>3.06b</t>
  </si>
  <si>
    <t>3.06c</t>
  </si>
  <si>
    <t>3.07</t>
  </si>
  <si>
    <t>3.08</t>
  </si>
  <si>
    <t>3.09</t>
  </si>
  <si>
    <t>3.10</t>
  </si>
  <si>
    <t>3.11</t>
  </si>
  <si>
    <t>praktijklokaal practicum</t>
  </si>
  <si>
    <t>3.12</t>
  </si>
  <si>
    <t>3.13</t>
  </si>
  <si>
    <t>3.14a</t>
  </si>
  <si>
    <t>3.14b</t>
  </si>
  <si>
    <t>3.15</t>
  </si>
  <si>
    <t>3.60</t>
  </si>
  <si>
    <t>3.61</t>
  </si>
  <si>
    <t>3.62</t>
  </si>
  <si>
    <t>3.63</t>
  </si>
  <si>
    <t>toiletds</t>
  </si>
  <si>
    <t>3.64</t>
  </si>
  <si>
    <t>3.65</t>
  </si>
  <si>
    <t>3.66</t>
  </si>
  <si>
    <t>3.67</t>
  </si>
  <si>
    <t>3.68</t>
  </si>
  <si>
    <t>3.69</t>
  </si>
  <si>
    <t>3.71</t>
  </si>
  <si>
    <t>1200 - PrO De Baander, Zangvogelweg 152, Amersfoort</t>
  </si>
  <si>
    <t>1200</t>
  </si>
  <si>
    <t>lokaal 1</t>
  </si>
  <si>
    <t>lino</t>
  </si>
  <si>
    <t>lokaal 2</t>
  </si>
  <si>
    <t>lokaal 3</t>
  </si>
  <si>
    <t>lokaal 4</t>
  </si>
  <si>
    <t>fietstechniek</t>
  </si>
  <si>
    <t>surestep</t>
  </si>
  <si>
    <t>lokaal 5</t>
  </si>
  <si>
    <t>tegel</t>
  </si>
  <si>
    <t>magazijn</t>
  </si>
  <si>
    <t>Miva</t>
  </si>
  <si>
    <t>pulastic</t>
  </si>
  <si>
    <t>kantoor docent</t>
  </si>
  <si>
    <t>douche/toilet</t>
  </si>
  <si>
    <t>kleedkamer</t>
  </si>
  <si>
    <t>berging</t>
  </si>
  <si>
    <t>koffiekamer</t>
  </si>
  <si>
    <t>0.30</t>
  </si>
  <si>
    <t>0.31</t>
  </si>
  <si>
    <t>pantry/uitgifte</t>
  </si>
  <si>
    <t>0.35</t>
  </si>
  <si>
    <t>0.36</t>
  </si>
  <si>
    <t>repro</t>
  </si>
  <si>
    <t>adminstratie</t>
  </si>
  <si>
    <t>directie</t>
  </si>
  <si>
    <t>keuken 1</t>
  </si>
  <si>
    <t>0.40</t>
  </si>
  <si>
    <t>keuken 2</t>
  </si>
  <si>
    <t>0.41</t>
  </si>
  <si>
    <t>restaurant</t>
  </si>
  <si>
    <t>dierverzorging (bereikbaar via 1e of bui</t>
  </si>
  <si>
    <t>0.49</t>
  </si>
  <si>
    <t>techn. dienst</t>
  </si>
  <si>
    <t>0.51</t>
  </si>
  <si>
    <t>stagekantoor</t>
  </si>
  <si>
    <t>0.55</t>
  </si>
  <si>
    <t>roostermaker</t>
  </si>
  <si>
    <t>0.56</t>
  </si>
  <si>
    <t>leerlingenzorg</t>
  </si>
  <si>
    <t>0.57</t>
  </si>
  <si>
    <t>0.58</t>
  </si>
  <si>
    <t>0.59</t>
  </si>
  <si>
    <t>houtbewerken</t>
  </si>
  <si>
    <t>surestep/hout</t>
  </si>
  <si>
    <t>0.60</t>
  </si>
  <si>
    <t>0.61</t>
  </si>
  <si>
    <t>stoeptegel/hout</t>
  </si>
  <si>
    <t>0.62</t>
  </si>
  <si>
    <t>bouwtechniek</t>
  </si>
  <si>
    <t>antislip</t>
  </si>
  <si>
    <t>0.68</t>
  </si>
  <si>
    <t>hout/lino</t>
  </si>
  <si>
    <t>tegels</t>
  </si>
  <si>
    <t>kantine (boven gymzaal)</t>
  </si>
  <si>
    <t>lokaal 6</t>
  </si>
  <si>
    <t>lokaal 7</t>
  </si>
  <si>
    <t>lokaal 8</t>
  </si>
  <si>
    <t>Cat</t>
  </si>
  <si>
    <t>uiterlijke verzorging</t>
  </si>
  <si>
    <t>lokaal entree</t>
  </si>
  <si>
    <t>zorg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</si>
  <si>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</si>
  <si>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</si>
  <si>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</si>
  <si>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</si>
  <si>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</si>
  <si>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</si>
  <si>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 xml:space="preserve">% HOOG-FREQUENT </t>
  </si>
  <si>
    <t>TARIEF</t>
  </si>
  <si>
    <t xml:space="preserve">     500</t>
  </si>
  <si>
    <t xml:space="preserve">     600</t>
  </si>
  <si>
    <t xml:space="preserve">     730</t>
  </si>
  <si>
    <t xml:space="preserve">     740</t>
  </si>
  <si>
    <t xml:space="preserve">     900</t>
  </si>
  <si>
    <t xml:space="preserve">    1100</t>
  </si>
  <si>
    <t xml:space="preserve">    1200</t>
  </si>
  <si>
    <t>werkdag</t>
  </si>
  <si>
    <t>NAAM</t>
  </si>
  <si>
    <t>ADRES</t>
  </si>
  <si>
    <t>PLAATS</t>
  </si>
  <si>
    <t>BASIS UUR- TARIEF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</si>
  <si>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</si>
  <si>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</si>
  <si>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</si>
  <si>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</si>
  <si>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</si>
  <si>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</si>
  <si>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</si>
  <si>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</si>
  <si>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</si>
  <si>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MAAND (EURO)</t>
  </si>
  <si>
    <t>Farel College</t>
  </si>
  <si>
    <t>Paladijnenweg 101</t>
  </si>
  <si>
    <t>Amersfoort</t>
  </si>
  <si>
    <t>Oostwende College</t>
  </si>
  <si>
    <t>Plecht 1</t>
  </si>
  <si>
    <t>Bunschoten</t>
  </si>
  <si>
    <t>Het Element Taalcentrum</t>
  </si>
  <si>
    <t>J.P. Sweelinckstraat 4</t>
  </si>
  <si>
    <t>Het Element Taalcentrum 1</t>
  </si>
  <si>
    <t>Hooglandseweg Noord 55</t>
  </si>
  <si>
    <t>Bureau Meerscholen</t>
  </si>
  <si>
    <t>Corlaer College VMBO</t>
  </si>
  <si>
    <t>Ds. Kuijpersstraat 3</t>
  </si>
  <si>
    <t>Nijkerk</t>
  </si>
  <si>
    <t>PrO De Baander</t>
  </si>
  <si>
    <t>Zangvogelweg 152</t>
  </si>
  <si>
    <t>Totaal regulier werk incl. suppleties (excl. BTW)</t>
  </si>
  <si>
    <t>Totaal regulier werk incl. suppleties (incl. BTW)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</si>
  <si>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</si>
  <si>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</si>
  <si>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</si>
  <si>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</si>
  <si>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</si>
  <si>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</si>
  <si>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</si>
  <si>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</si>
  <si>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</si>
  <si>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</si>
  <si>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9700</t>
  </si>
  <si>
    <t>Periodiek beschermde vloeren</t>
  </si>
  <si>
    <t>tijdsnorm in vloer m²/uur</t>
  </si>
  <si>
    <t>9701</t>
  </si>
  <si>
    <t>Dieptereiniging sportvloer</t>
  </si>
  <si>
    <t>Totaal additioneel werk excl. BTW</t>
  </si>
  <si>
    <t>Totaal 500 - Farel College, Paladijnenweg 101, Amersfoort</t>
  </si>
  <si>
    <t>Totaal 600 - Oostwende College, Plecht 1, Bunschoten</t>
  </si>
  <si>
    <t>Totaal 730 - Het Element Taalcentrum, J.P. Sweelinckstraat 4, Amersfoort</t>
  </si>
  <si>
    <t>Totaal 740 - Het Element Taalcentrum 1, Hooglandseweg Noord 55, Amersfoort</t>
  </si>
  <si>
    <t>Totaal 1100 - Corlaer College VMBO, Ds. Kuijpersstraat 3, Nijkerk</t>
  </si>
  <si>
    <t>Totaal 1200 - PrO De Baander, Zangvogelweg 152, Amersfoort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</si>
  <si>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</si>
  <si>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</si>
  <si>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</si>
  <si>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</si>
  <si>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</si>
  <si>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</si>
  <si>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</si>
  <si>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</si>
  <si>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</si>
  <si>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</si>
  <si>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</si>
  <si>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</si>
  <si>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</si>
  <si>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</si>
  <si>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</si>
  <si>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</si>
  <si>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</si>
  <si>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</si>
  <si>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</si>
  <si>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</si>
  <si>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</si>
  <si>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</si>
  <si>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</si>
  <si>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</si>
  <si>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</si>
  <si>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</si>
  <si>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</si>
  <si>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</si>
  <si>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</si>
  <si>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</si>
  <si>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</si>
  <si>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</si>
  <si>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</si>
  <si>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</si>
  <si>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</si>
  <si>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</si>
  <si>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</si>
  <si>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</si>
  <si>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</si>
  <si>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</si>
  <si>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</si>
  <si>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</si>
  <si>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</si>
  <si>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</si>
  <si>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</si>
  <si>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</si>
  <si>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</si>
  <si>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</si>
  <si>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</si>
  <si>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</si>
  <si>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</si>
  <si>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</si>
  <si>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</si>
  <si>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</si>
  <si>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</si>
  <si>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</si>
  <si>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</si>
  <si>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</si>
  <si>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</si>
  <si>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</si>
  <si>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</si>
  <si>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</si>
  <si>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</si>
  <si>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</si>
  <si>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</si>
  <si>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prijs per uur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</si>
  <si>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</si>
  <si>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</si>
  <si>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</si>
  <si>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</si>
  <si>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</si>
  <si>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</si>
  <si>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</si>
  <si>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</si>
  <si>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</si>
  <si>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</si>
  <si>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</si>
  <si>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</si>
  <si>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</si>
  <si>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</si>
  <si>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</si>
  <si>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</si>
  <si>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</si>
  <si>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</si>
  <si>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</si>
  <si>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</si>
  <si>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</si>
  <si>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</si>
  <si>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</si>
  <si>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</si>
  <si>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</si>
  <si>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(Bonet)</t>
  </si>
  <si>
    <t>4040B</t>
  </si>
  <si>
    <t>4040C</t>
  </si>
  <si>
    <t>Tapijt reinigen droge methode (Bonett)</t>
  </si>
  <si>
    <t>4040D</t>
  </si>
  <si>
    <t>Tapijt reinigen droge methode (Boent)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</si>
  <si>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</si>
  <si>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</si>
  <si>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</si>
  <si>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</si>
  <si>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</si>
  <si>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</si>
  <si>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</si>
  <si>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</si>
  <si>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</si>
  <si>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</si>
  <si>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4065A</t>
  </si>
  <si>
    <t>Tapijt reinigen encapulation methode</t>
  </si>
  <si>
    <t>4065B</t>
  </si>
  <si>
    <t>4065C</t>
  </si>
  <si>
    <t>4065D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</si>
  <si>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</si>
  <si>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</si>
  <si>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</si>
  <si>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</si>
  <si>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</si>
  <si>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</si>
  <si>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</si>
  <si>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</si>
  <si>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</si>
  <si>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</si>
  <si>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4090A</t>
  </si>
  <si>
    <t>Inloopmatten uitkloppen</t>
  </si>
  <si>
    <t>4090B</t>
  </si>
  <si>
    <t>4090C</t>
  </si>
  <si>
    <t>4090D</t>
  </si>
  <si>
    <t>Totaal afroep incidenteel excl. BTW</t>
  </si>
  <si>
    <t>9000</t>
  </si>
  <si>
    <t>Medewerker regiewerkzaamheden</t>
  </si>
  <si>
    <t>9100</t>
  </si>
  <si>
    <t>Medewerker specialistische werkzaamheden</t>
  </si>
  <si>
    <t>9200</t>
  </si>
  <si>
    <t>Uurtarief vervanging eigen beheer</t>
  </si>
  <si>
    <t>9300</t>
  </si>
  <si>
    <t>Digiborden reinigen</t>
  </si>
  <si>
    <t>9301</t>
  </si>
  <si>
    <t>Attributen in toestelberging reinigen</t>
  </si>
  <si>
    <t>totaalprijs</t>
  </si>
  <si>
    <t>Totaal regiewerk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</si>
  <si>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</si>
  <si>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</si>
  <si>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</si>
  <si>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</si>
  <si>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</si>
  <si>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</si>
  <si>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8030</t>
  </si>
  <si>
    <t>Trespabelating reinigen</t>
  </si>
  <si>
    <t>8040</t>
  </si>
  <si>
    <t>Glazen bouwstenen reinigen</t>
  </si>
  <si>
    <t>8050</t>
  </si>
  <si>
    <t>Dakkoepels buitenzijde</t>
  </si>
  <si>
    <t>8060</t>
  </si>
  <si>
    <t>Dakkoepels binnenzijde</t>
  </si>
  <si>
    <t>8080</t>
  </si>
  <si>
    <t>Lichtstraat binnenzijde</t>
  </si>
  <si>
    <t>8090</t>
  </si>
  <si>
    <t>Lichtstraat buitenzijde</t>
  </si>
  <si>
    <t>Totaal glas excl. BTW</t>
  </si>
  <si>
    <t>Totaal 900 - Bureau Meerscholen, J.P. Sweelinckstraat 4, Amersfoort</t>
  </si>
  <si>
    <t>Soort werk</t>
  </si>
  <si>
    <t>Uren per jaar uitvoering</t>
  </si>
  <si>
    <t>Uren hoogfrequent per jaar uitvoering</t>
  </si>
  <si>
    <t>Bedrag per jaar excl. BTW (euro)</t>
  </si>
  <si>
    <t>Bedrag per jaar incl. BTW (euro)</t>
  </si>
  <si>
    <t xml:space="preserve">Regulier werk </t>
  </si>
  <si>
    <t>Additioneel werk</t>
  </si>
  <si>
    <t>Regie (geschat)</t>
  </si>
  <si>
    <t>Glas</t>
  </si>
  <si>
    <t>Totaal generaal</t>
  </si>
  <si>
    <t>WERK IN BUDGET</t>
  </si>
  <si>
    <t>VERGELIJKINGSPRIJS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</si>
</sst>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1" fillId="3" borderId="12" xfId="0" applyNumberFormat="1" applyFont="1" applyFill="1" applyBorder="1"/>
    <xf numFmtId="49" fontId="1" fillId="3" borderId="13" xfId="0" applyNumberFormat="1" applyFont="1" applyFill="1" applyBorder="1"/>
    <xf numFmtId="49" fontId="1" fillId="3" borderId="14" xfId="0" applyNumberFormat="1" applyFont="1" applyFill="1" applyBorder="1"/>
    <xf numFmtId="49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49" fontId="1" fillId="3" borderId="15" xfId="0" applyNumberFormat="1" applyFont="1" applyFill="1" applyBorder="1" applyAlignment="1">
      <alignment wrapText="1"/>
    </xf>
    <xf numFmtId="49" fontId="1" fillId="4" borderId="16" xfId="0" applyNumberFormat="1" applyFont="1" applyFill="1" applyBorder="1" applyAlignment="1">
      <alignment wrapText="1"/>
    </xf>
    <xf numFmtId="49" fontId="1" fillId="4" borderId="17" xfId="0" applyNumberFormat="1" applyFon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1" fillId="0" borderId="16" xfId="0" applyNumberFormat="1" applyFont="1" applyBorder="1" applyAlignment="1" applyProtection="1">
      <alignment wrapText="1"/>
      <protection locked="0"/>
    </xf>
    <xf numFmtId="49" fontId="1" fillId="0" borderId="17" xfId="0" applyNumberFormat="1" applyFont="1" applyBorder="1" applyAlignment="1" applyProtection="1">
      <alignment wrapText="1"/>
      <protection locked="0"/>
    </xf>
    <xf numFmtId="49" fontId="0" fillId="3" borderId="15" xfId="0" applyNumberFormat="1" applyFill="1" applyBorder="1"/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10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10" fontId="0" fillId="4" borderId="16" xfId="0" applyNumberFormat="1" applyFill="1" applyBorder="1" applyProtection="1">
      <protection locked="0"/>
    </xf>
    <xf numFmtId="49" fontId="1" fillId="3" borderId="18" xfId="0" applyNumberFormat="1" applyFont="1" applyFill="1" applyBorder="1"/>
    <xf numFmtId="10" fontId="0" fillId="4" borderId="19" xfId="0" applyNumberFormat="1" applyFill="1" applyBorder="1" applyProtection="1">
      <protection locked="0"/>
    </xf>
    <xf numFmtId="164" fontId="0" fillId="2" borderId="19" xfId="0" applyNumberFormat="1" applyFill="1" applyBorder="1"/>
    <xf numFmtId="164" fontId="0" fillId="2" borderId="20" xfId="0" applyNumberFormat="1" applyFill="1" applyBorder="1"/>
    <xf numFmtId="49" fontId="1" fillId="3" borderId="13" xfId="0" applyNumberFormat="1" applyFont="1" applyFill="1" applyBorder="1" applyAlignment="1">
      <alignment wrapText="1"/>
    </xf>
    <xf numFmtId="49" fontId="1" fillId="3" borderId="14" xfId="0" applyNumberFormat="1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10" fontId="0" fillId="2" borderId="16" xfId="0" applyNumberFormat="1" applyFill="1" applyBorder="1"/>
    <xf numFmtId="164" fontId="1" fillId="2" borderId="19" xfId="0" applyNumberFormat="1" applyFont="1" applyFill="1" applyBorder="1"/>
    <xf numFmtId="164" fontId="1" fillId="2" borderId="20" xfId="0" applyNumberFormat="1" applyFont="1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8" xfId="0" applyFill="1" applyBorder="1"/>
    <xf numFmtId="49" fontId="0" fillId="2" borderId="24" xfId="0" applyNumberFormat="1" applyFill="1" applyBorder="1"/>
    <xf numFmtId="1" fontId="0" fillId="2" borderId="24" xfId="0" applyNumberFormat="1" applyFill="1" applyBorder="1"/>
    <xf numFmtId="4" fontId="0" fillId="0" borderId="24" xfId="0" applyNumberFormat="1" applyBorder="1" applyProtection="1">
      <protection locked="0"/>
    </xf>
    <xf numFmtId="10" fontId="0" fillId="0" borderId="24" xfId="0" applyNumberFormat="1" applyBorder="1" applyProtection="1">
      <protection locked="0"/>
    </xf>
    <xf numFmtId="164" fontId="0" fillId="2" borderId="24" xfId="0" applyNumberFormat="1" applyFill="1" applyBorder="1"/>
    <xf numFmtId="49" fontId="0" fillId="2" borderId="25" xfId="0" applyNumberFormat="1" applyFill="1" applyBorder="1"/>
    <xf numFmtId="1" fontId="0" fillId="2" borderId="25" xfId="0" applyNumberFormat="1" applyFill="1" applyBorder="1"/>
    <xf numFmtId="4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164" fontId="0" fillId="2" borderId="25" xfId="0" applyNumberFormat="1" applyFill="1" applyBorder="1"/>
    <xf numFmtId="49" fontId="0" fillId="2" borderId="26" xfId="0" applyNumberFormat="1" applyFill="1" applyBorder="1"/>
    <xf numFmtId="1" fontId="0" fillId="2" borderId="26" xfId="0" applyNumberFormat="1" applyFill="1" applyBorder="1"/>
    <xf numFmtId="4" fontId="0" fillId="0" borderId="26" xfId="0" applyNumberFormat="1" applyBorder="1" applyProtection="1">
      <protection locked="0"/>
    </xf>
    <xf numFmtId="10" fontId="0" fillId="0" borderId="26" xfId="0" applyNumberFormat="1" applyBorder="1" applyProtection="1">
      <protection locked="0"/>
    </xf>
    <xf numFmtId="164" fontId="0" fillId="2" borderId="26" xfId="0" applyNumberFormat="1" applyFill="1" applyBorder="1"/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4" fontId="0" fillId="2" borderId="25" xfId="0" applyNumberFormat="1" applyFill="1" applyBorder="1"/>
    <xf numFmtId="165" fontId="0" fillId="2" borderId="25" xfId="0" applyNumberFormat="1" applyFill="1" applyBorder="1"/>
    <xf numFmtId="10" fontId="0" fillId="2" borderId="25" xfId="0" applyNumberFormat="1" applyFill="1" applyBorder="1"/>
    <xf numFmtId="4" fontId="0" fillId="2" borderId="26" xfId="0" applyNumberFormat="1" applyFill="1" applyBorder="1"/>
    <xf numFmtId="165" fontId="0" fillId="0" borderId="26" xfId="0" applyNumberFormat="1" applyBorder="1" applyProtection="1">
      <protection locked="0"/>
    </xf>
    <xf numFmtId="0" fontId="0" fillId="3" borderId="28" xfId="0" applyFill="1" applyBorder="1"/>
    <xf numFmtId="49" fontId="0" fillId="3" borderId="21" xfId="0" applyNumberFormat="1" applyFill="1" applyBorder="1"/>
    <xf numFmtId="0" fontId="0" fillId="3" borderId="22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27" xfId="0" applyNumberFormat="1" applyFill="1" applyBorder="1"/>
    <xf numFmtId="0" fontId="0" fillId="3" borderId="21" xfId="0" applyFill="1" applyBorder="1"/>
    <xf numFmtId="0" fontId="0" fillId="3" borderId="29" xfId="0" applyFill="1" applyBorder="1"/>
    <xf numFmtId="49" fontId="0" fillId="3" borderId="30" xfId="0" applyNumberFormat="1" applyFill="1" applyBorder="1" applyAlignment="1">
      <alignment wrapText="1"/>
    </xf>
    <xf numFmtId="49" fontId="0" fillId="3" borderId="27" xfId="0" applyNumberFormat="1" applyFill="1" applyBorder="1" applyAlignment="1">
      <alignment wrapText="1"/>
    </xf>
    <xf numFmtId="0" fontId="0" fillId="3" borderId="31" xfId="0" applyFill="1" applyBorder="1"/>
    <xf numFmtId="49" fontId="0" fillId="2" borderId="12" xfId="0" applyNumberFormat="1" applyFill="1" applyBorder="1"/>
    <xf numFmtId="49" fontId="0" fillId="2" borderId="13" xfId="0" applyNumberFormat="1" applyFill="1" applyBorder="1"/>
    <xf numFmtId="49" fontId="0" fillId="2" borderId="13" xfId="0" applyNumberFormat="1" applyFill="1" applyBorder="1" applyAlignment="1">
      <alignment wrapText="1"/>
    </xf>
    <xf numFmtId="4" fontId="0" fillId="2" borderId="13" xfId="0" applyNumberFormat="1" applyFill="1" applyBorder="1"/>
    <xf numFmtId="165" fontId="0" fillId="2" borderId="13" xfId="0" applyNumberFormat="1" applyFill="1" applyBorder="1"/>
    <xf numFmtId="10" fontId="0" fillId="2" borderId="13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6" xfId="0" applyNumberFormat="1" applyFill="1" applyBorder="1" applyAlignment="1">
      <alignment wrapText="1"/>
    </xf>
    <xf numFmtId="4" fontId="0" fillId="2" borderId="16" xfId="0" applyNumberFormat="1" applyFill="1" applyBorder="1"/>
    <xf numFmtId="165" fontId="0" fillId="2" borderId="16" xfId="0" applyNumberFormat="1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10" fontId="0" fillId="2" borderId="19" xfId="0" applyNumberFormat="1" applyFill="1" applyBorder="1"/>
    <xf numFmtId="49" fontId="0" fillId="3" borderId="32" xfId="0" applyNumberFormat="1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11" xfId="0" applyFill="1" applyBorder="1"/>
    <xf numFmtId="49" fontId="0" fillId="3" borderId="11" xfId="0" applyNumberFormat="1" applyFill="1" applyBorder="1"/>
    <xf numFmtId="10" fontId="0" fillId="2" borderId="26" xfId="0" applyNumberFormat="1" applyFill="1" applyBorder="1"/>
    <xf numFmtId="0" fontId="0" fillId="3" borderId="6" xfId="0" applyFill="1" applyBorder="1"/>
    <xf numFmtId="49" fontId="0" fillId="4" borderId="24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49" fontId="0" fillId="4" borderId="25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49" fontId="0" fillId="4" borderId="26" xfId="0" applyNumberFormat="1" applyFill="1" applyBorder="1" applyProtection="1">
      <protection locked="0"/>
    </xf>
    <xf numFmtId="164" fontId="0" fillId="4" borderId="26" xfId="0" applyNumberFormat="1" applyFill="1" applyBorder="1" applyProtection="1">
      <protection locked="0"/>
    </xf>
    <xf numFmtId="4" fontId="0" fillId="4" borderId="24" xfId="0" applyNumberFormat="1" applyFill="1" applyBorder="1"/>
    <xf numFmtId="164" fontId="0" fillId="2" borderId="24" xfId="0" applyNumberFormat="1" applyFill="1" applyBorder="1" applyProtection="1"/>
    <xf numFmtId="164" fontId="0" fillId="3" borderId="24" xfId="0" applyNumberFormat="1" applyFill="1" applyBorder="1" applyProtection="1"/>
    <xf numFmtId="4" fontId="0" fillId="4" borderId="26" xfId="0" applyNumberFormat="1" applyFill="1" applyBorder="1"/>
    <xf numFmtId="164" fontId="0" fillId="2" borderId="26" xfId="0" applyNumberFormat="1" applyFill="1" applyBorder="1" applyProtection="1"/>
    <xf numFmtId="164" fontId="0" fillId="3" borderId="26" xfId="0" applyNumberFormat="1" applyFill="1" applyBorder="1" applyProtection="1"/>
    <xf numFmtId="164" fontId="0" fillId="3" borderId="23" xfId="0" applyNumberFormat="1" applyFill="1" applyBorder="1"/>
    <xf numFmtId="0" fontId="0" fillId="3" borderId="21" xfId="0" applyFill="1" applyBorder="1" applyAlignment="1"/>
    <xf numFmtId="0" fontId="0" fillId="3" borderId="23" xfId="0" applyFill="1" applyBorder="1"/>
    <xf numFmtId="4" fontId="0" fillId="2" borderId="24" xfId="0" applyNumberFormat="1" applyFill="1" applyBorder="1" applyProtection="1"/>
    <xf numFmtId="4" fontId="0" fillId="2" borderId="26" xfId="0" applyNumberFormat="1" applyFill="1" applyBorder="1" applyProtection="1"/>
    <xf numFmtId="49" fontId="0" fillId="3" borderId="21" xfId="0" applyNumberFormat="1" applyFill="1" applyBorder="1" applyAlignment="1"/>
    <xf numFmtId="49" fontId="0" fillId="2" borderId="6" xfId="0" applyNumberFormat="1" applyFill="1" applyBorder="1"/>
    <xf numFmtId="1" fontId="0" fillId="2" borderId="6" xfId="0" applyNumberFormat="1" applyFill="1" applyBorder="1"/>
    <xf numFmtId="4" fontId="0" fillId="4" borderId="6" xfId="0" applyNumberFormat="1" applyFill="1" applyBorder="1"/>
    <xf numFmtId="164" fontId="0" fillId="2" borderId="6" xfId="0" applyNumberFormat="1" applyFill="1" applyBorder="1" applyProtection="1"/>
    <xf numFmtId="4" fontId="0" fillId="2" borderId="6" xfId="0" applyNumberFormat="1" applyFill="1" applyBorder="1" applyProtection="1"/>
    <xf numFmtId="164" fontId="0" fillId="3" borderId="6" xfId="0" applyNumberFormat="1" applyFill="1" applyBorder="1" applyProtection="1"/>
    <xf numFmtId="164" fontId="0" fillId="2" borderId="6" xfId="0" applyNumberFormat="1" applyFill="1" applyBorder="1"/>
    <xf numFmtId="164" fontId="0" fillId="0" borderId="24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4" fontId="0" fillId="3" borderId="24" xfId="0" applyNumberFormat="1" applyFill="1" applyBorder="1" applyProtection="1"/>
    <xf numFmtId="4" fontId="0" fillId="4" borderId="25" xfId="0" applyNumberFormat="1" applyFill="1" applyBorder="1"/>
    <xf numFmtId="164" fontId="0" fillId="2" borderId="25" xfId="0" applyNumberFormat="1" applyFill="1" applyBorder="1" applyProtection="1"/>
    <xf numFmtId="4" fontId="0" fillId="3" borderId="25" xfId="0" applyNumberFormat="1" applyFill="1" applyBorder="1" applyProtection="1"/>
    <xf numFmtId="4" fontId="0" fillId="3" borderId="26" xfId="0" applyNumberFormat="1" applyFill="1" applyBorder="1" applyProtection="1"/>
    <xf numFmtId="49" fontId="0" fillId="3" borderId="24" xfId="0" applyNumberFormat="1" applyFill="1" applyBorder="1" applyAlignment="1">
      <alignment wrapText="1"/>
    </xf>
    <xf numFmtId="49" fontId="0" fillId="3" borderId="25" xfId="0" applyNumberFormat="1" applyFill="1" applyBorder="1" applyAlignment="1">
      <alignment wrapText="1"/>
    </xf>
    <xf numFmtId="4" fontId="0" fillId="3" borderId="25" xfId="0" applyNumberFormat="1" applyFill="1" applyBorder="1"/>
    <xf numFmtId="49" fontId="0" fillId="3" borderId="26" xfId="0" applyNumberFormat="1" applyFill="1" applyBorder="1" applyAlignment="1">
      <alignment wrapText="1"/>
    </xf>
    <xf numFmtId="4" fontId="0" fillId="3" borderId="26" xfId="0" applyNumberFormat="1" applyFill="1" applyBorder="1"/>
    <xf numFmtId="49" fontId="1" fillId="3" borderId="6" xfId="0" applyNumberFormat="1" applyFont="1" applyFill="1" applyBorder="1"/>
    <xf numFmtId="164" fontId="1" fillId="2" borderId="6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A64C-92C3-4E49-AEEA-C310585617B2}">
  <dimension ref="A1:B30"/>
  <sheetViews>
    <sheetView workbookViewId="0"/>
  </sheetViews>
  <sheetFormatPr defaultRowHeight="14.4" x14ac:dyDescent="0.3"/>
  <sheetData>
    <row r="1" spans="1:2" x14ac:dyDescent="0.3">
      <c r="A1" s="1" t="s">
        <v>0</v>
      </c>
    </row>
    <row r="3" spans="1:2" x14ac:dyDescent="0.3">
      <c r="A3" t="s">
        <v>1</v>
      </c>
    </row>
    <row r="5" spans="1:2" x14ac:dyDescent="0.3">
      <c r="A5" t="s">
        <v>2</v>
      </c>
      <c r="B5" t="s">
        <v>3</v>
      </c>
    </row>
    <row r="7" spans="1:2" x14ac:dyDescent="0.3">
      <c r="A7" s="4" t="s">
        <v>4</v>
      </c>
      <c r="B7" s="5"/>
    </row>
    <row r="8" spans="1:2" x14ac:dyDescent="0.3">
      <c r="A8" s="2"/>
      <c r="B8" s="3"/>
    </row>
    <row r="9" spans="1:2" x14ac:dyDescent="0.3">
      <c r="A9" s="2" t="s">
        <v>5</v>
      </c>
      <c r="B9" s="3">
        <v>200</v>
      </c>
    </row>
    <row r="10" spans="1:2" x14ac:dyDescent="0.3">
      <c r="A10" s="2" t="s">
        <v>6</v>
      </c>
      <c r="B10" s="3">
        <v>5</v>
      </c>
    </row>
    <row r="11" spans="1:2" x14ac:dyDescent="0.3">
      <c r="A11" s="2"/>
      <c r="B11" s="3"/>
    </row>
    <row r="12" spans="1:2" x14ac:dyDescent="0.3">
      <c r="A12" s="2" t="s">
        <v>7</v>
      </c>
      <c r="B12" s="3" t="s">
        <v>8</v>
      </c>
    </row>
    <row r="13" spans="1:2" x14ac:dyDescent="0.3">
      <c r="A13" s="2" t="s">
        <v>9</v>
      </c>
      <c r="B13" s="3">
        <f>IF(A13="2½W",2.5/dagenperweek1,IF(RIGHT(A13,1)="W",VALUE(LEFT(A13,LEN(A13)-1))/dagenperweek1,IF(RIGHT(A13,1)="J",VALUE(LEFT(A13,LEN(A13)-1))/dagenperjaar1,IF(RIGHT(A13,1)="D",VALUE(LEFT(A13,LEN(A13)-1)),"handmatig!"))))</f>
        <v>2</v>
      </c>
    </row>
    <row r="14" spans="1:2" x14ac:dyDescent="0.3">
      <c r="A14" s="2" t="s">
        <v>10</v>
      </c>
      <c r="B14" s="3">
        <f>IF(A14="2½W",2.5/dagenperweek1,IF(RIGHT(A14,1)="W",VALUE(LEFT(A14,LEN(A14)-1))/dagenperweek1,IF(RIGHT(A14,1)="J",VALUE(LEFT(A14,LEN(A14)-1))/dagenperjaar1,IF(RIGHT(A14,1)="D",VALUE(LEFT(A14,LEN(A14)-1)),"handmatig!"))))</f>
        <v>1</v>
      </c>
    </row>
    <row r="15" spans="1:2" x14ac:dyDescent="0.3">
      <c r="A15" s="2" t="s">
        <v>11</v>
      </c>
      <c r="B15" s="3">
        <f>IF(A15="2½W",2.5/dagenperweek1,IF(RIGHT(A15,1)="W",VALUE(LEFT(A15,LEN(A15)-1))/dagenperweek1,IF(RIGHT(A15,1)="J",VALUE(LEFT(A15,LEN(A15)-1))/dagenperjaar1,IF(RIGHT(A15,1)="D",VALUE(LEFT(A15,LEN(A15)-1)),"handmatig!"))))</f>
        <v>1</v>
      </c>
    </row>
    <row r="16" spans="1:2" x14ac:dyDescent="0.3">
      <c r="A16" s="2" t="s">
        <v>12</v>
      </c>
      <c r="B16" s="3">
        <f>IF(A16="2½W",2.5/dagenperweek1,IF(RIGHT(A16,1)="W",VALUE(LEFT(A16,LEN(A16)-1))/dagenperweek1,IF(RIGHT(A16,1)="J",VALUE(LEFT(A16,LEN(A16)-1))/dagenperjaar1,IF(RIGHT(A16,1)="D",VALUE(LEFT(A16,LEN(A16)-1)),"handmatig!"))))</f>
        <v>0.8</v>
      </c>
    </row>
    <row r="17" spans="1:2" x14ac:dyDescent="0.3">
      <c r="A17" s="2" t="s">
        <v>13</v>
      </c>
      <c r="B17" s="3">
        <f>IF(A17="2½W",2.5/dagenperweek1,IF(RIGHT(A17,1)="W",VALUE(LEFT(A17,LEN(A17)-1))/dagenperweek1,IF(RIGHT(A17,1)="J",VALUE(LEFT(A17,LEN(A17)-1))/dagenperjaar1,IF(RIGHT(A17,1)="D",VALUE(LEFT(A17,LEN(A17)-1)),"handmatig!"))))</f>
        <v>0.63</v>
      </c>
    </row>
    <row r="18" spans="1:2" x14ac:dyDescent="0.3">
      <c r="A18" s="2" t="s">
        <v>14</v>
      </c>
      <c r="B18" s="3">
        <f>IF(A18="2½W",2.5/dagenperweek1,IF(RIGHT(A18,1)="W",VALUE(LEFT(A18,LEN(A18)-1))/dagenperweek1,IF(RIGHT(A18,1)="J",VALUE(LEFT(A18,LEN(A18)-1))/dagenperjaar1,IF(RIGHT(A18,1)="D",VALUE(LEFT(A18,LEN(A18)-1)),"handmatig!"))))</f>
        <v>0.6</v>
      </c>
    </row>
    <row r="19" spans="1:2" x14ac:dyDescent="0.3">
      <c r="A19" s="2" t="s">
        <v>15</v>
      </c>
      <c r="B19" s="3">
        <f>IF(A19="2½W",2.5/dagenperweek1,IF(RIGHT(A19,1)="W",VALUE(LEFT(A19,LEN(A19)-1))/dagenperweek1,IF(RIGHT(A19,1)="J",VALUE(LEFT(A19,LEN(A19)-1))/dagenperjaar1,IF(RIGHT(A19,1)="D",VALUE(LEFT(A19,LEN(A19)-1)),"handmatig!"))))</f>
        <v>0.4</v>
      </c>
    </row>
    <row r="20" spans="1:2" x14ac:dyDescent="0.3">
      <c r="A20" s="2" t="s">
        <v>16</v>
      </c>
      <c r="B20" s="3">
        <f>IF(A20="2½W",2.5/dagenperweek1,IF(RIGHT(A20,1)="W",VALUE(LEFT(A20,LEN(A20)-1))/dagenperweek1,IF(RIGHT(A20,1)="J",VALUE(LEFT(A20,LEN(A20)-1))/dagenperjaar1,IF(RIGHT(A20,1)="D",VALUE(LEFT(A20,LEN(A20)-1)),"handmatig!"))))</f>
        <v>0.4</v>
      </c>
    </row>
    <row r="21" spans="1:2" x14ac:dyDescent="0.3">
      <c r="A21" s="2" t="s">
        <v>17</v>
      </c>
      <c r="B21" s="3">
        <f>IF(A21="2½W",2.5/dagenperweek1,IF(RIGHT(A21,1)="W",VALUE(LEFT(A21,LEN(A21)-1))/dagenperweek1,IF(RIGHT(A21,1)="J",VALUE(LEFT(A21,LEN(A21)-1))/dagenperjaar1,IF(RIGHT(A21,1)="D",VALUE(LEFT(A21,LEN(A21)-1)),"handmatig!"))))</f>
        <v>0.2</v>
      </c>
    </row>
    <row r="22" spans="1:2" x14ac:dyDescent="0.3">
      <c r="A22" s="2" t="s">
        <v>18</v>
      </c>
      <c r="B22" s="3">
        <f>IF(A22="2½W",2.5/dagenperweek1,IF(RIGHT(A22,1)="W",VALUE(LEFT(A22,LEN(A22)-1))/dagenperweek1,IF(RIGHT(A22,1)="J",VALUE(LEFT(A22,LEN(A22)-1))/dagenperjaar1,IF(RIGHT(A22,1)="D",VALUE(LEFT(A22,LEN(A22)-1)),"handmatig!"))))</f>
        <v>0.2</v>
      </c>
    </row>
    <row r="23" spans="1:2" x14ac:dyDescent="0.3">
      <c r="A23" s="2" t="s">
        <v>19</v>
      </c>
      <c r="B23" s="3">
        <f>IF(A23="2½W",2.5/dagenperweek1,IF(RIGHT(A23,1)="W",VALUE(LEFT(A23,LEN(A23)-1))/dagenperweek1,IF(RIGHT(A23,1)="J",VALUE(LEFT(A23,LEN(A23)-1))/dagenperjaar1,IF(RIGHT(A23,1)="D",VALUE(LEFT(A23,LEN(A23)-1)),"handmatig!"))))</f>
        <v>0.13</v>
      </c>
    </row>
    <row r="24" spans="1:2" x14ac:dyDescent="0.3">
      <c r="A24" s="2" t="s">
        <v>20</v>
      </c>
      <c r="B24" s="3">
        <f>IF(A24="2½W",2.5/dagenperweek1,IF(RIGHT(A24,1)="W",VALUE(LEFT(A24,LEN(A24)-1))/dagenperweek1,IF(RIGHT(A24,1)="J",VALUE(LEFT(A24,LEN(A24)-1))/dagenperjaar1,IF(RIGHT(A24,1)="D",VALUE(LEFT(A24,LEN(A24)-1)),"handmatig!"))))</f>
        <v>0.06</v>
      </c>
    </row>
    <row r="25" spans="1:2" x14ac:dyDescent="0.3">
      <c r="A25" s="2" t="s">
        <v>21</v>
      </c>
      <c r="B25" s="3">
        <f>IF(A25="2½W",2.5/dagenperweek1,IF(RIGHT(A25,1)="W",VALUE(LEFT(A25,LEN(A25)-1))/dagenperweek1,IF(RIGHT(A25,1)="J",VALUE(LEFT(A25,LEN(A25)-1))/dagenperjaar1,IF(RIGHT(A25,1)="D",VALUE(LEFT(A25,LEN(A25)-1)),"handmatig!"))))</f>
        <v>0.05</v>
      </c>
    </row>
    <row r="26" spans="1:2" x14ac:dyDescent="0.3">
      <c r="A26" s="2" t="s">
        <v>22</v>
      </c>
      <c r="B26" s="3">
        <f>IF(A26="2½W",2.5/dagenperweek1,IF(RIGHT(A26,1)="W",VALUE(LEFT(A26,LEN(A26)-1))/dagenperweek1,IF(RIGHT(A26,1)="J",VALUE(LEFT(A26,LEN(A26)-1))/dagenperjaar1,IF(RIGHT(A26,1)="D",VALUE(LEFT(A26,LEN(A26)-1)),"handmatig!"))))</f>
        <v>0.03</v>
      </c>
    </row>
    <row r="27" spans="1:2" x14ac:dyDescent="0.3">
      <c r="A27" s="2" t="s">
        <v>23</v>
      </c>
      <c r="B27" s="3">
        <f>IF(A27="2½W",2.5/dagenperweek1,IF(RIGHT(A27,1)="W",VALUE(LEFT(A27,LEN(A27)-1))/dagenperweek1,IF(RIGHT(A27,1)="J",VALUE(LEFT(A27,LEN(A27)-1))/dagenperjaar1,IF(RIGHT(A27,1)="D",VALUE(LEFT(A27,LEN(A27)-1)),"handmatig!"))))</f>
        <v>0.02</v>
      </c>
    </row>
    <row r="28" spans="1:2" x14ac:dyDescent="0.3">
      <c r="A28" s="2" t="s">
        <v>24</v>
      </c>
      <c r="B28" s="3">
        <f>IF(A28="2½W",2.5/dagenperweek1,IF(RIGHT(A28,1)="W",VALUE(LEFT(A28,LEN(A28)-1))/dagenperweek1,IF(RIGHT(A28,1)="J",VALUE(LEFT(A28,LEN(A28)-1))/dagenperjaar1,IF(RIGHT(A28,1)="D",VALUE(LEFT(A28,LEN(A28)-1)),"handmatig!"))))</f>
        <v>1.4999999999999999E-2</v>
      </c>
    </row>
    <row r="29" spans="1:2" x14ac:dyDescent="0.3">
      <c r="A29" s="2" t="s">
        <v>25</v>
      </c>
      <c r="B29" s="3">
        <f>IF(A29="2½W",2.5/dagenperweek1,IF(RIGHT(A29,1)="W",VALUE(LEFT(A29,LEN(A29)-1))/dagenperweek1,IF(RIGHT(A29,1)="J",VALUE(LEFT(A29,LEN(A29)-1))/dagenperjaar1,IF(RIGHT(A29,1)="D",VALUE(LEFT(A29,LEN(A29)-1)),"handmatig!"))))</f>
        <v>0.01</v>
      </c>
    </row>
    <row r="30" spans="1:2" x14ac:dyDescent="0.3">
      <c r="A30" s="6" t="s">
        <v>26</v>
      </c>
      <c r="B30" s="7">
        <f>IF(A30="2½W",2.5/dagenperweek1,IF(RIGHT(A30,1)="W",VALUE(LEFT(A30,LEN(A30)-1))/dagenperweek1,IF(RIGHT(A30,1)="J",VALUE(LEFT(A30,LEN(A30)-1))/dagenperjaar1,IF(RIGHT(A30,1)="D",VALUE(LEFT(A30,LEN(A30)-1)),"handmatig!"))))</f>
        <v>5.0000000000000001E-3</v>
      </c>
    </row>
  </sheetData>
  <sheetProtection algorithmName="SHA-512" hashValue="5PTKuo0klYUr0A01KrMNRtL6nUeTQ3ond4j402EJZQBgTSfyFQ8eTUuVCANPFGyfvO5a+lSiSVmRSZ0dBYQ/CA==" saltValue="5k9H4gaEt6zMqdFFfbxURQ==" spinCount="100000" sheet="1" objects="1" scenarios="1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F52C-E332-4510-8CC7-563730C4F38A}">
  <dimension ref="A1:M30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11.77734375" customWidth="1"/>
    <col min="5" max="5" width="50.77734375" customWidth="1"/>
    <col min="6" max="7" width="14.77734375" customWidth="1"/>
    <col min="8" max="10" width="11.77734375" customWidth="1"/>
    <col min="11" max="11" width="12.77734375" customWidth="1"/>
    <col min="12" max="12" width="14.77734375" customWidth="1"/>
    <col min="13" max="13" width="13.77734375" customWidth="1"/>
  </cols>
  <sheetData>
    <row r="1" spans="1:13" x14ac:dyDescent="0.3">
      <c r="A1" s="1" t="str">
        <f>CONCATENATE("Bijlage F.7: ",tabeltype," additioneel werk per locatie")</f>
        <v>Bijlage F.7: Invultabel additioneel werk per locatie</v>
      </c>
    </row>
    <row r="3" spans="1:13" ht="43.2" x14ac:dyDescent="0.3">
      <c r="A3" s="44" t="s">
        <v>1099</v>
      </c>
      <c r="B3" s="44" t="s">
        <v>7</v>
      </c>
      <c r="C3" s="44" t="s">
        <v>1100</v>
      </c>
      <c r="D3" s="44" t="s">
        <v>1049</v>
      </c>
      <c r="E3" s="44" t="s">
        <v>97</v>
      </c>
      <c r="F3" s="44" t="s">
        <v>100</v>
      </c>
      <c r="G3" s="44" t="s">
        <v>1101</v>
      </c>
      <c r="H3" s="44" t="s">
        <v>1102</v>
      </c>
      <c r="I3" s="44" t="s">
        <v>1103</v>
      </c>
      <c r="J3" s="44" t="s">
        <v>1104</v>
      </c>
      <c r="K3" s="44" t="s">
        <v>1105</v>
      </c>
      <c r="L3" s="44" t="s">
        <v>217</v>
      </c>
      <c r="M3" s="44" t="s">
        <v>1077</v>
      </c>
    </row>
    <row r="5" spans="1:13" x14ac:dyDescent="0.3">
      <c r="A5" s="124" t="s">
        <v>287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25"/>
    </row>
    <row r="6" spans="1:13" x14ac:dyDescent="0.3">
      <c r="A6" s="51" t="s">
        <v>1106</v>
      </c>
      <c r="B6" s="51" t="s">
        <v>26</v>
      </c>
      <c r="C6" s="52">
        <f>IF(ISBLANK(B6),0,IF(ISERROR(VALUE(B6)),VLOOKUP(B6,dagsoorttabel1,2,FALSE)*dagenperjaar1,VALUE(B6)))</f>
        <v>1</v>
      </c>
      <c r="D6" s="51" t="s">
        <v>1063</v>
      </c>
      <c r="E6" s="51" t="s">
        <v>1107</v>
      </c>
      <c r="F6" s="51" t="s">
        <v>1108</v>
      </c>
      <c r="G6" s="117">
        <v>3170.2</v>
      </c>
      <c r="H6" s="118">
        <f>'Additioneel werk'!G6</f>
        <v>0</v>
      </c>
      <c r="I6" s="126">
        <f>'Additioneel werk'!H6</f>
        <v>0</v>
      </c>
      <c r="J6" s="119"/>
      <c r="K6" s="55" t="e">
        <f>IF(ISBLANK(I6),0,G6 / I6 * H6)</f>
        <v>#DIV/0!</v>
      </c>
      <c r="L6" s="55" t="e">
        <f>C6*K6</f>
        <v>#DIV/0!</v>
      </c>
      <c r="M6" s="55" t="e">
        <f>L6/12</f>
        <v>#DIV/0!</v>
      </c>
    </row>
    <row r="7" spans="1:13" x14ac:dyDescent="0.3">
      <c r="A7" s="61" t="s">
        <v>1109</v>
      </c>
      <c r="B7" s="61" t="s">
        <v>25</v>
      </c>
      <c r="C7" s="62">
        <f>IF(ISBLANK(B7),0,IF(ISERROR(VALUE(B7)),VLOOKUP(B7,dagsoorttabel1,2,FALSE)*dagenperjaar1,VALUE(B7)))</f>
        <v>2</v>
      </c>
      <c r="D7" s="61" t="s">
        <v>1063</v>
      </c>
      <c r="E7" s="61" t="s">
        <v>1110</v>
      </c>
      <c r="F7" s="61" t="s">
        <v>1108</v>
      </c>
      <c r="G7" s="120">
        <v>504</v>
      </c>
      <c r="H7" s="121">
        <f>'Additioneel werk'!G7</f>
        <v>0</v>
      </c>
      <c r="I7" s="127">
        <f>'Additioneel werk'!H7</f>
        <v>0</v>
      </c>
      <c r="J7" s="122"/>
      <c r="K7" s="65" t="e">
        <f>IF(ISBLANK(I7),0,G7 / I7 * H7)</f>
        <v>#DIV/0!</v>
      </c>
      <c r="L7" s="65" t="e">
        <f>C7*K7</f>
        <v>#DIV/0!</v>
      </c>
      <c r="M7" s="65" t="e">
        <f>L7/12</f>
        <v>#DIV/0!</v>
      </c>
    </row>
    <row r="8" spans="1:13" x14ac:dyDescent="0.3">
      <c r="A8" s="128" t="s">
        <v>1112</v>
      </c>
      <c r="B8" s="76"/>
      <c r="C8" s="76"/>
      <c r="D8" s="76"/>
      <c r="E8" s="76"/>
      <c r="F8" s="76"/>
      <c r="G8" s="76"/>
      <c r="H8" s="76"/>
      <c r="I8" s="76"/>
      <c r="J8" s="76"/>
      <c r="K8" s="78" t="e">
        <f>SUM(K6:K7)</f>
        <v>#DIV/0!</v>
      </c>
      <c r="L8" s="78" t="e">
        <f>SUM(L6:L7)</f>
        <v>#DIV/0!</v>
      </c>
      <c r="M8" s="123" t="e">
        <f>L8/12</f>
        <v>#DIV/0!</v>
      </c>
    </row>
    <row r="10" spans="1:13" x14ac:dyDescent="0.3">
      <c r="A10" s="124" t="s">
        <v>511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125"/>
    </row>
    <row r="11" spans="1:13" x14ac:dyDescent="0.3">
      <c r="A11" s="51" t="s">
        <v>1106</v>
      </c>
      <c r="B11" s="51" t="s">
        <v>26</v>
      </c>
      <c r="C11" s="52">
        <f>IF(ISBLANK(B11),0,IF(ISERROR(VALUE(B11)),VLOOKUP(B11,dagsoorttabel1,2,FALSE)*dagenperjaar1,VALUE(B11)))</f>
        <v>1</v>
      </c>
      <c r="D11" s="51" t="s">
        <v>1063</v>
      </c>
      <c r="E11" s="51" t="s">
        <v>1107</v>
      </c>
      <c r="F11" s="51" t="s">
        <v>1108</v>
      </c>
      <c r="G11" s="117">
        <v>2274.02</v>
      </c>
      <c r="H11" s="118">
        <f>'Additioneel werk'!G6</f>
        <v>0</v>
      </c>
      <c r="I11" s="126">
        <f>'Additioneel werk'!H6</f>
        <v>0</v>
      </c>
      <c r="J11" s="119"/>
      <c r="K11" s="55" t="e">
        <f>IF(ISBLANK(I11),0,G11 / I11 * H11)</f>
        <v>#DIV/0!</v>
      </c>
      <c r="L11" s="55" t="e">
        <f>C11*K11</f>
        <v>#DIV/0!</v>
      </c>
      <c r="M11" s="55" t="e">
        <f>L11/12</f>
        <v>#DIV/0!</v>
      </c>
    </row>
    <row r="12" spans="1:13" x14ac:dyDescent="0.3">
      <c r="A12" s="61" t="s">
        <v>1109</v>
      </c>
      <c r="B12" s="61" t="s">
        <v>25</v>
      </c>
      <c r="C12" s="62">
        <f>IF(ISBLANK(B12),0,IF(ISERROR(VALUE(B12)),VLOOKUP(B12,dagsoorttabel1,2,FALSE)*dagenperjaar1,VALUE(B12)))</f>
        <v>2</v>
      </c>
      <c r="D12" s="61" t="s">
        <v>1063</v>
      </c>
      <c r="E12" s="61" t="s">
        <v>1110</v>
      </c>
      <c r="F12" s="61" t="s">
        <v>1108</v>
      </c>
      <c r="G12" s="120">
        <v>282</v>
      </c>
      <c r="H12" s="121">
        <f>'Additioneel werk'!G7</f>
        <v>0</v>
      </c>
      <c r="I12" s="127">
        <f>'Additioneel werk'!H7</f>
        <v>0</v>
      </c>
      <c r="J12" s="122"/>
      <c r="K12" s="65" t="e">
        <f>IF(ISBLANK(I12),0,G12 / I12 * H12)</f>
        <v>#DIV/0!</v>
      </c>
      <c r="L12" s="65" t="e">
        <f>C12*K12</f>
        <v>#DIV/0!</v>
      </c>
      <c r="M12" s="65" t="e">
        <f>L12/12</f>
        <v>#DIV/0!</v>
      </c>
    </row>
    <row r="13" spans="1:13" x14ac:dyDescent="0.3">
      <c r="A13" s="128" t="s">
        <v>1113</v>
      </c>
      <c r="B13" s="76"/>
      <c r="C13" s="76"/>
      <c r="D13" s="76"/>
      <c r="E13" s="76"/>
      <c r="F13" s="76"/>
      <c r="G13" s="76"/>
      <c r="H13" s="76"/>
      <c r="I13" s="76"/>
      <c r="J13" s="76"/>
      <c r="K13" s="78" t="e">
        <f>SUM(K11:K12)</f>
        <v>#DIV/0!</v>
      </c>
      <c r="L13" s="78" t="e">
        <f>SUM(L11:L12)</f>
        <v>#DIV/0!</v>
      </c>
      <c r="M13" s="123" t="e">
        <f>L13/12</f>
        <v>#DIV/0!</v>
      </c>
    </row>
    <row r="15" spans="1:13" x14ac:dyDescent="0.3">
      <c r="A15" s="124" t="s">
        <v>602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125"/>
    </row>
    <row r="16" spans="1:13" x14ac:dyDescent="0.3">
      <c r="A16" s="129" t="s">
        <v>1106</v>
      </c>
      <c r="B16" s="129" t="s">
        <v>26</v>
      </c>
      <c r="C16" s="130">
        <f>IF(ISBLANK(B16),0,IF(ISERROR(VALUE(B16)),VLOOKUP(B16,dagsoorttabel1,2,FALSE)*dagenperjaar1,VALUE(B16)))</f>
        <v>1</v>
      </c>
      <c r="D16" s="129" t="s">
        <v>1063</v>
      </c>
      <c r="E16" s="129" t="s">
        <v>1107</v>
      </c>
      <c r="F16" s="129" t="s">
        <v>1108</v>
      </c>
      <c r="G16" s="131">
        <v>654</v>
      </c>
      <c r="H16" s="132">
        <f>'Additioneel werk'!G6</f>
        <v>0</v>
      </c>
      <c r="I16" s="133">
        <f>'Additioneel werk'!H6</f>
        <v>0</v>
      </c>
      <c r="J16" s="134"/>
      <c r="K16" s="135" t="e">
        <f>IF(ISBLANK(I16),0,G16 / I16 * H16)</f>
        <v>#DIV/0!</v>
      </c>
      <c r="L16" s="135" t="e">
        <f>C16*K16</f>
        <v>#DIV/0!</v>
      </c>
      <c r="M16" s="135" t="e">
        <f>L16/12</f>
        <v>#DIV/0!</v>
      </c>
    </row>
    <row r="17" spans="1:13" x14ac:dyDescent="0.3">
      <c r="A17" s="128" t="s">
        <v>1114</v>
      </c>
      <c r="B17" s="76"/>
      <c r="C17" s="76"/>
      <c r="D17" s="76"/>
      <c r="E17" s="76"/>
      <c r="F17" s="76"/>
      <c r="G17" s="76"/>
      <c r="H17" s="76"/>
      <c r="I17" s="76"/>
      <c r="J17" s="76"/>
      <c r="K17" s="78" t="e">
        <f>SUM(K16:K16)</f>
        <v>#DIV/0!</v>
      </c>
      <c r="L17" s="78" t="e">
        <f>SUM(L16:L16)</f>
        <v>#DIV/0!</v>
      </c>
      <c r="M17" s="123" t="e">
        <f>L17/12</f>
        <v>#DIV/0!</v>
      </c>
    </row>
    <row r="19" spans="1:13" x14ac:dyDescent="0.3">
      <c r="A19" s="124" t="s">
        <v>629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125"/>
    </row>
    <row r="20" spans="1:13" x14ac:dyDescent="0.3">
      <c r="A20" s="129" t="s">
        <v>1109</v>
      </c>
      <c r="B20" s="129" t="s">
        <v>25</v>
      </c>
      <c r="C20" s="130">
        <f>IF(ISBLANK(B20),0,IF(ISERROR(VALUE(B20)),VLOOKUP(B20,dagsoorttabel1,2,FALSE)*dagenperjaar1,VALUE(B20)))</f>
        <v>2</v>
      </c>
      <c r="D20" s="129" t="s">
        <v>1063</v>
      </c>
      <c r="E20" s="129" t="s">
        <v>1110</v>
      </c>
      <c r="F20" s="129" t="s">
        <v>1108</v>
      </c>
      <c r="G20" s="131">
        <v>504</v>
      </c>
      <c r="H20" s="132">
        <f>'Additioneel werk'!G7</f>
        <v>0</v>
      </c>
      <c r="I20" s="133">
        <f>'Additioneel werk'!H7</f>
        <v>0</v>
      </c>
      <c r="J20" s="134"/>
      <c r="K20" s="135" t="e">
        <f>IF(ISBLANK(I20),0,G20 / I20 * H20)</f>
        <v>#DIV/0!</v>
      </c>
      <c r="L20" s="135" t="e">
        <f>C20*K20</f>
        <v>#DIV/0!</v>
      </c>
      <c r="M20" s="135" t="e">
        <f>L20/12</f>
        <v>#DIV/0!</v>
      </c>
    </row>
    <row r="21" spans="1:13" x14ac:dyDescent="0.3">
      <c r="A21" s="128" t="s">
        <v>1115</v>
      </c>
      <c r="B21" s="76"/>
      <c r="C21" s="76"/>
      <c r="D21" s="76"/>
      <c r="E21" s="76"/>
      <c r="F21" s="76"/>
      <c r="G21" s="76"/>
      <c r="H21" s="76"/>
      <c r="I21" s="76"/>
      <c r="J21" s="76"/>
      <c r="K21" s="78" t="e">
        <f>SUM(K20:K20)</f>
        <v>#DIV/0!</v>
      </c>
      <c r="L21" s="78" t="e">
        <f>SUM(L20:L20)</f>
        <v>#DIV/0!</v>
      </c>
      <c r="M21" s="123" t="e">
        <f>L21/12</f>
        <v>#DIV/0!</v>
      </c>
    </row>
    <row r="23" spans="1:13" x14ac:dyDescent="0.3">
      <c r="A23" s="124" t="s">
        <v>752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125"/>
    </row>
    <row r="24" spans="1:13" x14ac:dyDescent="0.3">
      <c r="A24" s="129" t="s">
        <v>1109</v>
      </c>
      <c r="B24" s="129" t="s">
        <v>25</v>
      </c>
      <c r="C24" s="130">
        <f>IF(ISBLANK(B24),0,IF(ISERROR(VALUE(B24)),VLOOKUP(B24,dagsoorttabel1,2,FALSE)*dagenperjaar1,VALUE(B24)))</f>
        <v>2</v>
      </c>
      <c r="D24" s="129" t="s">
        <v>1063</v>
      </c>
      <c r="E24" s="129" t="s">
        <v>1110</v>
      </c>
      <c r="F24" s="129" t="s">
        <v>1108</v>
      </c>
      <c r="G24" s="131">
        <v>1080.5999999999999</v>
      </c>
      <c r="H24" s="132">
        <f>'Additioneel werk'!G7</f>
        <v>0</v>
      </c>
      <c r="I24" s="133">
        <f>'Additioneel werk'!H7</f>
        <v>0</v>
      </c>
      <c r="J24" s="134"/>
      <c r="K24" s="135" t="e">
        <f>IF(ISBLANK(I24),0,G24 / I24 * H24)</f>
        <v>#DIV/0!</v>
      </c>
      <c r="L24" s="135" t="e">
        <f>C24*K24</f>
        <v>#DIV/0!</v>
      </c>
      <c r="M24" s="135" t="e">
        <f>L24/12</f>
        <v>#DIV/0!</v>
      </c>
    </row>
    <row r="25" spans="1:13" x14ac:dyDescent="0.3">
      <c r="A25" s="128" t="s">
        <v>1116</v>
      </c>
      <c r="B25" s="76"/>
      <c r="C25" s="76"/>
      <c r="D25" s="76"/>
      <c r="E25" s="76"/>
      <c r="F25" s="76"/>
      <c r="G25" s="76"/>
      <c r="H25" s="76"/>
      <c r="I25" s="76"/>
      <c r="J25" s="76"/>
      <c r="K25" s="78" t="e">
        <f>SUM(K24:K24)</f>
        <v>#DIV/0!</v>
      </c>
      <c r="L25" s="78" t="e">
        <f>SUM(L24:L24)</f>
        <v>#DIV/0!</v>
      </c>
      <c r="M25" s="123" t="e">
        <f>L25/12</f>
        <v>#DIV/0!</v>
      </c>
    </row>
    <row r="27" spans="1:13" x14ac:dyDescent="0.3">
      <c r="A27" s="124" t="s">
        <v>985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125"/>
    </row>
    <row r="28" spans="1:13" x14ac:dyDescent="0.3">
      <c r="A28" s="51" t="s">
        <v>1106</v>
      </c>
      <c r="B28" s="51" t="s">
        <v>26</v>
      </c>
      <c r="C28" s="52">
        <f>IF(ISBLANK(B28),0,IF(ISERROR(VALUE(B28)),VLOOKUP(B28,dagsoorttabel1,2,FALSE)*dagenperjaar1,VALUE(B28)))</f>
        <v>1</v>
      </c>
      <c r="D28" s="51" t="s">
        <v>1063</v>
      </c>
      <c r="E28" s="51" t="s">
        <v>1107</v>
      </c>
      <c r="F28" s="51" t="s">
        <v>1108</v>
      </c>
      <c r="G28" s="117">
        <v>939.55</v>
      </c>
      <c r="H28" s="118">
        <f>'Additioneel werk'!G6</f>
        <v>0</v>
      </c>
      <c r="I28" s="126">
        <f>'Additioneel werk'!H6</f>
        <v>0</v>
      </c>
      <c r="J28" s="119"/>
      <c r="K28" s="55" t="e">
        <f>IF(ISBLANK(I28),0,G28 / I28 * H28)</f>
        <v>#DIV/0!</v>
      </c>
      <c r="L28" s="55" t="e">
        <f>C28*K28</f>
        <v>#DIV/0!</v>
      </c>
      <c r="M28" s="55" t="e">
        <f>L28/12</f>
        <v>#DIV/0!</v>
      </c>
    </row>
    <row r="29" spans="1:13" x14ac:dyDescent="0.3">
      <c r="A29" s="61" t="s">
        <v>1109</v>
      </c>
      <c r="B29" s="61" t="s">
        <v>25</v>
      </c>
      <c r="C29" s="62">
        <f>IF(ISBLANK(B29),0,IF(ISERROR(VALUE(B29)),VLOOKUP(B29,dagsoorttabel1,2,FALSE)*dagenperjaar1,VALUE(B29)))</f>
        <v>2</v>
      </c>
      <c r="D29" s="61" t="s">
        <v>1063</v>
      </c>
      <c r="E29" s="61" t="s">
        <v>1110</v>
      </c>
      <c r="F29" s="61" t="s">
        <v>1108</v>
      </c>
      <c r="G29" s="120">
        <v>342.3</v>
      </c>
      <c r="H29" s="121">
        <f>'Additioneel werk'!G7</f>
        <v>0</v>
      </c>
      <c r="I29" s="127">
        <f>'Additioneel werk'!H7</f>
        <v>0</v>
      </c>
      <c r="J29" s="122"/>
      <c r="K29" s="65" t="e">
        <f>IF(ISBLANK(I29),0,G29 / I29 * H29)</f>
        <v>#DIV/0!</v>
      </c>
      <c r="L29" s="65" t="e">
        <f>C29*K29</f>
        <v>#DIV/0!</v>
      </c>
      <c r="M29" s="65" t="e">
        <f>L29/12</f>
        <v>#DIV/0!</v>
      </c>
    </row>
    <row r="30" spans="1:13" x14ac:dyDescent="0.3">
      <c r="A30" s="128" t="s">
        <v>1117</v>
      </c>
      <c r="B30" s="76"/>
      <c r="C30" s="76"/>
      <c r="D30" s="76"/>
      <c r="E30" s="76"/>
      <c r="F30" s="76"/>
      <c r="G30" s="76"/>
      <c r="H30" s="76"/>
      <c r="I30" s="76"/>
      <c r="J30" s="76"/>
      <c r="K30" s="78" t="e">
        <f>SUM(K28:K29)</f>
        <v>#DIV/0!</v>
      </c>
      <c r="L30" s="78" t="e">
        <f>SUM(L28:L29)</f>
        <v>#DIV/0!</v>
      </c>
      <c r="M30" s="123" t="e">
        <f>L30/12</f>
        <v>#DIV/0!</v>
      </c>
    </row>
  </sheetData>
  <sheetProtection algorithmName="SHA-512" hashValue="N/mM3crGt+5dGLBjNdUoey3g6U56P939pGJ8j56ZG3MMrgOCYcSPL7sqO96oaNeYBMgs81wRxIL9PhlpLY6/NQ==" saltValue="mW8FPbFOB0l/wuDoWf4e+Q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A45D-5673-4349-A85F-B07D7B32C6F3}">
  <dimension ref="A1:E94"/>
  <sheetViews>
    <sheetView workbookViewId="0"/>
  </sheetViews>
  <sheetFormatPr defaultRowHeight="14.4" x14ac:dyDescent="0.3"/>
  <cols>
    <col min="1" max="1" width="7.77734375" customWidth="1"/>
    <col min="2" max="2" width="40.77734375" customWidth="1"/>
    <col min="3" max="3" width="18.77734375" customWidth="1"/>
    <col min="4" max="4" width="20.77734375" customWidth="1"/>
    <col min="5" max="5" width="15.77734375" customWidth="1"/>
  </cols>
  <sheetData>
    <row r="1" spans="1:5" x14ac:dyDescent="0.3">
      <c r="A1" s="1" t="str">
        <f>CONCATENATE("Bijlage F.8: ",tabeltype," afroep incidenteel")</f>
        <v>Bijlage F.8: Invultabel afroep incidenteel</v>
      </c>
    </row>
    <row r="3" spans="1:5" ht="43.2" x14ac:dyDescent="0.3">
      <c r="A3" s="44" t="s">
        <v>1099</v>
      </c>
      <c r="B3" s="44" t="s">
        <v>97</v>
      </c>
      <c r="C3" s="44" t="s">
        <v>100</v>
      </c>
      <c r="D3" s="44" t="s">
        <v>1118</v>
      </c>
      <c r="E3" s="44" t="s">
        <v>1104</v>
      </c>
    </row>
    <row r="4" spans="1:5" x14ac:dyDescent="0.3">
      <c r="A4" s="45"/>
      <c r="B4" s="46"/>
      <c r="C4" s="46"/>
      <c r="D4" s="46"/>
      <c r="E4" s="47"/>
    </row>
    <row r="5" spans="1:5" x14ac:dyDescent="0.3">
      <c r="A5" s="48" t="s">
        <v>102</v>
      </c>
      <c r="B5" s="49"/>
      <c r="C5" s="49"/>
      <c r="D5" s="49"/>
      <c r="E5" s="50"/>
    </row>
    <row r="6" spans="1:5" x14ac:dyDescent="0.3">
      <c r="A6" s="51" t="s">
        <v>1119</v>
      </c>
      <c r="B6" s="51" t="s">
        <v>1120</v>
      </c>
      <c r="C6" s="51" t="s">
        <v>1121</v>
      </c>
      <c r="D6" s="51" t="s">
        <v>1122</v>
      </c>
      <c r="E6" s="136"/>
    </row>
    <row r="7" spans="1:5" x14ac:dyDescent="0.3">
      <c r="A7" s="56" t="s">
        <v>1123</v>
      </c>
      <c r="B7" s="56" t="s">
        <v>1120</v>
      </c>
      <c r="C7" s="56" t="s">
        <v>1121</v>
      </c>
      <c r="D7" s="56" t="s">
        <v>1124</v>
      </c>
      <c r="E7" s="137"/>
    </row>
    <row r="8" spans="1:5" x14ac:dyDescent="0.3">
      <c r="A8" s="56" t="s">
        <v>1125</v>
      </c>
      <c r="B8" s="56" t="s">
        <v>1120</v>
      </c>
      <c r="C8" s="56" t="s">
        <v>1121</v>
      </c>
      <c r="D8" s="56" t="s">
        <v>1126</v>
      </c>
      <c r="E8" s="137"/>
    </row>
    <row r="9" spans="1:5" x14ac:dyDescent="0.3">
      <c r="A9" s="56" t="s">
        <v>1127</v>
      </c>
      <c r="B9" s="56" t="s">
        <v>1120</v>
      </c>
      <c r="C9" s="56" t="s">
        <v>1121</v>
      </c>
      <c r="D9" s="56" t="s">
        <v>1128</v>
      </c>
      <c r="E9" s="137"/>
    </row>
    <row r="10" spans="1:5" x14ac:dyDescent="0.3">
      <c r="A10" s="56" t="s">
        <v>1129</v>
      </c>
      <c r="B10" s="56" t="s">
        <v>1130</v>
      </c>
      <c r="C10" s="56" t="s">
        <v>1121</v>
      </c>
      <c r="D10" s="56" t="s">
        <v>1122</v>
      </c>
      <c r="E10" s="137"/>
    </row>
    <row r="11" spans="1:5" x14ac:dyDescent="0.3">
      <c r="A11" s="56" t="s">
        <v>1131</v>
      </c>
      <c r="B11" s="56" t="s">
        <v>1130</v>
      </c>
      <c r="C11" s="56" t="s">
        <v>1121</v>
      </c>
      <c r="D11" s="56" t="s">
        <v>1124</v>
      </c>
      <c r="E11" s="137"/>
    </row>
    <row r="12" spans="1:5" x14ac:dyDescent="0.3">
      <c r="A12" s="56" t="s">
        <v>1132</v>
      </c>
      <c r="B12" s="56" t="s">
        <v>1130</v>
      </c>
      <c r="C12" s="56" t="s">
        <v>1121</v>
      </c>
      <c r="D12" s="56" t="s">
        <v>1126</v>
      </c>
      <c r="E12" s="137"/>
    </row>
    <row r="13" spans="1:5" x14ac:dyDescent="0.3">
      <c r="A13" s="56" t="s">
        <v>1133</v>
      </c>
      <c r="B13" s="56" t="s">
        <v>1130</v>
      </c>
      <c r="C13" s="56" t="s">
        <v>1121</v>
      </c>
      <c r="D13" s="56" t="s">
        <v>1128</v>
      </c>
      <c r="E13" s="137"/>
    </row>
    <row r="14" spans="1:5" x14ac:dyDescent="0.3">
      <c r="A14" s="56" t="s">
        <v>1134</v>
      </c>
      <c r="B14" s="56" t="s">
        <v>1135</v>
      </c>
      <c r="C14" s="56" t="s">
        <v>1121</v>
      </c>
      <c r="D14" s="56" t="s">
        <v>1122</v>
      </c>
      <c r="E14" s="137"/>
    </row>
    <row r="15" spans="1:5" x14ac:dyDescent="0.3">
      <c r="A15" s="56" t="s">
        <v>1136</v>
      </c>
      <c r="B15" s="56" t="s">
        <v>1135</v>
      </c>
      <c r="C15" s="56" t="s">
        <v>1121</v>
      </c>
      <c r="D15" s="56" t="s">
        <v>1124</v>
      </c>
      <c r="E15" s="137"/>
    </row>
    <row r="16" spans="1:5" x14ac:dyDescent="0.3">
      <c r="A16" s="56" t="s">
        <v>1137</v>
      </c>
      <c r="B16" s="56" t="s">
        <v>1135</v>
      </c>
      <c r="C16" s="56" t="s">
        <v>1121</v>
      </c>
      <c r="D16" s="56" t="s">
        <v>1126</v>
      </c>
      <c r="E16" s="137"/>
    </row>
    <row r="17" spans="1:5" x14ac:dyDescent="0.3">
      <c r="A17" s="56" t="s">
        <v>1138</v>
      </c>
      <c r="B17" s="56" t="s">
        <v>1135</v>
      </c>
      <c r="C17" s="56" t="s">
        <v>1121</v>
      </c>
      <c r="D17" s="56" t="s">
        <v>1128</v>
      </c>
      <c r="E17" s="137"/>
    </row>
    <row r="18" spans="1:5" x14ac:dyDescent="0.3">
      <c r="A18" s="56" t="s">
        <v>1139</v>
      </c>
      <c r="B18" s="56" t="s">
        <v>1140</v>
      </c>
      <c r="C18" s="56" t="s">
        <v>1141</v>
      </c>
      <c r="D18" s="56" t="s">
        <v>1142</v>
      </c>
      <c r="E18" s="137"/>
    </row>
    <row r="19" spans="1:5" x14ac:dyDescent="0.3">
      <c r="A19" s="56" t="s">
        <v>1143</v>
      </c>
      <c r="B19" s="56" t="s">
        <v>1140</v>
      </c>
      <c r="C19" s="56" t="s">
        <v>1141</v>
      </c>
      <c r="D19" s="56" t="s">
        <v>1144</v>
      </c>
      <c r="E19" s="137"/>
    </row>
    <row r="20" spans="1:5" x14ac:dyDescent="0.3">
      <c r="A20" s="56" t="s">
        <v>1145</v>
      </c>
      <c r="B20" s="56" t="s">
        <v>1140</v>
      </c>
      <c r="C20" s="56" t="s">
        <v>1141</v>
      </c>
      <c r="D20" s="56" t="s">
        <v>1146</v>
      </c>
      <c r="E20" s="137"/>
    </row>
    <row r="21" spans="1:5" x14ac:dyDescent="0.3">
      <c r="A21" s="56" t="s">
        <v>1147</v>
      </c>
      <c r="B21" s="56" t="s">
        <v>1140</v>
      </c>
      <c r="C21" s="56" t="s">
        <v>1141</v>
      </c>
      <c r="D21" s="56" t="s">
        <v>1148</v>
      </c>
      <c r="E21" s="137"/>
    </row>
    <row r="22" spans="1:5" x14ac:dyDescent="0.3">
      <c r="A22" s="56" t="s">
        <v>1149</v>
      </c>
      <c r="B22" s="56" t="s">
        <v>1150</v>
      </c>
      <c r="C22" s="56" t="s">
        <v>1141</v>
      </c>
      <c r="D22" s="56" t="s">
        <v>1142</v>
      </c>
      <c r="E22" s="137"/>
    </row>
    <row r="23" spans="1:5" x14ac:dyDescent="0.3">
      <c r="A23" s="56" t="s">
        <v>1151</v>
      </c>
      <c r="B23" s="56" t="s">
        <v>1150</v>
      </c>
      <c r="C23" s="56" t="s">
        <v>1141</v>
      </c>
      <c r="D23" s="56" t="s">
        <v>1144</v>
      </c>
      <c r="E23" s="137"/>
    </row>
    <row r="24" spans="1:5" x14ac:dyDescent="0.3">
      <c r="A24" s="56" t="s">
        <v>1152</v>
      </c>
      <c r="B24" s="56" t="s">
        <v>1150</v>
      </c>
      <c r="C24" s="56" t="s">
        <v>1141</v>
      </c>
      <c r="D24" s="56" t="s">
        <v>1146</v>
      </c>
      <c r="E24" s="137"/>
    </row>
    <row r="25" spans="1:5" x14ac:dyDescent="0.3">
      <c r="A25" s="56" t="s">
        <v>1153</v>
      </c>
      <c r="B25" s="56" t="s">
        <v>1150</v>
      </c>
      <c r="C25" s="56" t="s">
        <v>1141</v>
      </c>
      <c r="D25" s="56" t="s">
        <v>1148</v>
      </c>
      <c r="E25" s="137"/>
    </row>
    <row r="26" spans="1:5" x14ac:dyDescent="0.3">
      <c r="A26" s="56" t="s">
        <v>1154</v>
      </c>
      <c r="B26" s="56" t="s">
        <v>1155</v>
      </c>
      <c r="C26" s="56" t="s">
        <v>1141</v>
      </c>
      <c r="D26" s="56" t="s">
        <v>1142</v>
      </c>
      <c r="E26" s="137"/>
    </row>
    <row r="27" spans="1:5" x14ac:dyDescent="0.3">
      <c r="A27" s="56" t="s">
        <v>1156</v>
      </c>
      <c r="B27" s="56" t="s">
        <v>1155</v>
      </c>
      <c r="C27" s="56" t="s">
        <v>1141</v>
      </c>
      <c r="D27" s="56" t="s">
        <v>1144</v>
      </c>
      <c r="E27" s="137"/>
    </row>
    <row r="28" spans="1:5" x14ac:dyDescent="0.3">
      <c r="A28" s="56" t="s">
        <v>1157</v>
      </c>
      <c r="B28" s="56" t="s">
        <v>1155</v>
      </c>
      <c r="C28" s="56" t="s">
        <v>1141</v>
      </c>
      <c r="D28" s="56" t="s">
        <v>1146</v>
      </c>
      <c r="E28" s="137"/>
    </row>
    <row r="29" spans="1:5" x14ac:dyDescent="0.3">
      <c r="A29" s="56" t="s">
        <v>1158</v>
      </c>
      <c r="B29" s="56" t="s">
        <v>1155</v>
      </c>
      <c r="C29" s="56" t="s">
        <v>1141</v>
      </c>
      <c r="D29" s="56" t="s">
        <v>1148</v>
      </c>
      <c r="E29" s="137"/>
    </row>
    <row r="30" spans="1:5" x14ac:dyDescent="0.3">
      <c r="A30" s="56" t="s">
        <v>1159</v>
      </c>
      <c r="B30" s="56" t="s">
        <v>1160</v>
      </c>
      <c r="C30" s="56" t="s">
        <v>1141</v>
      </c>
      <c r="D30" s="56" t="s">
        <v>1142</v>
      </c>
      <c r="E30" s="137"/>
    </row>
    <row r="31" spans="1:5" x14ac:dyDescent="0.3">
      <c r="A31" s="56" t="s">
        <v>1161</v>
      </c>
      <c r="B31" s="56" t="s">
        <v>1160</v>
      </c>
      <c r="C31" s="56" t="s">
        <v>1141</v>
      </c>
      <c r="D31" s="56" t="s">
        <v>1144</v>
      </c>
      <c r="E31" s="137"/>
    </row>
    <row r="32" spans="1:5" x14ac:dyDescent="0.3">
      <c r="A32" s="56" t="s">
        <v>1162</v>
      </c>
      <c r="B32" s="56" t="s">
        <v>1160</v>
      </c>
      <c r="C32" s="56" t="s">
        <v>1141</v>
      </c>
      <c r="D32" s="56" t="s">
        <v>1146</v>
      </c>
      <c r="E32" s="137"/>
    </row>
    <row r="33" spans="1:5" x14ac:dyDescent="0.3">
      <c r="A33" s="56" t="s">
        <v>1163</v>
      </c>
      <c r="B33" s="56" t="s">
        <v>1160</v>
      </c>
      <c r="C33" s="56" t="s">
        <v>1141</v>
      </c>
      <c r="D33" s="56" t="s">
        <v>1148</v>
      </c>
      <c r="E33" s="137"/>
    </row>
    <row r="34" spans="1:5" x14ac:dyDescent="0.3">
      <c r="A34" s="56" t="s">
        <v>1164</v>
      </c>
      <c r="B34" s="56" t="s">
        <v>1165</v>
      </c>
      <c r="C34" s="56" t="s">
        <v>1141</v>
      </c>
      <c r="D34" s="56" t="s">
        <v>1142</v>
      </c>
      <c r="E34" s="137"/>
    </row>
    <row r="35" spans="1:5" x14ac:dyDescent="0.3">
      <c r="A35" s="56" t="s">
        <v>1166</v>
      </c>
      <c r="B35" s="56" t="s">
        <v>1165</v>
      </c>
      <c r="C35" s="56" t="s">
        <v>1141</v>
      </c>
      <c r="D35" s="56" t="s">
        <v>1144</v>
      </c>
      <c r="E35" s="137"/>
    </row>
    <row r="36" spans="1:5" x14ac:dyDescent="0.3">
      <c r="A36" s="56" t="s">
        <v>1167</v>
      </c>
      <c r="B36" s="56" t="s">
        <v>1165</v>
      </c>
      <c r="C36" s="56" t="s">
        <v>1141</v>
      </c>
      <c r="D36" s="56" t="s">
        <v>1146</v>
      </c>
      <c r="E36" s="137"/>
    </row>
    <row r="37" spans="1:5" x14ac:dyDescent="0.3">
      <c r="A37" s="56" t="s">
        <v>1168</v>
      </c>
      <c r="B37" s="56" t="s">
        <v>1165</v>
      </c>
      <c r="C37" s="56" t="s">
        <v>1141</v>
      </c>
      <c r="D37" s="56" t="s">
        <v>1148</v>
      </c>
      <c r="E37" s="137"/>
    </row>
    <row r="38" spans="1:5" x14ac:dyDescent="0.3">
      <c r="A38" s="56" t="s">
        <v>1169</v>
      </c>
      <c r="B38" s="56" t="s">
        <v>1170</v>
      </c>
      <c r="C38" s="56" t="s">
        <v>1141</v>
      </c>
      <c r="D38" s="56" t="s">
        <v>1142</v>
      </c>
      <c r="E38" s="137"/>
    </row>
    <row r="39" spans="1:5" x14ac:dyDescent="0.3">
      <c r="A39" s="56" t="s">
        <v>1171</v>
      </c>
      <c r="B39" s="56" t="s">
        <v>1170</v>
      </c>
      <c r="C39" s="56" t="s">
        <v>1141</v>
      </c>
      <c r="D39" s="56" t="s">
        <v>1144</v>
      </c>
      <c r="E39" s="137"/>
    </row>
    <row r="40" spans="1:5" x14ac:dyDescent="0.3">
      <c r="A40" s="56" t="s">
        <v>1172</v>
      </c>
      <c r="B40" s="56" t="s">
        <v>1170</v>
      </c>
      <c r="C40" s="56" t="s">
        <v>1141</v>
      </c>
      <c r="D40" s="56" t="s">
        <v>1146</v>
      </c>
      <c r="E40" s="137"/>
    </row>
    <row r="41" spans="1:5" x14ac:dyDescent="0.3">
      <c r="A41" s="56" t="s">
        <v>1173</v>
      </c>
      <c r="B41" s="56" t="s">
        <v>1170</v>
      </c>
      <c r="C41" s="56" t="s">
        <v>1141</v>
      </c>
      <c r="D41" s="56" t="s">
        <v>1148</v>
      </c>
      <c r="E41" s="137"/>
    </row>
    <row r="42" spans="1:5" x14ac:dyDescent="0.3">
      <c r="A42" s="56" t="s">
        <v>1174</v>
      </c>
      <c r="B42" s="56" t="s">
        <v>1175</v>
      </c>
      <c r="C42" s="56" t="s">
        <v>1141</v>
      </c>
      <c r="D42" s="56" t="s">
        <v>1142</v>
      </c>
      <c r="E42" s="137"/>
    </row>
    <row r="43" spans="1:5" x14ac:dyDescent="0.3">
      <c r="A43" s="56" t="s">
        <v>1176</v>
      </c>
      <c r="B43" s="56" t="s">
        <v>1175</v>
      </c>
      <c r="C43" s="56" t="s">
        <v>1141</v>
      </c>
      <c r="D43" s="56" t="s">
        <v>1144</v>
      </c>
      <c r="E43" s="137"/>
    </row>
    <row r="44" spans="1:5" x14ac:dyDescent="0.3">
      <c r="A44" s="56" t="s">
        <v>1177</v>
      </c>
      <c r="B44" s="56" t="s">
        <v>1175</v>
      </c>
      <c r="C44" s="56" t="s">
        <v>1141</v>
      </c>
      <c r="D44" s="56" t="s">
        <v>1146</v>
      </c>
      <c r="E44" s="137"/>
    </row>
    <row r="45" spans="1:5" x14ac:dyDescent="0.3">
      <c r="A45" s="56" t="s">
        <v>1178</v>
      </c>
      <c r="B45" s="56" t="s">
        <v>1175</v>
      </c>
      <c r="C45" s="56" t="s">
        <v>1141</v>
      </c>
      <c r="D45" s="56" t="s">
        <v>1148</v>
      </c>
      <c r="E45" s="137"/>
    </row>
    <row r="46" spans="1:5" x14ac:dyDescent="0.3">
      <c r="A46" s="56" t="s">
        <v>1179</v>
      </c>
      <c r="B46" s="56" t="s">
        <v>1180</v>
      </c>
      <c r="C46" s="56" t="s">
        <v>1141</v>
      </c>
      <c r="D46" s="56" t="s">
        <v>40</v>
      </c>
      <c r="E46" s="137"/>
    </row>
    <row r="47" spans="1:5" x14ac:dyDescent="0.3">
      <c r="A47" s="56" t="s">
        <v>1181</v>
      </c>
      <c r="B47" s="56" t="s">
        <v>1182</v>
      </c>
      <c r="C47" s="56" t="s">
        <v>1183</v>
      </c>
      <c r="D47" s="56" t="s">
        <v>40</v>
      </c>
      <c r="E47" s="137"/>
    </row>
    <row r="48" spans="1:5" x14ac:dyDescent="0.3">
      <c r="A48" s="56" t="s">
        <v>1184</v>
      </c>
      <c r="B48" s="56" t="s">
        <v>1185</v>
      </c>
      <c r="C48" s="56" t="s">
        <v>1141</v>
      </c>
      <c r="D48" s="56" t="s">
        <v>1186</v>
      </c>
      <c r="E48" s="137"/>
    </row>
    <row r="49" spans="1:5" x14ac:dyDescent="0.3">
      <c r="A49" s="56" t="s">
        <v>1187</v>
      </c>
      <c r="B49" s="56" t="s">
        <v>1185</v>
      </c>
      <c r="C49" s="56" t="s">
        <v>1141</v>
      </c>
      <c r="D49" s="56" t="s">
        <v>1188</v>
      </c>
      <c r="E49" s="137"/>
    </row>
    <row r="50" spans="1:5" x14ac:dyDescent="0.3">
      <c r="A50" s="56" t="s">
        <v>1189</v>
      </c>
      <c r="B50" s="56" t="s">
        <v>1185</v>
      </c>
      <c r="C50" s="56" t="s">
        <v>1141</v>
      </c>
      <c r="D50" s="56" t="s">
        <v>1190</v>
      </c>
      <c r="E50" s="137"/>
    </row>
    <row r="51" spans="1:5" x14ac:dyDescent="0.3">
      <c r="A51" s="56" t="s">
        <v>1191</v>
      </c>
      <c r="B51" s="56" t="s">
        <v>1185</v>
      </c>
      <c r="C51" s="56" t="s">
        <v>1141</v>
      </c>
      <c r="D51" s="56" t="s">
        <v>1192</v>
      </c>
      <c r="E51" s="137"/>
    </row>
    <row r="52" spans="1:5" x14ac:dyDescent="0.3">
      <c r="A52" s="56" t="s">
        <v>1193</v>
      </c>
      <c r="B52" s="56" t="s">
        <v>1194</v>
      </c>
      <c r="C52" s="56" t="s">
        <v>1141</v>
      </c>
      <c r="D52" s="56" t="s">
        <v>1186</v>
      </c>
      <c r="E52" s="137"/>
    </row>
    <row r="53" spans="1:5" x14ac:dyDescent="0.3">
      <c r="A53" s="56" t="s">
        <v>1195</v>
      </c>
      <c r="B53" s="56" t="s">
        <v>1194</v>
      </c>
      <c r="C53" s="56" t="s">
        <v>1141</v>
      </c>
      <c r="D53" s="56" t="s">
        <v>1188</v>
      </c>
      <c r="E53" s="137"/>
    </row>
    <row r="54" spans="1:5" x14ac:dyDescent="0.3">
      <c r="A54" s="56" t="s">
        <v>1196</v>
      </c>
      <c r="B54" s="56" t="s">
        <v>1194</v>
      </c>
      <c r="C54" s="56" t="s">
        <v>1141</v>
      </c>
      <c r="D54" s="56" t="s">
        <v>1190</v>
      </c>
      <c r="E54" s="137"/>
    </row>
    <row r="55" spans="1:5" x14ac:dyDescent="0.3">
      <c r="A55" s="56" t="s">
        <v>1197</v>
      </c>
      <c r="B55" s="56" t="s">
        <v>1194</v>
      </c>
      <c r="C55" s="56" t="s">
        <v>1141</v>
      </c>
      <c r="D55" s="56" t="s">
        <v>1192</v>
      </c>
      <c r="E55" s="137"/>
    </row>
    <row r="56" spans="1:5" x14ac:dyDescent="0.3">
      <c r="A56" s="56" t="s">
        <v>1198</v>
      </c>
      <c r="B56" s="56" t="s">
        <v>1199</v>
      </c>
      <c r="C56" s="56" t="s">
        <v>1141</v>
      </c>
      <c r="D56" s="56" t="s">
        <v>1186</v>
      </c>
      <c r="E56" s="137"/>
    </row>
    <row r="57" spans="1:5" x14ac:dyDescent="0.3">
      <c r="A57" s="56" t="s">
        <v>1200</v>
      </c>
      <c r="B57" s="56" t="s">
        <v>1199</v>
      </c>
      <c r="C57" s="56" t="s">
        <v>1141</v>
      </c>
      <c r="D57" s="56" t="s">
        <v>1188</v>
      </c>
      <c r="E57" s="137"/>
    </row>
    <row r="58" spans="1:5" x14ac:dyDescent="0.3">
      <c r="A58" s="56" t="s">
        <v>1201</v>
      </c>
      <c r="B58" s="56" t="s">
        <v>1199</v>
      </c>
      <c r="C58" s="56" t="s">
        <v>1141</v>
      </c>
      <c r="D58" s="56" t="s">
        <v>1190</v>
      </c>
      <c r="E58" s="137"/>
    </row>
    <row r="59" spans="1:5" x14ac:dyDescent="0.3">
      <c r="A59" s="56" t="s">
        <v>1202</v>
      </c>
      <c r="B59" s="56" t="s">
        <v>1199</v>
      </c>
      <c r="C59" s="56" t="s">
        <v>1141</v>
      </c>
      <c r="D59" s="56" t="s">
        <v>1192</v>
      </c>
      <c r="E59" s="137"/>
    </row>
    <row r="60" spans="1:5" x14ac:dyDescent="0.3">
      <c r="A60" s="56" t="s">
        <v>1203</v>
      </c>
      <c r="B60" s="56" t="s">
        <v>1204</v>
      </c>
      <c r="C60" s="56" t="s">
        <v>1141</v>
      </c>
      <c r="D60" s="56" t="s">
        <v>1186</v>
      </c>
      <c r="E60" s="137"/>
    </row>
    <row r="61" spans="1:5" x14ac:dyDescent="0.3">
      <c r="A61" s="56" t="s">
        <v>1205</v>
      </c>
      <c r="B61" s="56" t="s">
        <v>1204</v>
      </c>
      <c r="C61" s="56" t="s">
        <v>1141</v>
      </c>
      <c r="D61" s="56" t="s">
        <v>1188</v>
      </c>
      <c r="E61" s="137"/>
    </row>
    <row r="62" spans="1:5" x14ac:dyDescent="0.3">
      <c r="A62" s="56" t="s">
        <v>1206</v>
      </c>
      <c r="B62" s="56" t="s">
        <v>1204</v>
      </c>
      <c r="C62" s="56" t="s">
        <v>1141</v>
      </c>
      <c r="D62" s="56" t="s">
        <v>1190</v>
      </c>
      <c r="E62" s="137"/>
    </row>
    <row r="63" spans="1:5" x14ac:dyDescent="0.3">
      <c r="A63" s="56" t="s">
        <v>1207</v>
      </c>
      <c r="B63" s="56" t="s">
        <v>1204</v>
      </c>
      <c r="C63" s="56" t="s">
        <v>1141</v>
      </c>
      <c r="D63" s="56" t="s">
        <v>1192</v>
      </c>
      <c r="E63" s="137"/>
    </row>
    <row r="64" spans="1:5" x14ac:dyDescent="0.3">
      <c r="A64" s="56" t="s">
        <v>1208</v>
      </c>
      <c r="B64" s="56" t="s">
        <v>1209</v>
      </c>
      <c r="C64" s="56" t="s">
        <v>1141</v>
      </c>
      <c r="D64" s="56" t="s">
        <v>1186</v>
      </c>
      <c r="E64" s="137"/>
    </row>
    <row r="65" spans="1:5" x14ac:dyDescent="0.3">
      <c r="A65" s="56" t="s">
        <v>1210</v>
      </c>
      <c r="B65" s="56" t="s">
        <v>1209</v>
      </c>
      <c r="C65" s="56" t="s">
        <v>1141</v>
      </c>
      <c r="D65" s="56" t="s">
        <v>1188</v>
      </c>
      <c r="E65" s="137"/>
    </row>
    <row r="66" spans="1:5" x14ac:dyDescent="0.3">
      <c r="A66" s="56" t="s">
        <v>1211</v>
      </c>
      <c r="B66" s="56" t="s">
        <v>1212</v>
      </c>
      <c r="C66" s="56" t="s">
        <v>1141</v>
      </c>
      <c r="D66" s="56" t="s">
        <v>1190</v>
      </c>
      <c r="E66" s="137"/>
    </row>
    <row r="67" spans="1:5" x14ac:dyDescent="0.3">
      <c r="A67" s="56" t="s">
        <v>1213</v>
      </c>
      <c r="B67" s="56" t="s">
        <v>1214</v>
      </c>
      <c r="C67" s="56" t="s">
        <v>1141</v>
      </c>
      <c r="D67" s="56" t="s">
        <v>1192</v>
      </c>
      <c r="E67" s="137"/>
    </row>
    <row r="68" spans="1:5" x14ac:dyDescent="0.3">
      <c r="A68" s="56" t="s">
        <v>1215</v>
      </c>
      <c r="B68" s="56" t="s">
        <v>1216</v>
      </c>
      <c r="C68" s="56" t="s">
        <v>1141</v>
      </c>
      <c r="D68" s="56" t="s">
        <v>1186</v>
      </c>
      <c r="E68" s="137"/>
    </row>
    <row r="69" spans="1:5" x14ac:dyDescent="0.3">
      <c r="A69" s="56" t="s">
        <v>1217</v>
      </c>
      <c r="B69" s="56" t="s">
        <v>1216</v>
      </c>
      <c r="C69" s="56" t="s">
        <v>1141</v>
      </c>
      <c r="D69" s="56" t="s">
        <v>1188</v>
      </c>
      <c r="E69" s="137"/>
    </row>
    <row r="70" spans="1:5" x14ac:dyDescent="0.3">
      <c r="A70" s="56" t="s">
        <v>1218</v>
      </c>
      <c r="B70" s="56" t="s">
        <v>1216</v>
      </c>
      <c r="C70" s="56" t="s">
        <v>1141</v>
      </c>
      <c r="D70" s="56" t="s">
        <v>1190</v>
      </c>
      <c r="E70" s="137"/>
    </row>
    <row r="71" spans="1:5" x14ac:dyDescent="0.3">
      <c r="A71" s="56" t="s">
        <v>1219</v>
      </c>
      <c r="B71" s="56" t="s">
        <v>1216</v>
      </c>
      <c r="C71" s="56" t="s">
        <v>1141</v>
      </c>
      <c r="D71" s="56" t="s">
        <v>1192</v>
      </c>
      <c r="E71" s="137"/>
    </row>
    <row r="72" spans="1:5" x14ac:dyDescent="0.3">
      <c r="A72" s="56" t="s">
        <v>1220</v>
      </c>
      <c r="B72" s="56" t="s">
        <v>1221</v>
      </c>
      <c r="C72" s="56" t="s">
        <v>1141</v>
      </c>
      <c r="D72" s="56" t="s">
        <v>1186</v>
      </c>
      <c r="E72" s="137"/>
    </row>
    <row r="73" spans="1:5" x14ac:dyDescent="0.3">
      <c r="A73" s="56" t="s">
        <v>1222</v>
      </c>
      <c r="B73" s="56" t="s">
        <v>1221</v>
      </c>
      <c r="C73" s="56" t="s">
        <v>1141</v>
      </c>
      <c r="D73" s="56" t="s">
        <v>1188</v>
      </c>
      <c r="E73" s="137"/>
    </row>
    <row r="74" spans="1:5" x14ac:dyDescent="0.3">
      <c r="A74" s="56" t="s">
        <v>1223</v>
      </c>
      <c r="B74" s="56" t="s">
        <v>1221</v>
      </c>
      <c r="C74" s="56" t="s">
        <v>1141</v>
      </c>
      <c r="D74" s="56" t="s">
        <v>1190</v>
      </c>
      <c r="E74" s="137"/>
    </row>
    <row r="75" spans="1:5" x14ac:dyDescent="0.3">
      <c r="A75" s="56" t="s">
        <v>1224</v>
      </c>
      <c r="B75" s="56" t="s">
        <v>1221</v>
      </c>
      <c r="C75" s="56" t="s">
        <v>1141</v>
      </c>
      <c r="D75" s="56" t="s">
        <v>1192</v>
      </c>
      <c r="E75" s="137"/>
    </row>
    <row r="76" spans="1:5" x14ac:dyDescent="0.3">
      <c r="A76" s="56" t="s">
        <v>1225</v>
      </c>
      <c r="B76" s="56" t="s">
        <v>1226</v>
      </c>
      <c r="C76" s="56" t="s">
        <v>1141</v>
      </c>
      <c r="D76" s="56" t="s">
        <v>1186</v>
      </c>
      <c r="E76" s="137"/>
    </row>
    <row r="77" spans="1:5" x14ac:dyDescent="0.3">
      <c r="A77" s="56" t="s">
        <v>1227</v>
      </c>
      <c r="B77" s="56" t="s">
        <v>1226</v>
      </c>
      <c r="C77" s="56" t="s">
        <v>1141</v>
      </c>
      <c r="D77" s="56" t="s">
        <v>1188</v>
      </c>
      <c r="E77" s="137"/>
    </row>
    <row r="78" spans="1:5" x14ac:dyDescent="0.3">
      <c r="A78" s="56" t="s">
        <v>1228</v>
      </c>
      <c r="B78" s="56" t="s">
        <v>1226</v>
      </c>
      <c r="C78" s="56" t="s">
        <v>1141</v>
      </c>
      <c r="D78" s="56" t="s">
        <v>1190</v>
      </c>
      <c r="E78" s="137"/>
    </row>
    <row r="79" spans="1:5" x14ac:dyDescent="0.3">
      <c r="A79" s="56" t="s">
        <v>1229</v>
      </c>
      <c r="B79" s="56" t="s">
        <v>1226</v>
      </c>
      <c r="C79" s="56" t="s">
        <v>1141</v>
      </c>
      <c r="D79" s="56" t="s">
        <v>1192</v>
      </c>
      <c r="E79" s="137"/>
    </row>
    <row r="80" spans="1:5" x14ac:dyDescent="0.3">
      <c r="A80" s="56" t="s">
        <v>1230</v>
      </c>
      <c r="B80" s="56" t="s">
        <v>1231</v>
      </c>
      <c r="C80" s="56" t="s">
        <v>1141</v>
      </c>
      <c r="D80" s="56" t="s">
        <v>1186</v>
      </c>
      <c r="E80" s="137"/>
    </row>
    <row r="81" spans="1:5" x14ac:dyDescent="0.3">
      <c r="A81" s="56" t="s">
        <v>1232</v>
      </c>
      <c r="B81" s="56" t="s">
        <v>1231</v>
      </c>
      <c r="C81" s="56" t="s">
        <v>1141</v>
      </c>
      <c r="D81" s="56" t="s">
        <v>1188</v>
      </c>
      <c r="E81" s="137"/>
    </row>
    <row r="82" spans="1:5" x14ac:dyDescent="0.3">
      <c r="A82" s="56" t="s">
        <v>1233</v>
      </c>
      <c r="B82" s="56" t="s">
        <v>1231</v>
      </c>
      <c r="C82" s="56" t="s">
        <v>1141</v>
      </c>
      <c r="D82" s="56" t="s">
        <v>1190</v>
      </c>
      <c r="E82" s="137"/>
    </row>
    <row r="83" spans="1:5" x14ac:dyDescent="0.3">
      <c r="A83" s="56" t="s">
        <v>1234</v>
      </c>
      <c r="B83" s="56" t="s">
        <v>1231</v>
      </c>
      <c r="C83" s="56" t="s">
        <v>1141</v>
      </c>
      <c r="D83" s="56" t="s">
        <v>1192</v>
      </c>
      <c r="E83" s="137"/>
    </row>
    <row r="84" spans="1:5" x14ac:dyDescent="0.3">
      <c r="A84" s="56" t="s">
        <v>1235</v>
      </c>
      <c r="B84" s="56" t="s">
        <v>1236</v>
      </c>
      <c r="C84" s="56" t="s">
        <v>1141</v>
      </c>
      <c r="D84" s="56" t="s">
        <v>1186</v>
      </c>
      <c r="E84" s="137"/>
    </row>
    <row r="85" spans="1:5" x14ac:dyDescent="0.3">
      <c r="A85" s="56" t="s">
        <v>1237</v>
      </c>
      <c r="B85" s="56" t="s">
        <v>1236</v>
      </c>
      <c r="C85" s="56" t="s">
        <v>1141</v>
      </c>
      <c r="D85" s="56" t="s">
        <v>1188</v>
      </c>
      <c r="E85" s="137"/>
    </row>
    <row r="86" spans="1:5" x14ac:dyDescent="0.3">
      <c r="A86" s="56" t="s">
        <v>1238</v>
      </c>
      <c r="B86" s="56" t="s">
        <v>1236</v>
      </c>
      <c r="C86" s="56" t="s">
        <v>1141</v>
      </c>
      <c r="D86" s="56" t="s">
        <v>1190</v>
      </c>
      <c r="E86" s="137"/>
    </row>
    <row r="87" spans="1:5" x14ac:dyDescent="0.3">
      <c r="A87" s="56" t="s">
        <v>1239</v>
      </c>
      <c r="B87" s="56" t="s">
        <v>1236</v>
      </c>
      <c r="C87" s="56" t="s">
        <v>1141</v>
      </c>
      <c r="D87" s="56" t="s">
        <v>1192</v>
      </c>
      <c r="E87" s="137"/>
    </row>
    <row r="88" spans="1:5" x14ac:dyDescent="0.3">
      <c r="A88" s="56" t="s">
        <v>1240</v>
      </c>
      <c r="B88" s="56" t="s">
        <v>1241</v>
      </c>
      <c r="C88" s="56" t="s">
        <v>1121</v>
      </c>
      <c r="D88" s="56" t="s">
        <v>1122</v>
      </c>
      <c r="E88" s="137"/>
    </row>
    <row r="89" spans="1:5" x14ac:dyDescent="0.3">
      <c r="A89" s="56" t="s">
        <v>1242</v>
      </c>
      <c r="B89" s="56" t="s">
        <v>1241</v>
      </c>
      <c r="C89" s="56" t="s">
        <v>1121</v>
      </c>
      <c r="D89" s="56" t="s">
        <v>1124</v>
      </c>
      <c r="E89" s="137"/>
    </row>
    <row r="90" spans="1:5" x14ac:dyDescent="0.3">
      <c r="A90" s="56" t="s">
        <v>1243</v>
      </c>
      <c r="B90" s="56" t="s">
        <v>1241</v>
      </c>
      <c r="C90" s="56" t="s">
        <v>1121</v>
      </c>
      <c r="D90" s="56" t="s">
        <v>1126</v>
      </c>
      <c r="E90" s="137"/>
    </row>
    <row r="91" spans="1:5" x14ac:dyDescent="0.3">
      <c r="A91" s="61" t="s">
        <v>1244</v>
      </c>
      <c r="B91" s="61" t="s">
        <v>1241</v>
      </c>
      <c r="C91" s="61" t="s">
        <v>1121</v>
      </c>
      <c r="D91" s="61" t="s">
        <v>1128</v>
      </c>
      <c r="E91" s="138"/>
    </row>
    <row r="92" spans="1:5" x14ac:dyDescent="0.3">
      <c r="A92" s="75" t="s">
        <v>275</v>
      </c>
      <c r="B92" s="76"/>
      <c r="C92" s="76"/>
      <c r="D92" s="76"/>
      <c r="E92" s="125"/>
    </row>
    <row r="94" spans="1:5" x14ac:dyDescent="0.3">
      <c r="A94" s="75" t="s">
        <v>1245</v>
      </c>
      <c r="B94" s="76"/>
      <c r="C94" s="76"/>
      <c r="D94" s="76"/>
      <c r="E94" s="125"/>
    </row>
  </sheetData>
  <sheetProtection algorithmName="SHA-512" hashValue="8khRNkD0MwfSiM7F10T3+fF2l4Tn+s1jqP2LWurDQMa+aa9SJ59BynNSz/7eVAi7h/eO0Ifyxs2wn2Y4CeZ3Hw==" saltValue="q0sr2MFBeWH4c+ivTPRDdw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2DAF-DFB1-4FF5-A24B-61D850DF0D33}">
  <dimension ref="A1:L13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50.77734375" customWidth="1"/>
    <col min="5" max="6" width="14.77734375" customWidth="1"/>
    <col min="7" max="9" width="11.77734375" customWidth="1"/>
    <col min="10" max="10" width="12.77734375" customWidth="1"/>
    <col min="11" max="11" width="14.77734375" customWidth="1"/>
    <col min="12" max="12" width="13.77734375" customWidth="1"/>
  </cols>
  <sheetData>
    <row r="1" spans="1:12" x14ac:dyDescent="0.3">
      <c r="A1" s="1" t="str">
        <f>CONCATENATE("Bijlage F.9: ",tabeltype," regiewerk")</f>
        <v>Bijlage F.9: Invultabel regiewerk</v>
      </c>
    </row>
    <row r="3" spans="1:12" ht="43.2" x14ac:dyDescent="0.3">
      <c r="A3" s="44" t="s">
        <v>1099</v>
      </c>
      <c r="B3" s="44" t="s">
        <v>7</v>
      </c>
      <c r="C3" s="44" t="s">
        <v>1100</v>
      </c>
      <c r="D3" s="44" t="s">
        <v>97</v>
      </c>
      <c r="E3" s="44" t="s">
        <v>100</v>
      </c>
      <c r="F3" s="44" t="s">
        <v>1101</v>
      </c>
      <c r="G3" s="44" t="s">
        <v>1102</v>
      </c>
      <c r="H3" s="44" t="s">
        <v>1103</v>
      </c>
      <c r="I3" s="44" t="s">
        <v>1104</v>
      </c>
      <c r="J3" s="44" t="s">
        <v>1105</v>
      </c>
      <c r="K3" s="44" t="s">
        <v>217</v>
      </c>
      <c r="L3" s="44" t="s">
        <v>1077</v>
      </c>
    </row>
    <row r="4" spans="1:12" x14ac:dyDescent="0.3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3">
      <c r="A5" s="48" t="s">
        <v>102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3">
      <c r="A6" s="51" t="s">
        <v>1246</v>
      </c>
      <c r="B6" s="51" t="s">
        <v>21</v>
      </c>
      <c r="C6" s="52">
        <f>IF(ISBLANK(B6),0,IF(ISERROR(VALUE(B6)),VLOOKUP(B6,dagsoorttabel1,2,FALSE)*dagenperjaar1,VALUE(B6)))</f>
        <v>10</v>
      </c>
      <c r="D6" s="51" t="s">
        <v>1247</v>
      </c>
      <c r="E6" s="51" t="s">
        <v>1183</v>
      </c>
      <c r="F6" s="117">
        <v>20</v>
      </c>
      <c r="G6" s="118">
        <f>Tariefopbouw2</f>
        <v>0</v>
      </c>
      <c r="H6" s="139"/>
      <c r="I6" s="118">
        <f>G6</f>
        <v>0</v>
      </c>
      <c r="J6" s="55">
        <f>IF(ISBLANK(F6),0,F6)*I6</f>
        <v>0</v>
      </c>
      <c r="K6" s="55">
        <f>C6*J6</f>
        <v>0</v>
      </c>
      <c r="L6" s="55">
        <f>K6/12</f>
        <v>0</v>
      </c>
    </row>
    <row r="7" spans="1:12" x14ac:dyDescent="0.3">
      <c r="A7" s="56" t="s">
        <v>1248</v>
      </c>
      <c r="B7" s="56" t="s">
        <v>21</v>
      </c>
      <c r="C7" s="57">
        <f>IF(ISBLANK(B7),0,IF(ISERROR(VALUE(B7)),VLOOKUP(B7,dagsoorttabel1,2,FALSE)*dagenperjaar1,VALUE(B7)))</f>
        <v>10</v>
      </c>
      <c r="D7" s="56" t="s">
        <v>1249</v>
      </c>
      <c r="E7" s="56" t="s">
        <v>1183</v>
      </c>
      <c r="F7" s="140">
        <v>4</v>
      </c>
      <c r="G7" s="141">
        <f>Tariefopbouw3</f>
        <v>0</v>
      </c>
      <c r="H7" s="142"/>
      <c r="I7" s="141">
        <f>G7</f>
        <v>0</v>
      </c>
      <c r="J7" s="60">
        <f>IF(ISBLANK(F7),0,F7)*I7</f>
        <v>0</v>
      </c>
      <c r="K7" s="60">
        <f>C7*J7</f>
        <v>0</v>
      </c>
      <c r="L7" s="60">
        <f>K7/12</f>
        <v>0</v>
      </c>
    </row>
    <row r="8" spans="1:12" x14ac:dyDescent="0.3">
      <c r="A8" s="56" t="s">
        <v>1250</v>
      </c>
      <c r="B8" s="56" t="s">
        <v>21</v>
      </c>
      <c r="C8" s="57">
        <f>IF(ISBLANK(B8),0,IF(ISERROR(VALUE(B8)),VLOOKUP(B8,dagsoorttabel1,2,FALSE)*dagenperjaar1,VALUE(B8)))</f>
        <v>10</v>
      </c>
      <c r="D8" s="56" t="s">
        <v>1251</v>
      </c>
      <c r="E8" s="56" t="s">
        <v>1183</v>
      </c>
      <c r="F8" s="140">
        <v>1</v>
      </c>
      <c r="G8" s="141">
        <f>Tariefopbouw2</f>
        <v>0</v>
      </c>
      <c r="H8" s="142"/>
      <c r="I8" s="141">
        <f>G8</f>
        <v>0</v>
      </c>
      <c r="J8" s="60">
        <f>IF(ISBLANK(F8),0,F8)*I8</f>
        <v>0</v>
      </c>
      <c r="K8" s="60">
        <f>C8*J8</f>
        <v>0</v>
      </c>
      <c r="L8" s="60">
        <f>K8/12</f>
        <v>0</v>
      </c>
    </row>
    <row r="9" spans="1:12" x14ac:dyDescent="0.3">
      <c r="A9" s="56" t="s">
        <v>1252</v>
      </c>
      <c r="B9" s="56" t="s">
        <v>26</v>
      </c>
      <c r="C9" s="57">
        <f>IF(ISBLANK(B9),0,IF(ISERROR(VALUE(B9)),VLOOKUP(B9,dagsoorttabel1,2,FALSE)*dagenperjaar1,VALUE(B9)))</f>
        <v>1</v>
      </c>
      <c r="D9" s="56" t="s">
        <v>1253</v>
      </c>
      <c r="E9" s="56" t="s">
        <v>1121</v>
      </c>
      <c r="F9" s="140">
        <v>350</v>
      </c>
      <c r="G9" s="141">
        <f>Tariefopbouw2</f>
        <v>0</v>
      </c>
      <c r="H9" s="142"/>
      <c r="I9" s="137"/>
      <c r="J9" s="60">
        <f>IF(ISBLANK(F9),0,F9)*I9</f>
        <v>0</v>
      </c>
      <c r="K9" s="60">
        <f>C9*J9</f>
        <v>0</v>
      </c>
      <c r="L9" s="60">
        <f>K9/12</f>
        <v>0</v>
      </c>
    </row>
    <row r="10" spans="1:12" x14ac:dyDescent="0.3">
      <c r="A10" s="61" t="s">
        <v>1254</v>
      </c>
      <c r="B10" s="61" t="s">
        <v>26</v>
      </c>
      <c r="C10" s="62">
        <f>IF(ISBLANK(B10),0,IF(ISERROR(VALUE(B10)),VLOOKUP(B10,dagsoorttabel1,2,FALSE)*dagenperjaar1,VALUE(B10)))</f>
        <v>1</v>
      </c>
      <c r="D10" s="61" t="s">
        <v>1255</v>
      </c>
      <c r="E10" s="61" t="s">
        <v>1256</v>
      </c>
      <c r="F10" s="120">
        <v>4</v>
      </c>
      <c r="G10" s="138"/>
      <c r="H10" s="143"/>
      <c r="I10" s="138"/>
      <c r="J10" s="65">
        <f>IF(ISBLANK(F10),1,F10)*I10</f>
        <v>0</v>
      </c>
      <c r="K10" s="65">
        <f>C10*J10</f>
        <v>0</v>
      </c>
      <c r="L10" s="65">
        <f>K10/12</f>
        <v>0</v>
      </c>
    </row>
    <row r="11" spans="1:12" x14ac:dyDescent="0.3">
      <c r="A11" s="75" t="s">
        <v>275</v>
      </c>
      <c r="B11" s="76"/>
      <c r="C11" s="76"/>
      <c r="D11" s="76"/>
      <c r="E11" s="76"/>
      <c r="F11" s="76"/>
      <c r="G11" s="76"/>
      <c r="H11" s="76"/>
      <c r="I11" s="76"/>
      <c r="J11" s="76"/>
      <c r="K11" s="78">
        <f>SUM(K6:K10)</f>
        <v>0</v>
      </c>
      <c r="L11" s="123">
        <f>K11/12</f>
        <v>0</v>
      </c>
    </row>
    <row r="13" spans="1:12" x14ac:dyDescent="0.3">
      <c r="A13" s="75" t="s">
        <v>1257</v>
      </c>
      <c r="B13" s="76"/>
      <c r="C13" s="76"/>
      <c r="D13" s="76"/>
      <c r="E13" s="76"/>
      <c r="F13" s="76"/>
      <c r="G13" s="76"/>
      <c r="H13" s="76"/>
      <c r="I13" s="76"/>
      <c r="J13" s="76"/>
      <c r="K13" s="78">
        <f>prijsjaarregie1</f>
        <v>0</v>
      </c>
      <c r="L13" s="123">
        <f>K13/12</f>
        <v>0</v>
      </c>
    </row>
  </sheetData>
  <sheetProtection algorithmName="SHA-512" hashValue="rqDZmagR1fIf6dri94wfQJ8kZUzrDmkkXqQm6V0NopQzsgt4VU2dFsrIa3pnQNRoHu4uq6sBbHTSJMV1hfWTWw==" saltValue="gXHM/dBMoFmHpsPL7/2LBg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4CE8-8C23-4639-841B-AEBAF9FBFD1C}">
  <dimension ref="A1:L20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50.77734375" customWidth="1"/>
    <col min="5" max="6" width="14.77734375" customWidth="1"/>
    <col min="7" max="9" width="11.77734375" customWidth="1"/>
    <col min="10" max="10" width="12.77734375" customWidth="1"/>
    <col min="11" max="11" width="14.77734375" customWidth="1"/>
    <col min="12" max="12" width="13.77734375" customWidth="1"/>
  </cols>
  <sheetData>
    <row r="1" spans="1:12" x14ac:dyDescent="0.3">
      <c r="A1" s="1" t="str">
        <f>CONCATENATE("Bijlage F.10: ",tabeltype," glas")</f>
        <v>Bijlage F.10: Invultabel glas</v>
      </c>
    </row>
    <row r="3" spans="1:12" ht="43.2" x14ac:dyDescent="0.3">
      <c r="A3" s="44" t="s">
        <v>1099</v>
      </c>
      <c r="B3" s="44" t="s">
        <v>7</v>
      </c>
      <c r="C3" s="44" t="s">
        <v>1100</v>
      </c>
      <c r="D3" s="44" t="s">
        <v>97</v>
      </c>
      <c r="E3" s="44" t="s">
        <v>100</v>
      </c>
      <c r="F3" s="44" t="s">
        <v>1101</v>
      </c>
      <c r="G3" s="44" t="s">
        <v>1102</v>
      </c>
      <c r="H3" s="44" t="s">
        <v>1103</v>
      </c>
      <c r="I3" s="44" t="s">
        <v>1104</v>
      </c>
      <c r="J3" s="44" t="s">
        <v>1105</v>
      </c>
      <c r="K3" s="44" t="s">
        <v>217</v>
      </c>
      <c r="L3" s="44" t="s">
        <v>1077</v>
      </c>
    </row>
    <row r="4" spans="1:12" x14ac:dyDescent="0.3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3">
      <c r="A5" s="48" t="s">
        <v>102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3">
      <c r="A6" s="51" t="s">
        <v>1258</v>
      </c>
      <c r="B6" s="51" t="s">
        <v>26</v>
      </c>
      <c r="C6" s="52">
        <f>IF(ISBLANK(B6),0,IF(ISERROR(VALUE(B6)),VLOOKUP(B6,dagsoorttabel1,2,FALSE)*dagenperjaar1,VALUE(B6)))</f>
        <v>1</v>
      </c>
      <c r="D6" s="51" t="s">
        <v>1259</v>
      </c>
      <c r="E6" s="51" t="s">
        <v>1141</v>
      </c>
      <c r="F6" s="117">
        <v>2483.5</v>
      </c>
      <c r="G6" s="118">
        <f>Tariefopbouw5</f>
        <v>0</v>
      </c>
      <c r="H6" s="139"/>
      <c r="I6" s="136"/>
      <c r="J6" s="55">
        <f>IF(ISBLANK(F6),0,F6)*I6</f>
        <v>0</v>
      </c>
      <c r="K6" s="55">
        <f>C6*J6</f>
        <v>0</v>
      </c>
      <c r="L6" s="55">
        <f>K6/12</f>
        <v>0</v>
      </c>
    </row>
    <row r="7" spans="1:12" x14ac:dyDescent="0.3">
      <c r="A7" s="56" t="s">
        <v>1258</v>
      </c>
      <c r="B7" s="56" t="s">
        <v>25</v>
      </c>
      <c r="C7" s="57">
        <f>IF(ISBLANK(B7),0,IF(ISERROR(VALUE(B7)),VLOOKUP(B7,dagsoorttabel1,2,FALSE)*dagenperjaar1,VALUE(B7)))</f>
        <v>2</v>
      </c>
      <c r="D7" s="56" t="s">
        <v>1259</v>
      </c>
      <c r="E7" s="56" t="s">
        <v>1141</v>
      </c>
      <c r="F7" s="140">
        <v>475.17</v>
      </c>
      <c r="G7" s="141">
        <f>Tariefopbouw5</f>
        <v>0</v>
      </c>
      <c r="H7" s="142"/>
      <c r="I7" s="137"/>
      <c r="J7" s="60">
        <f>IF(ISBLANK(F7),0,F7)*I7</f>
        <v>0</v>
      </c>
      <c r="K7" s="60">
        <f>C7*J7</f>
        <v>0</v>
      </c>
      <c r="L7" s="60">
        <f>K7/12</f>
        <v>0</v>
      </c>
    </row>
    <row r="8" spans="1:12" x14ac:dyDescent="0.3">
      <c r="A8" s="56" t="s">
        <v>1260</v>
      </c>
      <c r="B8" s="56" t="s">
        <v>26</v>
      </c>
      <c r="C8" s="57">
        <f>IF(ISBLANK(B8),0,IF(ISERROR(VALUE(B8)),VLOOKUP(B8,dagsoorttabel1,2,FALSE)*dagenperjaar1,VALUE(B8)))</f>
        <v>1</v>
      </c>
      <c r="D8" s="56" t="s">
        <v>1261</v>
      </c>
      <c r="E8" s="56" t="s">
        <v>1141</v>
      </c>
      <c r="F8" s="140">
        <v>2483.5</v>
      </c>
      <c r="G8" s="141">
        <f>Tariefopbouw5</f>
        <v>0</v>
      </c>
      <c r="H8" s="142"/>
      <c r="I8" s="137"/>
      <c r="J8" s="60">
        <f>IF(ISBLANK(F8),0,F8)*I8</f>
        <v>0</v>
      </c>
      <c r="K8" s="60">
        <f>C8*J8</f>
        <v>0</v>
      </c>
      <c r="L8" s="60">
        <f>K8/12</f>
        <v>0</v>
      </c>
    </row>
    <row r="9" spans="1:12" x14ac:dyDescent="0.3">
      <c r="A9" s="56" t="s">
        <v>1260</v>
      </c>
      <c r="B9" s="56" t="s">
        <v>25</v>
      </c>
      <c r="C9" s="57">
        <f>IF(ISBLANK(B9),0,IF(ISERROR(VALUE(B9)),VLOOKUP(B9,dagsoorttabel1,2,FALSE)*dagenperjaar1,VALUE(B9)))</f>
        <v>2</v>
      </c>
      <c r="D9" s="56" t="s">
        <v>1261</v>
      </c>
      <c r="E9" s="56" t="s">
        <v>1141</v>
      </c>
      <c r="F9" s="140">
        <v>475.17</v>
      </c>
      <c r="G9" s="141">
        <f>Tariefopbouw5</f>
        <v>0</v>
      </c>
      <c r="H9" s="142"/>
      <c r="I9" s="137"/>
      <c r="J9" s="60">
        <f>IF(ISBLANK(F9),0,F9)*I9</f>
        <v>0</v>
      </c>
      <c r="K9" s="60">
        <f>C9*J9</f>
        <v>0</v>
      </c>
      <c r="L9" s="60">
        <f>K9/12</f>
        <v>0</v>
      </c>
    </row>
    <row r="10" spans="1:12" x14ac:dyDescent="0.3">
      <c r="A10" s="56" t="s">
        <v>1262</v>
      </c>
      <c r="B10" s="56" t="s">
        <v>26</v>
      </c>
      <c r="C10" s="57">
        <f>IF(ISBLANK(B10),0,IF(ISERROR(VALUE(B10)),VLOOKUP(B10,dagsoorttabel1,2,FALSE)*dagenperjaar1,VALUE(B10)))</f>
        <v>1</v>
      </c>
      <c r="D10" s="56" t="s">
        <v>1263</v>
      </c>
      <c r="E10" s="56" t="s">
        <v>1141</v>
      </c>
      <c r="F10" s="140">
        <v>1751.1100000000001</v>
      </c>
      <c r="G10" s="141">
        <f>Tariefopbouw5</f>
        <v>0</v>
      </c>
      <c r="H10" s="142"/>
      <c r="I10" s="137"/>
      <c r="J10" s="60">
        <f>IF(ISBLANK(F10),0,F10)*I10</f>
        <v>0</v>
      </c>
      <c r="K10" s="60">
        <f>C10*J10</f>
        <v>0</v>
      </c>
      <c r="L10" s="60">
        <f>K10/12</f>
        <v>0</v>
      </c>
    </row>
    <row r="11" spans="1:12" x14ac:dyDescent="0.3">
      <c r="A11" s="56" t="s">
        <v>1262</v>
      </c>
      <c r="B11" s="56" t="s">
        <v>25</v>
      </c>
      <c r="C11" s="57">
        <f>IF(ISBLANK(B11),0,IF(ISERROR(VALUE(B11)),VLOOKUP(B11,dagsoorttabel1,2,FALSE)*dagenperjaar1,VALUE(B11)))</f>
        <v>2</v>
      </c>
      <c r="D11" s="56" t="s">
        <v>1263</v>
      </c>
      <c r="E11" s="56" t="s">
        <v>1141</v>
      </c>
      <c r="F11" s="140">
        <v>540.28</v>
      </c>
      <c r="G11" s="141">
        <f>Tariefopbouw5</f>
        <v>0</v>
      </c>
      <c r="H11" s="142"/>
      <c r="I11" s="137"/>
      <c r="J11" s="60">
        <f>IF(ISBLANK(F11),0,F11)*I11</f>
        <v>0</v>
      </c>
      <c r="K11" s="60">
        <f>C11*J11</f>
        <v>0</v>
      </c>
      <c r="L11" s="60">
        <f>K11/12</f>
        <v>0</v>
      </c>
    </row>
    <row r="12" spans="1:12" x14ac:dyDescent="0.3">
      <c r="A12" s="56" t="s">
        <v>1264</v>
      </c>
      <c r="B12" s="56" t="s">
        <v>26</v>
      </c>
      <c r="C12" s="57">
        <f>IF(ISBLANK(B12),0,IF(ISERROR(VALUE(B12)),VLOOKUP(B12,dagsoorttabel1,2,FALSE)*dagenperjaar1,VALUE(B12)))</f>
        <v>1</v>
      </c>
      <c r="D12" s="56" t="s">
        <v>1265</v>
      </c>
      <c r="E12" s="56" t="s">
        <v>1141</v>
      </c>
      <c r="F12" s="140">
        <v>40</v>
      </c>
      <c r="G12" s="141">
        <f>Tariefopbouw5</f>
        <v>0</v>
      </c>
      <c r="H12" s="142"/>
      <c r="I12" s="137"/>
      <c r="J12" s="60">
        <f>IF(ISBLANK(F12),0,F12)*I12</f>
        <v>0</v>
      </c>
      <c r="K12" s="60">
        <f>C12*J12</f>
        <v>0</v>
      </c>
      <c r="L12" s="60">
        <f>K12/12</f>
        <v>0</v>
      </c>
    </row>
    <row r="13" spans="1:12" x14ac:dyDescent="0.3">
      <c r="A13" s="56" t="s">
        <v>1266</v>
      </c>
      <c r="B13" s="56" t="s">
        <v>26</v>
      </c>
      <c r="C13" s="57">
        <f>IF(ISBLANK(B13),0,IF(ISERROR(VALUE(B13)),VLOOKUP(B13,dagsoorttabel1,2,FALSE)*dagenperjaar1,VALUE(B13)))</f>
        <v>1</v>
      </c>
      <c r="D13" s="56" t="s">
        <v>1267</v>
      </c>
      <c r="E13" s="56" t="s">
        <v>1141</v>
      </c>
      <c r="F13" s="140">
        <v>152</v>
      </c>
      <c r="G13" s="141">
        <f>Tariefopbouw5</f>
        <v>0</v>
      </c>
      <c r="H13" s="142"/>
      <c r="I13" s="137"/>
      <c r="J13" s="60">
        <f>IF(ISBLANK(F13),0,F13)*I13</f>
        <v>0</v>
      </c>
      <c r="K13" s="60">
        <f>C13*J13</f>
        <v>0</v>
      </c>
      <c r="L13" s="60">
        <f>K13/12</f>
        <v>0</v>
      </c>
    </row>
    <row r="14" spans="1:12" x14ac:dyDescent="0.3">
      <c r="A14" s="56" t="s">
        <v>1268</v>
      </c>
      <c r="B14" s="56" t="s">
        <v>25</v>
      </c>
      <c r="C14" s="57">
        <f>IF(ISBLANK(B14),0,IF(ISERROR(VALUE(B14)),VLOOKUP(B14,dagsoorttabel1,2,FALSE)*dagenperjaar1,VALUE(B14)))</f>
        <v>2</v>
      </c>
      <c r="D14" s="56" t="s">
        <v>1269</v>
      </c>
      <c r="E14" s="56" t="s">
        <v>1141</v>
      </c>
      <c r="F14" s="140">
        <v>14.5</v>
      </c>
      <c r="G14" s="141">
        <f>Tariefopbouw5</f>
        <v>0</v>
      </c>
      <c r="H14" s="142"/>
      <c r="I14" s="137"/>
      <c r="J14" s="60">
        <f>IF(ISBLANK(F14),0,F14)*I14</f>
        <v>0</v>
      </c>
      <c r="K14" s="60">
        <f>C14*J14</f>
        <v>0</v>
      </c>
      <c r="L14" s="60">
        <f>K14/12</f>
        <v>0</v>
      </c>
    </row>
    <row r="15" spans="1:12" x14ac:dyDescent="0.3">
      <c r="A15" s="56" t="s">
        <v>1270</v>
      </c>
      <c r="B15" s="56" t="s">
        <v>25</v>
      </c>
      <c r="C15" s="57">
        <f>IF(ISBLANK(B15),0,IF(ISERROR(VALUE(B15)),VLOOKUP(B15,dagsoorttabel1,2,FALSE)*dagenperjaar1,VALUE(B15)))</f>
        <v>2</v>
      </c>
      <c r="D15" s="56" t="s">
        <v>1271</v>
      </c>
      <c r="E15" s="56" t="s">
        <v>1141</v>
      </c>
      <c r="F15" s="140">
        <v>14.5</v>
      </c>
      <c r="G15" s="141">
        <f>Tariefopbouw5</f>
        <v>0</v>
      </c>
      <c r="H15" s="142"/>
      <c r="I15" s="137"/>
      <c r="J15" s="60">
        <f>IF(ISBLANK(F15),0,F15)*I15</f>
        <v>0</v>
      </c>
      <c r="K15" s="60">
        <f>C15*J15</f>
        <v>0</v>
      </c>
      <c r="L15" s="60">
        <f>K15/12</f>
        <v>0</v>
      </c>
    </row>
    <row r="16" spans="1:12" x14ac:dyDescent="0.3">
      <c r="A16" s="56" t="s">
        <v>1272</v>
      </c>
      <c r="B16" s="56" t="s">
        <v>25</v>
      </c>
      <c r="C16" s="57">
        <f>IF(ISBLANK(B16),0,IF(ISERROR(VALUE(B16)),VLOOKUP(B16,dagsoorttabel1,2,FALSE)*dagenperjaar1,VALUE(B16)))</f>
        <v>2</v>
      </c>
      <c r="D16" s="56" t="s">
        <v>1273</v>
      </c>
      <c r="E16" s="56" t="s">
        <v>1141</v>
      </c>
      <c r="F16" s="140">
        <v>19</v>
      </c>
      <c r="G16" s="141">
        <f>Tariefopbouw5</f>
        <v>0</v>
      </c>
      <c r="H16" s="142"/>
      <c r="I16" s="137"/>
      <c r="J16" s="60">
        <f>IF(ISBLANK(F16),0,F16)*I16</f>
        <v>0</v>
      </c>
      <c r="K16" s="60">
        <f>C16*J16</f>
        <v>0</v>
      </c>
      <c r="L16" s="60">
        <f>K16/12</f>
        <v>0</v>
      </c>
    </row>
    <row r="17" spans="1:12" x14ac:dyDescent="0.3">
      <c r="A17" s="61" t="s">
        <v>1274</v>
      </c>
      <c r="B17" s="61" t="s">
        <v>25</v>
      </c>
      <c r="C17" s="62">
        <f>IF(ISBLANK(B17),0,IF(ISERROR(VALUE(B17)),VLOOKUP(B17,dagsoorttabel1,2,FALSE)*dagenperjaar1,VALUE(B17)))</f>
        <v>2</v>
      </c>
      <c r="D17" s="61" t="s">
        <v>1275</v>
      </c>
      <c r="E17" s="61" t="s">
        <v>1141</v>
      </c>
      <c r="F17" s="120">
        <v>19</v>
      </c>
      <c r="G17" s="121">
        <f>Tariefopbouw5</f>
        <v>0</v>
      </c>
      <c r="H17" s="143"/>
      <c r="I17" s="138"/>
      <c r="J17" s="65">
        <f>IF(ISBLANK(F17),0,F17)*I17</f>
        <v>0</v>
      </c>
      <c r="K17" s="65">
        <f>C17*J17</f>
        <v>0</v>
      </c>
      <c r="L17" s="65">
        <f>K17/12</f>
        <v>0</v>
      </c>
    </row>
    <row r="18" spans="1:12" x14ac:dyDescent="0.3">
      <c r="A18" s="75" t="s">
        <v>275</v>
      </c>
      <c r="B18" s="76"/>
      <c r="C18" s="76"/>
      <c r="D18" s="76"/>
      <c r="E18" s="76"/>
      <c r="F18" s="76"/>
      <c r="G18" s="76"/>
      <c r="H18" s="76"/>
      <c r="I18" s="76"/>
      <c r="J18" s="76"/>
      <c r="K18" s="78">
        <f>SUM(K6:K17)</f>
        <v>0</v>
      </c>
      <c r="L18" s="123">
        <f>K18/12</f>
        <v>0</v>
      </c>
    </row>
    <row r="20" spans="1:12" x14ac:dyDescent="0.3">
      <c r="A20" s="75" t="s">
        <v>1276</v>
      </c>
      <c r="B20" s="76"/>
      <c r="C20" s="76"/>
      <c r="D20" s="76"/>
      <c r="E20" s="76"/>
      <c r="F20" s="76"/>
      <c r="G20" s="76"/>
      <c r="H20" s="76"/>
      <c r="I20" s="76"/>
      <c r="J20" s="76"/>
      <c r="K20" s="78">
        <f>prijsjaarglas1</f>
        <v>0</v>
      </c>
      <c r="L20" s="123">
        <f>K20/12</f>
        <v>0</v>
      </c>
    </row>
  </sheetData>
  <sheetProtection algorithmName="SHA-512" hashValue="RYtfK55YeUljuz4/y7T+IVqnlHVHlp24w9n30Yg+EZvPWLy84pYWs1rk19zYc25HZK/Py/69Ed6H+8sOnzW+nQ==" saltValue="lt5MZWXX3sBwfDUdsh3ZWA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3BF9-66B5-4B65-805B-91B09EA08F6B}">
  <dimension ref="A1:M40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11.77734375" customWidth="1"/>
    <col min="5" max="5" width="50.77734375" customWidth="1"/>
    <col min="6" max="7" width="14.77734375" customWidth="1"/>
    <col min="8" max="10" width="11.77734375" customWidth="1"/>
    <col min="11" max="11" width="12.77734375" customWidth="1"/>
    <col min="12" max="12" width="14.77734375" customWidth="1"/>
    <col min="13" max="13" width="13.77734375" customWidth="1"/>
  </cols>
  <sheetData>
    <row r="1" spans="1:13" x14ac:dyDescent="0.3">
      <c r="A1" s="1" t="str">
        <f>CONCATENATE("Bijlage F.11: ",tabeltype," glas per locatie")</f>
        <v>Bijlage F.11: Invultabel glas per locatie</v>
      </c>
    </row>
    <row r="3" spans="1:13" ht="43.2" x14ac:dyDescent="0.3">
      <c r="A3" s="44" t="s">
        <v>1099</v>
      </c>
      <c r="B3" s="44" t="s">
        <v>7</v>
      </c>
      <c r="C3" s="44" t="s">
        <v>1100</v>
      </c>
      <c r="D3" s="44" t="s">
        <v>1049</v>
      </c>
      <c r="E3" s="44" t="s">
        <v>97</v>
      </c>
      <c r="F3" s="44" t="s">
        <v>100</v>
      </c>
      <c r="G3" s="44" t="s">
        <v>1101</v>
      </c>
      <c r="H3" s="44" t="s">
        <v>1102</v>
      </c>
      <c r="I3" s="44" t="s">
        <v>1103</v>
      </c>
      <c r="J3" s="44" t="s">
        <v>1104</v>
      </c>
      <c r="K3" s="44" t="s">
        <v>1105</v>
      </c>
      <c r="L3" s="44" t="s">
        <v>217</v>
      </c>
      <c r="M3" s="44" t="s">
        <v>1077</v>
      </c>
    </row>
    <row r="5" spans="1:13" x14ac:dyDescent="0.3">
      <c r="A5" s="124" t="s">
        <v>287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25"/>
    </row>
    <row r="6" spans="1:13" x14ac:dyDescent="0.3">
      <c r="A6" s="51" t="s">
        <v>1258</v>
      </c>
      <c r="B6" s="51" t="s">
        <v>26</v>
      </c>
      <c r="C6" s="52">
        <f>IF(ISBLANK(B6),0,IF(ISERROR(VALUE(B6)),VLOOKUP(B6,dagsoorttabel1,2,FALSE)*dagenperjaar1,VALUE(B6)))</f>
        <v>1</v>
      </c>
      <c r="D6" s="51" t="s">
        <v>1063</v>
      </c>
      <c r="E6" s="51" t="s">
        <v>1259</v>
      </c>
      <c r="F6" s="51" t="s">
        <v>1141</v>
      </c>
      <c r="G6" s="117">
        <v>1372</v>
      </c>
      <c r="H6" s="118">
        <f>Glas!G6</f>
        <v>0</v>
      </c>
      <c r="I6" s="139"/>
      <c r="J6" s="118">
        <f>Glas!I6</f>
        <v>0</v>
      </c>
      <c r="K6" s="55">
        <f>IF(ISBLANK(G6),0,G6)*J6</f>
        <v>0</v>
      </c>
      <c r="L6" s="55">
        <f>C6*K6</f>
        <v>0</v>
      </c>
      <c r="M6" s="55">
        <f>L6/12</f>
        <v>0</v>
      </c>
    </row>
    <row r="7" spans="1:13" x14ac:dyDescent="0.3">
      <c r="A7" s="56" t="s">
        <v>1260</v>
      </c>
      <c r="B7" s="56" t="s">
        <v>26</v>
      </c>
      <c r="C7" s="57">
        <f>IF(ISBLANK(B7),0,IF(ISERROR(VALUE(B7)),VLOOKUP(B7,dagsoorttabel1,2,FALSE)*dagenperjaar1,VALUE(B7)))</f>
        <v>1</v>
      </c>
      <c r="D7" s="56" t="s">
        <v>1063</v>
      </c>
      <c r="E7" s="56" t="s">
        <v>1261</v>
      </c>
      <c r="F7" s="56" t="s">
        <v>1141</v>
      </c>
      <c r="G7" s="140">
        <v>1372</v>
      </c>
      <c r="H7" s="141">
        <f>Glas!G8</f>
        <v>0</v>
      </c>
      <c r="I7" s="142"/>
      <c r="J7" s="141">
        <f>Glas!I8</f>
        <v>0</v>
      </c>
      <c r="K7" s="60">
        <f>IF(ISBLANK(G7),0,G7)*J7</f>
        <v>0</v>
      </c>
      <c r="L7" s="60">
        <f>C7*K7</f>
        <v>0</v>
      </c>
      <c r="M7" s="60">
        <f>L7/12</f>
        <v>0</v>
      </c>
    </row>
    <row r="8" spans="1:13" x14ac:dyDescent="0.3">
      <c r="A8" s="56" t="s">
        <v>1262</v>
      </c>
      <c r="B8" s="56" t="s">
        <v>26</v>
      </c>
      <c r="C8" s="57">
        <f>IF(ISBLANK(B8),0,IF(ISERROR(VALUE(B8)),VLOOKUP(B8,dagsoorttabel1,2,FALSE)*dagenperjaar1,VALUE(B8)))</f>
        <v>1</v>
      </c>
      <c r="D8" s="56" t="s">
        <v>1063</v>
      </c>
      <c r="E8" s="56" t="s">
        <v>1263</v>
      </c>
      <c r="F8" s="56" t="s">
        <v>1141</v>
      </c>
      <c r="G8" s="140">
        <v>714</v>
      </c>
      <c r="H8" s="141">
        <f>Glas!G10</f>
        <v>0</v>
      </c>
      <c r="I8" s="142"/>
      <c r="J8" s="141">
        <f>Glas!I10</f>
        <v>0</v>
      </c>
      <c r="K8" s="60">
        <f>IF(ISBLANK(G8),0,G8)*J8</f>
        <v>0</v>
      </c>
      <c r="L8" s="60">
        <f>C8*K8</f>
        <v>0</v>
      </c>
      <c r="M8" s="60">
        <f>L8/12</f>
        <v>0</v>
      </c>
    </row>
    <row r="9" spans="1:13" x14ac:dyDescent="0.3">
      <c r="A9" s="56" t="s">
        <v>1264</v>
      </c>
      <c r="B9" s="56" t="s">
        <v>26</v>
      </c>
      <c r="C9" s="57">
        <f>IF(ISBLANK(B9),0,IF(ISERROR(VALUE(B9)),VLOOKUP(B9,dagsoorttabel1,2,FALSE)*dagenperjaar1,VALUE(B9)))</f>
        <v>1</v>
      </c>
      <c r="D9" s="56" t="s">
        <v>1063</v>
      </c>
      <c r="E9" s="56" t="s">
        <v>1265</v>
      </c>
      <c r="F9" s="56" t="s">
        <v>1141</v>
      </c>
      <c r="G9" s="140">
        <v>40</v>
      </c>
      <c r="H9" s="141">
        <f>Glas!G12</f>
        <v>0</v>
      </c>
      <c r="I9" s="142"/>
      <c r="J9" s="141">
        <f>Glas!I12</f>
        <v>0</v>
      </c>
      <c r="K9" s="60">
        <f>IF(ISBLANK(G9),0,G9)*J9</f>
        <v>0</v>
      </c>
      <c r="L9" s="60">
        <f>C9*K9</f>
        <v>0</v>
      </c>
      <c r="M9" s="60">
        <f>L9/12</f>
        <v>0</v>
      </c>
    </row>
    <row r="10" spans="1:13" x14ac:dyDescent="0.3">
      <c r="A10" s="61" t="s">
        <v>1266</v>
      </c>
      <c r="B10" s="61" t="s">
        <v>26</v>
      </c>
      <c r="C10" s="62">
        <f>IF(ISBLANK(B10),0,IF(ISERROR(VALUE(B10)),VLOOKUP(B10,dagsoorttabel1,2,FALSE)*dagenperjaar1,VALUE(B10)))</f>
        <v>1</v>
      </c>
      <c r="D10" s="61" t="s">
        <v>1063</v>
      </c>
      <c r="E10" s="61" t="s">
        <v>1267</v>
      </c>
      <c r="F10" s="61" t="s">
        <v>1141</v>
      </c>
      <c r="G10" s="120">
        <v>120</v>
      </c>
      <c r="H10" s="121">
        <f>Glas!G13</f>
        <v>0</v>
      </c>
      <c r="I10" s="143"/>
      <c r="J10" s="121">
        <f>Glas!I13</f>
        <v>0</v>
      </c>
      <c r="K10" s="65">
        <f>IF(ISBLANK(G10),0,G10)*J10</f>
        <v>0</v>
      </c>
      <c r="L10" s="65">
        <f>C10*K10</f>
        <v>0</v>
      </c>
      <c r="M10" s="65">
        <f>L10/12</f>
        <v>0</v>
      </c>
    </row>
    <row r="11" spans="1:13" x14ac:dyDescent="0.3">
      <c r="A11" s="128" t="s">
        <v>1112</v>
      </c>
      <c r="B11" s="76"/>
      <c r="C11" s="76"/>
      <c r="D11" s="76"/>
      <c r="E11" s="76"/>
      <c r="F11" s="76"/>
      <c r="G11" s="76"/>
      <c r="H11" s="76"/>
      <c r="I11" s="76"/>
      <c r="J11" s="76"/>
      <c r="K11" s="78">
        <f>SUM(K6:K10)</f>
        <v>0</v>
      </c>
      <c r="L11" s="78">
        <f>SUM(L6:L10)</f>
        <v>0</v>
      </c>
      <c r="M11" s="123">
        <f>L11/12</f>
        <v>0</v>
      </c>
    </row>
    <row r="13" spans="1:13" x14ac:dyDescent="0.3">
      <c r="A13" s="124" t="s">
        <v>511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125"/>
    </row>
    <row r="14" spans="1:13" x14ac:dyDescent="0.3">
      <c r="A14" s="51" t="s">
        <v>1258</v>
      </c>
      <c r="B14" s="51" t="s">
        <v>26</v>
      </c>
      <c r="C14" s="52">
        <f>IF(ISBLANK(B14),0,IF(ISERROR(VALUE(B14)),VLOOKUP(B14,dagsoorttabel1,2,FALSE)*dagenperjaar1,VALUE(B14)))</f>
        <v>1</v>
      </c>
      <c r="D14" s="51" t="s">
        <v>1063</v>
      </c>
      <c r="E14" s="51" t="s">
        <v>1259</v>
      </c>
      <c r="F14" s="51" t="s">
        <v>1141</v>
      </c>
      <c r="G14" s="117">
        <v>667.5</v>
      </c>
      <c r="H14" s="118">
        <f>Glas!G6</f>
        <v>0</v>
      </c>
      <c r="I14" s="139"/>
      <c r="J14" s="118">
        <f>Glas!I6</f>
        <v>0</v>
      </c>
      <c r="K14" s="55">
        <f>IF(ISBLANK(G14),0,G14)*J14</f>
        <v>0</v>
      </c>
      <c r="L14" s="55">
        <f>C14*K14</f>
        <v>0</v>
      </c>
      <c r="M14" s="55">
        <f>L14/12</f>
        <v>0</v>
      </c>
    </row>
    <row r="15" spans="1:13" x14ac:dyDescent="0.3">
      <c r="A15" s="56" t="s">
        <v>1260</v>
      </c>
      <c r="B15" s="56" t="s">
        <v>26</v>
      </c>
      <c r="C15" s="57">
        <f>IF(ISBLANK(B15),0,IF(ISERROR(VALUE(B15)),VLOOKUP(B15,dagsoorttabel1,2,FALSE)*dagenperjaar1,VALUE(B15)))</f>
        <v>1</v>
      </c>
      <c r="D15" s="56" t="s">
        <v>1063</v>
      </c>
      <c r="E15" s="56" t="s">
        <v>1261</v>
      </c>
      <c r="F15" s="56" t="s">
        <v>1141</v>
      </c>
      <c r="G15" s="140">
        <v>667.5</v>
      </c>
      <c r="H15" s="141">
        <f>Glas!G8</f>
        <v>0</v>
      </c>
      <c r="I15" s="142"/>
      <c r="J15" s="141">
        <f>Glas!I8</f>
        <v>0</v>
      </c>
      <c r="K15" s="60">
        <f>IF(ISBLANK(G15),0,G15)*J15</f>
        <v>0</v>
      </c>
      <c r="L15" s="60">
        <f>C15*K15</f>
        <v>0</v>
      </c>
      <c r="M15" s="60">
        <f>L15/12</f>
        <v>0</v>
      </c>
    </row>
    <row r="16" spans="1:13" x14ac:dyDescent="0.3">
      <c r="A16" s="56" t="s">
        <v>1262</v>
      </c>
      <c r="B16" s="56" t="s">
        <v>26</v>
      </c>
      <c r="C16" s="57">
        <f>IF(ISBLANK(B16),0,IF(ISERROR(VALUE(B16)),VLOOKUP(B16,dagsoorttabel1,2,FALSE)*dagenperjaar1,VALUE(B16)))</f>
        <v>1</v>
      </c>
      <c r="D16" s="56" t="s">
        <v>1063</v>
      </c>
      <c r="E16" s="56" t="s">
        <v>1263</v>
      </c>
      <c r="F16" s="56" t="s">
        <v>1141</v>
      </c>
      <c r="G16" s="140">
        <v>501.4</v>
      </c>
      <c r="H16" s="141">
        <f>Glas!G10</f>
        <v>0</v>
      </c>
      <c r="I16" s="142"/>
      <c r="J16" s="141">
        <f>Glas!I10</f>
        <v>0</v>
      </c>
      <c r="K16" s="60">
        <f>IF(ISBLANK(G16),0,G16)*J16</f>
        <v>0</v>
      </c>
      <c r="L16" s="60">
        <f>C16*K16</f>
        <v>0</v>
      </c>
      <c r="M16" s="60">
        <f>L16/12</f>
        <v>0</v>
      </c>
    </row>
    <row r="17" spans="1:13" x14ac:dyDescent="0.3">
      <c r="A17" s="61" t="s">
        <v>1266</v>
      </c>
      <c r="B17" s="61" t="s">
        <v>26</v>
      </c>
      <c r="C17" s="62">
        <f>IF(ISBLANK(B17),0,IF(ISERROR(VALUE(B17)),VLOOKUP(B17,dagsoorttabel1,2,FALSE)*dagenperjaar1,VALUE(B17)))</f>
        <v>1</v>
      </c>
      <c r="D17" s="61" t="s">
        <v>1063</v>
      </c>
      <c r="E17" s="61" t="s">
        <v>1267</v>
      </c>
      <c r="F17" s="61" t="s">
        <v>1141</v>
      </c>
      <c r="G17" s="120">
        <v>32</v>
      </c>
      <c r="H17" s="121">
        <f>Glas!G13</f>
        <v>0</v>
      </c>
      <c r="I17" s="143"/>
      <c r="J17" s="121">
        <f>Glas!I13</f>
        <v>0</v>
      </c>
      <c r="K17" s="65">
        <f>IF(ISBLANK(G17),0,G17)*J17</f>
        <v>0</v>
      </c>
      <c r="L17" s="65">
        <f>C17*K17</f>
        <v>0</v>
      </c>
      <c r="M17" s="65">
        <f>L17/12</f>
        <v>0</v>
      </c>
    </row>
    <row r="18" spans="1:13" x14ac:dyDescent="0.3">
      <c r="A18" s="128" t="s">
        <v>1113</v>
      </c>
      <c r="B18" s="76"/>
      <c r="C18" s="76"/>
      <c r="D18" s="76"/>
      <c r="E18" s="76"/>
      <c r="F18" s="76"/>
      <c r="G18" s="76"/>
      <c r="H18" s="76"/>
      <c r="I18" s="76"/>
      <c r="J18" s="76"/>
      <c r="K18" s="78">
        <f>SUM(K14:K17)</f>
        <v>0</v>
      </c>
      <c r="L18" s="78">
        <f>SUM(L14:L17)</f>
        <v>0</v>
      </c>
      <c r="M18" s="123">
        <f>L18/12</f>
        <v>0</v>
      </c>
    </row>
    <row r="20" spans="1:13" x14ac:dyDescent="0.3">
      <c r="A20" s="124" t="s">
        <v>602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125"/>
    </row>
    <row r="21" spans="1:13" x14ac:dyDescent="0.3">
      <c r="A21" s="51" t="s">
        <v>1258</v>
      </c>
      <c r="B21" s="51" t="s">
        <v>26</v>
      </c>
      <c r="C21" s="52">
        <f>IF(ISBLANK(B21),0,IF(ISERROR(VALUE(B21)),VLOOKUP(B21,dagsoorttabel1,2,FALSE)*dagenperjaar1,VALUE(B21)))</f>
        <v>1</v>
      </c>
      <c r="D21" s="51" t="s">
        <v>1063</v>
      </c>
      <c r="E21" s="51" t="s">
        <v>1259</v>
      </c>
      <c r="F21" s="51" t="s">
        <v>1141</v>
      </c>
      <c r="G21" s="117">
        <v>324</v>
      </c>
      <c r="H21" s="118">
        <f>Glas!G6</f>
        <v>0</v>
      </c>
      <c r="I21" s="139"/>
      <c r="J21" s="118">
        <f>Glas!I6</f>
        <v>0</v>
      </c>
      <c r="K21" s="55">
        <f>IF(ISBLANK(G21),0,G21)*J21</f>
        <v>0</v>
      </c>
      <c r="L21" s="55">
        <f>C21*K21</f>
        <v>0</v>
      </c>
      <c r="M21" s="55">
        <f>L21/12</f>
        <v>0</v>
      </c>
    </row>
    <row r="22" spans="1:13" x14ac:dyDescent="0.3">
      <c r="A22" s="56" t="s">
        <v>1260</v>
      </c>
      <c r="B22" s="56" t="s">
        <v>26</v>
      </c>
      <c r="C22" s="57">
        <f>IF(ISBLANK(B22),0,IF(ISERROR(VALUE(B22)),VLOOKUP(B22,dagsoorttabel1,2,FALSE)*dagenperjaar1,VALUE(B22)))</f>
        <v>1</v>
      </c>
      <c r="D22" s="56" t="s">
        <v>1063</v>
      </c>
      <c r="E22" s="56" t="s">
        <v>1261</v>
      </c>
      <c r="F22" s="56" t="s">
        <v>1141</v>
      </c>
      <c r="G22" s="140">
        <v>324</v>
      </c>
      <c r="H22" s="141">
        <f>Glas!G8</f>
        <v>0</v>
      </c>
      <c r="I22" s="142"/>
      <c r="J22" s="141">
        <f>Glas!I8</f>
        <v>0</v>
      </c>
      <c r="K22" s="60">
        <f>IF(ISBLANK(G22),0,G22)*J22</f>
        <v>0</v>
      </c>
      <c r="L22" s="60">
        <f>C22*K22</f>
        <v>0</v>
      </c>
      <c r="M22" s="60">
        <f>L22/12</f>
        <v>0</v>
      </c>
    </row>
    <row r="23" spans="1:13" x14ac:dyDescent="0.3">
      <c r="A23" s="61" t="s">
        <v>1262</v>
      </c>
      <c r="B23" s="61" t="s">
        <v>26</v>
      </c>
      <c r="C23" s="62">
        <f>IF(ISBLANK(B23),0,IF(ISERROR(VALUE(B23)),VLOOKUP(B23,dagsoorttabel1,2,FALSE)*dagenperjaar1,VALUE(B23)))</f>
        <v>1</v>
      </c>
      <c r="D23" s="61" t="s">
        <v>1063</v>
      </c>
      <c r="E23" s="61" t="s">
        <v>1263</v>
      </c>
      <c r="F23" s="61" t="s">
        <v>1141</v>
      </c>
      <c r="G23" s="120">
        <v>415.71</v>
      </c>
      <c r="H23" s="121">
        <f>Glas!G10</f>
        <v>0</v>
      </c>
      <c r="I23" s="143"/>
      <c r="J23" s="121">
        <f>Glas!I10</f>
        <v>0</v>
      </c>
      <c r="K23" s="65">
        <f>IF(ISBLANK(G23),0,G23)*J23</f>
        <v>0</v>
      </c>
      <c r="L23" s="65">
        <f>C23*K23</f>
        <v>0</v>
      </c>
      <c r="M23" s="65">
        <f>L23/12</f>
        <v>0</v>
      </c>
    </row>
    <row r="24" spans="1:13" x14ac:dyDescent="0.3">
      <c r="A24" s="128" t="s">
        <v>1114</v>
      </c>
      <c r="B24" s="76"/>
      <c r="C24" s="76"/>
      <c r="D24" s="76"/>
      <c r="E24" s="76"/>
      <c r="F24" s="76"/>
      <c r="G24" s="76"/>
      <c r="H24" s="76"/>
      <c r="I24" s="76"/>
      <c r="J24" s="76"/>
      <c r="K24" s="78">
        <f>SUM(K21:K23)</f>
        <v>0</v>
      </c>
      <c r="L24" s="78">
        <f>SUM(L21:L23)</f>
        <v>0</v>
      </c>
      <c r="M24" s="123">
        <f>L24/12</f>
        <v>0</v>
      </c>
    </row>
    <row r="26" spans="1:13" x14ac:dyDescent="0.3">
      <c r="A26" s="124" t="s">
        <v>735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125"/>
    </row>
    <row r="27" spans="1:13" x14ac:dyDescent="0.3">
      <c r="A27" s="51" t="s">
        <v>1258</v>
      </c>
      <c r="B27" s="51" t="s">
        <v>26</v>
      </c>
      <c r="C27" s="52">
        <f>IF(ISBLANK(B27),0,IF(ISERROR(VALUE(B27)),VLOOKUP(B27,dagsoorttabel1,2,FALSE)*dagenperjaar1,VALUE(B27)))</f>
        <v>1</v>
      </c>
      <c r="D27" s="51" t="s">
        <v>1063</v>
      </c>
      <c r="E27" s="51" t="s">
        <v>1259</v>
      </c>
      <c r="F27" s="51" t="s">
        <v>1141</v>
      </c>
      <c r="G27" s="117">
        <v>120</v>
      </c>
      <c r="H27" s="118">
        <f>Glas!G6</f>
        <v>0</v>
      </c>
      <c r="I27" s="139"/>
      <c r="J27" s="118">
        <f>Glas!I6</f>
        <v>0</v>
      </c>
      <c r="K27" s="55">
        <f>IF(ISBLANK(G27),0,G27)*J27</f>
        <v>0</v>
      </c>
      <c r="L27" s="55">
        <f>C27*K27</f>
        <v>0</v>
      </c>
      <c r="M27" s="55">
        <f>L27/12</f>
        <v>0</v>
      </c>
    </row>
    <row r="28" spans="1:13" x14ac:dyDescent="0.3">
      <c r="A28" s="56" t="s">
        <v>1260</v>
      </c>
      <c r="B28" s="56" t="s">
        <v>26</v>
      </c>
      <c r="C28" s="57">
        <f>IF(ISBLANK(B28),0,IF(ISERROR(VALUE(B28)),VLOOKUP(B28,dagsoorttabel1,2,FALSE)*dagenperjaar1,VALUE(B28)))</f>
        <v>1</v>
      </c>
      <c r="D28" s="56" t="s">
        <v>1063</v>
      </c>
      <c r="E28" s="56" t="s">
        <v>1261</v>
      </c>
      <c r="F28" s="56" t="s">
        <v>1141</v>
      </c>
      <c r="G28" s="140">
        <v>120</v>
      </c>
      <c r="H28" s="141">
        <f>Glas!G8</f>
        <v>0</v>
      </c>
      <c r="I28" s="142"/>
      <c r="J28" s="141">
        <f>Glas!I8</f>
        <v>0</v>
      </c>
      <c r="K28" s="60">
        <f>IF(ISBLANK(G28),0,G28)*J28</f>
        <v>0</v>
      </c>
      <c r="L28" s="60">
        <f>C28*K28</f>
        <v>0</v>
      </c>
      <c r="M28" s="60">
        <f>L28/12</f>
        <v>0</v>
      </c>
    </row>
    <row r="29" spans="1:13" x14ac:dyDescent="0.3">
      <c r="A29" s="61" t="s">
        <v>1262</v>
      </c>
      <c r="B29" s="61" t="s">
        <v>26</v>
      </c>
      <c r="C29" s="62">
        <f>IF(ISBLANK(B29),0,IF(ISERROR(VALUE(B29)),VLOOKUP(B29,dagsoorttabel1,2,FALSE)*dagenperjaar1,VALUE(B29)))</f>
        <v>1</v>
      </c>
      <c r="D29" s="61" t="s">
        <v>1063</v>
      </c>
      <c r="E29" s="61" t="s">
        <v>1263</v>
      </c>
      <c r="F29" s="61" t="s">
        <v>1141</v>
      </c>
      <c r="G29" s="120">
        <v>120</v>
      </c>
      <c r="H29" s="121">
        <f>Glas!G10</f>
        <v>0</v>
      </c>
      <c r="I29" s="143"/>
      <c r="J29" s="121">
        <f>Glas!I10</f>
        <v>0</v>
      </c>
      <c r="K29" s="65">
        <f>IF(ISBLANK(G29),0,G29)*J29</f>
        <v>0</v>
      </c>
      <c r="L29" s="65">
        <f>C29*K29</f>
        <v>0</v>
      </c>
      <c r="M29" s="65">
        <f>L29/12</f>
        <v>0</v>
      </c>
    </row>
    <row r="30" spans="1:13" x14ac:dyDescent="0.3">
      <c r="A30" s="128" t="s">
        <v>1277</v>
      </c>
      <c r="B30" s="76"/>
      <c r="C30" s="76"/>
      <c r="D30" s="76"/>
      <c r="E30" s="76"/>
      <c r="F30" s="76"/>
      <c r="G30" s="76"/>
      <c r="H30" s="76"/>
      <c r="I30" s="76"/>
      <c r="J30" s="76"/>
      <c r="K30" s="78">
        <f>SUM(K27:K29)</f>
        <v>0</v>
      </c>
      <c r="L30" s="78">
        <f>SUM(L27:L29)</f>
        <v>0</v>
      </c>
      <c r="M30" s="123">
        <f>L30/12</f>
        <v>0</v>
      </c>
    </row>
    <row r="32" spans="1:13" x14ac:dyDescent="0.3">
      <c r="A32" s="124" t="s">
        <v>985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125"/>
    </row>
    <row r="33" spans="1:13" x14ac:dyDescent="0.3">
      <c r="A33" s="51" t="s">
        <v>1258</v>
      </c>
      <c r="B33" s="51" t="s">
        <v>25</v>
      </c>
      <c r="C33" s="52">
        <f>IF(ISBLANK(B33),0,IF(ISERROR(VALUE(B33)),VLOOKUP(B33,dagsoorttabel1,2,FALSE)*dagenperjaar1,VALUE(B33)))</f>
        <v>2</v>
      </c>
      <c r="D33" s="51" t="s">
        <v>1063</v>
      </c>
      <c r="E33" s="51" t="s">
        <v>1259</v>
      </c>
      <c r="F33" s="51" t="s">
        <v>1141</v>
      </c>
      <c r="G33" s="117">
        <v>475.17</v>
      </c>
      <c r="H33" s="118">
        <f>Glas!G7</f>
        <v>0</v>
      </c>
      <c r="I33" s="139"/>
      <c r="J33" s="118">
        <f>Glas!I7</f>
        <v>0</v>
      </c>
      <c r="K33" s="55">
        <f>IF(ISBLANK(G33),0,G33)*J33</f>
        <v>0</v>
      </c>
      <c r="L33" s="55">
        <f>C33*K33</f>
        <v>0</v>
      </c>
      <c r="M33" s="55">
        <f>L33/12</f>
        <v>0</v>
      </c>
    </row>
    <row r="34" spans="1:13" x14ac:dyDescent="0.3">
      <c r="A34" s="56" t="s">
        <v>1260</v>
      </c>
      <c r="B34" s="56" t="s">
        <v>25</v>
      </c>
      <c r="C34" s="57">
        <f>IF(ISBLANK(B34),0,IF(ISERROR(VALUE(B34)),VLOOKUP(B34,dagsoorttabel1,2,FALSE)*dagenperjaar1,VALUE(B34)))</f>
        <v>2</v>
      </c>
      <c r="D34" s="56" t="s">
        <v>1063</v>
      </c>
      <c r="E34" s="56" t="s">
        <v>1261</v>
      </c>
      <c r="F34" s="56" t="s">
        <v>1141</v>
      </c>
      <c r="G34" s="140">
        <v>475.17</v>
      </c>
      <c r="H34" s="141">
        <f>Glas!G9</f>
        <v>0</v>
      </c>
      <c r="I34" s="142"/>
      <c r="J34" s="141">
        <f>Glas!I9</f>
        <v>0</v>
      </c>
      <c r="K34" s="60">
        <f>IF(ISBLANK(G34),0,G34)*J34</f>
        <v>0</v>
      </c>
      <c r="L34" s="60">
        <f>C34*K34</f>
        <v>0</v>
      </c>
      <c r="M34" s="60">
        <f>L34/12</f>
        <v>0</v>
      </c>
    </row>
    <row r="35" spans="1:13" x14ac:dyDescent="0.3">
      <c r="A35" s="56" t="s">
        <v>1262</v>
      </c>
      <c r="B35" s="56" t="s">
        <v>25</v>
      </c>
      <c r="C35" s="57">
        <f>IF(ISBLANK(B35),0,IF(ISERROR(VALUE(B35)),VLOOKUP(B35,dagsoorttabel1,2,FALSE)*dagenperjaar1,VALUE(B35)))</f>
        <v>2</v>
      </c>
      <c r="D35" s="56" t="s">
        <v>1063</v>
      </c>
      <c r="E35" s="56" t="s">
        <v>1263</v>
      </c>
      <c r="F35" s="56" t="s">
        <v>1141</v>
      </c>
      <c r="G35" s="140">
        <v>540.28</v>
      </c>
      <c r="H35" s="141">
        <f>Glas!G11</f>
        <v>0</v>
      </c>
      <c r="I35" s="142"/>
      <c r="J35" s="141">
        <f>Glas!I11</f>
        <v>0</v>
      </c>
      <c r="K35" s="60">
        <f>IF(ISBLANK(G35),0,G35)*J35</f>
        <v>0</v>
      </c>
      <c r="L35" s="60">
        <f>C35*K35</f>
        <v>0</v>
      </c>
      <c r="M35" s="60">
        <f>L35/12</f>
        <v>0</v>
      </c>
    </row>
    <row r="36" spans="1:13" x14ac:dyDescent="0.3">
      <c r="A36" s="56" t="s">
        <v>1268</v>
      </c>
      <c r="B36" s="56" t="s">
        <v>25</v>
      </c>
      <c r="C36" s="57">
        <f>IF(ISBLANK(B36),0,IF(ISERROR(VALUE(B36)),VLOOKUP(B36,dagsoorttabel1,2,FALSE)*dagenperjaar1,VALUE(B36)))</f>
        <v>2</v>
      </c>
      <c r="D36" s="56" t="s">
        <v>1063</v>
      </c>
      <c r="E36" s="56" t="s">
        <v>1269</v>
      </c>
      <c r="F36" s="56" t="s">
        <v>1141</v>
      </c>
      <c r="G36" s="140">
        <v>14.5</v>
      </c>
      <c r="H36" s="141">
        <f>Glas!G14</f>
        <v>0</v>
      </c>
      <c r="I36" s="142"/>
      <c r="J36" s="141">
        <f>Glas!I14</f>
        <v>0</v>
      </c>
      <c r="K36" s="60">
        <f>IF(ISBLANK(G36),0,G36)*J36</f>
        <v>0</v>
      </c>
      <c r="L36" s="60">
        <f>C36*K36</f>
        <v>0</v>
      </c>
      <c r="M36" s="60">
        <f>L36/12</f>
        <v>0</v>
      </c>
    </row>
    <row r="37" spans="1:13" x14ac:dyDescent="0.3">
      <c r="A37" s="56" t="s">
        <v>1270</v>
      </c>
      <c r="B37" s="56" t="s">
        <v>25</v>
      </c>
      <c r="C37" s="57">
        <f>IF(ISBLANK(B37),0,IF(ISERROR(VALUE(B37)),VLOOKUP(B37,dagsoorttabel1,2,FALSE)*dagenperjaar1,VALUE(B37)))</f>
        <v>2</v>
      </c>
      <c r="D37" s="56" t="s">
        <v>1063</v>
      </c>
      <c r="E37" s="56" t="s">
        <v>1271</v>
      </c>
      <c r="F37" s="56" t="s">
        <v>1141</v>
      </c>
      <c r="G37" s="140">
        <v>14.5</v>
      </c>
      <c r="H37" s="141">
        <f>Glas!G15</f>
        <v>0</v>
      </c>
      <c r="I37" s="142"/>
      <c r="J37" s="141">
        <f>Glas!I15</f>
        <v>0</v>
      </c>
      <c r="K37" s="60">
        <f>IF(ISBLANK(G37),0,G37)*J37</f>
        <v>0</v>
      </c>
      <c r="L37" s="60">
        <f>C37*K37</f>
        <v>0</v>
      </c>
      <c r="M37" s="60">
        <f>L37/12</f>
        <v>0</v>
      </c>
    </row>
    <row r="38" spans="1:13" x14ac:dyDescent="0.3">
      <c r="A38" s="56" t="s">
        <v>1272</v>
      </c>
      <c r="B38" s="56" t="s">
        <v>25</v>
      </c>
      <c r="C38" s="57">
        <f>IF(ISBLANK(B38),0,IF(ISERROR(VALUE(B38)),VLOOKUP(B38,dagsoorttabel1,2,FALSE)*dagenperjaar1,VALUE(B38)))</f>
        <v>2</v>
      </c>
      <c r="D38" s="56" t="s">
        <v>1063</v>
      </c>
      <c r="E38" s="56" t="s">
        <v>1273</v>
      </c>
      <c r="F38" s="56" t="s">
        <v>1141</v>
      </c>
      <c r="G38" s="140">
        <v>19</v>
      </c>
      <c r="H38" s="141">
        <f>Glas!G16</f>
        <v>0</v>
      </c>
      <c r="I38" s="142"/>
      <c r="J38" s="141">
        <f>Glas!I16</f>
        <v>0</v>
      </c>
      <c r="K38" s="60">
        <f>IF(ISBLANK(G38),0,G38)*J38</f>
        <v>0</v>
      </c>
      <c r="L38" s="60">
        <f>C38*K38</f>
        <v>0</v>
      </c>
      <c r="M38" s="60">
        <f>L38/12</f>
        <v>0</v>
      </c>
    </row>
    <row r="39" spans="1:13" x14ac:dyDescent="0.3">
      <c r="A39" s="61" t="s">
        <v>1274</v>
      </c>
      <c r="B39" s="61" t="s">
        <v>25</v>
      </c>
      <c r="C39" s="62">
        <f>IF(ISBLANK(B39),0,IF(ISERROR(VALUE(B39)),VLOOKUP(B39,dagsoorttabel1,2,FALSE)*dagenperjaar1,VALUE(B39)))</f>
        <v>2</v>
      </c>
      <c r="D39" s="61" t="s">
        <v>1063</v>
      </c>
      <c r="E39" s="61" t="s">
        <v>1275</v>
      </c>
      <c r="F39" s="61" t="s">
        <v>1141</v>
      </c>
      <c r="G39" s="120">
        <v>19</v>
      </c>
      <c r="H39" s="121">
        <f>Glas!G17</f>
        <v>0</v>
      </c>
      <c r="I39" s="143"/>
      <c r="J39" s="121">
        <f>Glas!I17</f>
        <v>0</v>
      </c>
      <c r="K39" s="65">
        <f>IF(ISBLANK(G39),0,G39)*J39</f>
        <v>0</v>
      </c>
      <c r="L39" s="65">
        <f>C39*K39</f>
        <v>0</v>
      </c>
      <c r="M39" s="65">
        <f>L39/12</f>
        <v>0</v>
      </c>
    </row>
    <row r="40" spans="1:13" x14ac:dyDescent="0.3">
      <c r="A40" s="128" t="s">
        <v>1117</v>
      </c>
      <c r="B40" s="76"/>
      <c r="C40" s="76"/>
      <c r="D40" s="76"/>
      <c r="E40" s="76"/>
      <c r="F40" s="76"/>
      <c r="G40" s="76"/>
      <c r="H40" s="76"/>
      <c r="I40" s="76"/>
      <c r="J40" s="76"/>
      <c r="K40" s="78">
        <f>SUM(K33:K39)</f>
        <v>0</v>
      </c>
      <c r="L40" s="78">
        <f>SUM(L33:L39)</f>
        <v>0</v>
      </c>
      <c r="M40" s="123">
        <f>L40/12</f>
        <v>0</v>
      </c>
    </row>
  </sheetData>
  <sheetProtection algorithmName="SHA-512" hashValue="wMjrmdGnnfTfGUQZMtyAJpNNCA+cU7B1IHh9cY4m80fh26/HcD1Lp+urR8mGOF41mNy3ke6jWOQFgWhzbaZzlw==" saltValue="UP/01OHbGs5mPyFZ6KIMGg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CF628-E891-4E8D-909D-EC71D251409F}">
  <dimension ref="A1:E15"/>
  <sheetViews>
    <sheetView tabSelected="1" workbookViewId="0"/>
  </sheetViews>
  <sheetFormatPr defaultRowHeight="14.4" x14ac:dyDescent="0.3"/>
  <cols>
    <col min="1" max="1" width="30.77734375" customWidth="1"/>
    <col min="2" max="5" width="20.77734375" customWidth="1"/>
  </cols>
  <sheetData>
    <row r="1" spans="1:5" x14ac:dyDescent="0.3">
      <c r="A1" s="1" t="str">
        <f>CONCATENATE("Bijlage F.12: ",tabeltype," totaalblad schoonmaakwerk")</f>
        <v>Bijlage F.12: Invultabel totaalblad schoonmaakwerk</v>
      </c>
    </row>
    <row r="3" spans="1:5" ht="28.8" x14ac:dyDescent="0.3">
      <c r="A3" s="44" t="s">
        <v>1278</v>
      </c>
      <c r="B3" s="44" t="s">
        <v>1279</v>
      </c>
      <c r="C3" s="44" t="s">
        <v>1280</v>
      </c>
      <c r="D3" s="44" t="s">
        <v>1281</v>
      </c>
      <c r="E3" s="44" t="s">
        <v>1282</v>
      </c>
    </row>
    <row r="4" spans="1:5" x14ac:dyDescent="0.3">
      <c r="A4" s="144" t="s">
        <v>1283</v>
      </c>
      <c r="B4" s="66">
        <f>urenjaartotaaloverzicht</f>
        <v>0</v>
      </c>
      <c r="C4" s="66">
        <f>urenjaartotaaloverzichthf</f>
        <v>0</v>
      </c>
      <c r="D4" s="55">
        <f>prijsjaartotaaloverzicht</f>
        <v>0</v>
      </c>
      <c r="E4" s="55">
        <f>D4*1.21</f>
        <v>0</v>
      </c>
    </row>
    <row r="5" spans="1:5" x14ac:dyDescent="0.3">
      <c r="A5" s="145" t="s">
        <v>1284</v>
      </c>
      <c r="B5" s="146"/>
      <c r="C5" s="146"/>
      <c r="D5" s="60">
        <f>prijsjaaradditioneel</f>
        <v>0</v>
      </c>
      <c r="E5" s="60">
        <f>D5*1.21</f>
        <v>0</v>
      </c>
    </row>
    <row r="6" spans="1:5" x14ac:dyDescent="0.3">
      <c r="A6" s="145" t="s">
        <v>1285</v>
      </c>
      <c r="B6" s="146"/>
      <c r="C6" s="146"/>
      <c r="D6" s="60">
        <f>prijsjaarregie</f>
        <v>0</v>
      </c>
      <c r="E6" s="60">
        <f>D6*1.21</f>
        <v>0</v>
      </c>
    </row>
    <row r="7" spans="1:5" x14ac:dyDescent="0.3">
      <c r="A7" s="147" t="s">
        <v>1286</v>
      </c>
      <c r="B7" s="148"/>
      <c r="C7" s="148"/>
      <c r="D7" s="65">
        <f>prijsjaarglas</f>
        <v>0</v>
      </c>
      <c r="E7" s="65">
        <f>D7*1.21</f>
        <v>0</v>
      </c>
    </row>
    <row r="9" spans="1:5" x14ac:dyDescent="0.3">
      <c r="A9" s="44" t="s">
        <v>1287</v>
      </c>
      <c r="B9" s="77">
        <f>SUM(B4:B7)</f>
        <v>0</v>
      </c>
      <c r="C9" s="77">
        <f>SUM(C4:C7)</f>
        <v>0</v>
      </c>
      <c r="D9" s="78">
        <f>SUM(D4:D7)</f>
        <v>0</v>
      </c>
      <c r="E9" s="78">
        <f>D9*1.21</f>
        <v>0</v>
      </c>
    </row>
    <row r="12" spans="1:5" x14ac:dyDescent="0.3">
      <c r="A12" s="149" t="s">
        <v>1288</v>
      </c>
      <c r="B12" s="110"/>
      <c r="C12" s="110"/>
      <c r="D12" s="150">
        <f>SUM(wib_regulier)</f>
        <v>0</v>
      </c>
      <c r="E12" s="110"/>
    </row>
    <row r="15" spans="1:5" x14ac:dyDescent="0.3">
      <c r="A15" s="149" t="s">
        <v>1289</v>
      </c>
      <c r="B15" s="110"/>
      <c r="C15" s="110"/>
      <c r="D15" s="150">
        <f>SUM(vp_additioneel,vp_regie,vp_glas)</f>
        <v>0</v>
      </c>
      <c r="E15" s="110"/>
    </row>
  </sheetData>
  <sheetProtection algorithmName="SHA-512" hashValue="vyfUIud+LDdg9SBjNzqlpk4xPTy2q5e+g1A3przYljGEykVG1T7pHI19ZEJEpEDSkS9mLrevphpq1ezJ/+BApA==" saltValue="ZtepGnpLChqrmMyt+m+9sw==" spinCount="100000" sheet="1" objects="1" scenarios="1" autoFilter="0"/>
  <pageMargins left="0.7" right="0.7" top="0.75" bottom="0.75" header="0.3" footer="0.3"/>
  <pageSetup paperSize="9" scale="70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F75D-8067-4041-A601-3248A617FB61}">
  <dimension ref="A1:Q61"/>
  <sheetViews>
    <sheetView workbookViewId="0"/>
  </sheetViews>
  <sheetFormatPr defaultRowHeight="14.4" x14ac:dyDescent="0.3"/>
  <cols>
    <col min="1" max="1" width="40.77734375" customWidth="1"/>
    <col min="2" max="2" width="8.33203125" customWidth="1"/>
    <col min="3" max="3" width="10.77734375" customWidth="1"/>
    <col min="4" max="4" width="8.33203125" customWidth="1"/>
    <col min="5" max="5" width="10.77734375" customWidth="1"/>
    <col min="6" max="6" width="8.33203125" customWidth="1"/>
    <col min="7" max="7" width="10.77734375" customWidth="1"/>
    <col min="8" max="8" width="8.33203125" customWidth="1"/>
    <col min="9" max="9" width="10.77734375" customWidth="1"/>
    <col min="10" max="10" width="8.33203125" customWidth="1"/>
    <col min="11" max="11" width="10.77734375" customWidth="1"/>
    <col min="12" max="12" width="8.33203125" customWidth="1"/>
    <col min="13" max="13" width="10.77734375" customWidth="1"/>
    <col min="14" max="14" width="8.33203125" customWidth="1"/>
    <col min="15" max="15" width="10.77734375" customWidth="1"/>
    <col min="16" max="16" width="8.33203125" customWidth="1"/>
    <col min="17" max="17" width="10.77734375" customWidth="1"/>
  </cols>
  <sheetData>
    <row r="1" spans="1:17" x14ac:dyDescent="0.3">
      <c r="A1" s="1" t="s">
        <v>27</v>
      </c>
    </row>
    <row r="3" spans="1:17" x14ac:dyDescent="0.3">
      <c r="A3" s="8"/>
      <c r="B3" s="9" t="s">
        <v>28</v>
      </c>
      <c r="C3" s="9"/>
      <c r="D3" s="9" t="s">
        <v>28</v>
      </c>
      <c r="E3" s="9"/>
      <c r="F3" s="9" t="s">
        <v>28</v>
      </c>
      <c r="G3" s="9"/>
      <c r="H3" s="9" t="s">
        <v>28</v>
      </c>
      <c r="I3" s="9"/>
      <c r="J3" s="9" t="s">
        <v>28</v>
      </c>
      <c r="K3" s="9"/>
      <c r="L3" s="9" t="s">
        <v>29</v>
      </c>
      <c r="M3" s="9"/>
      <c r="N3" s="9" t="s">
        <v>29</v>
      </c>
      <c r="O3" s="9"/>
      <c r="P3" s="9" t="s">
        <v>29</v>
      </c>
      <c r="Q3" s="10"/>
    </row>
    <row r="4" spans="1:17" x14ac:dyDescent="0.3">
      <c r="A4" s="11"/>
      <c r="B4" s="12" t="s">
        <v>30</v>
      </c>
      <c r="C4" s="12"/>
      <c r="D4" s="12" t="s">
        <v>30</v>
      </c>
      <c r="E4" s="12"/>
      <c r="F4" s="12" t="s">
        <v>30</v>
      </c>
      <c r="G4" s="12"/>
      <c r="H4" s="12" t="s">
        <v>31</v>
      </c>
      <c r="I4" s="12"/>
      <c r="J4" s="12" t="s">
        <v>31</v>
      </c>
      <c r="K4" s="12"/>
      <c r="L4" s="12" t="s">
        <v>30</v>
      </c>
      <c r="M4" s="12"/>
      <c r="N4" s="12" t="s">
        <v>30</v>
      </c>
      <c r="O4" s="12"/>
      <c r="P4" s="12" t="s">
        <v>31</v>
      </c>
      <c r="Q4" s="13"/>
    </row>
    <row r="5" spans="1:17" ht="28.8" customHeight="1" x14ac:dyDescent="0.3">
      <c r="A5" s="14" t="s">
        <v>32</v>
      </c>
      <c r="B5" s="15" t="s">
        <v>33</v>
      </c>
      <c r="C5" s="15"/>
      <c r="D5" s="15" t="s">
        <v>33</v>
      </c>
      <c r="E5" s="15"/>
      <c r="F5" s="15" t="s">
        <v>34</v>
      </c>
      <c r="G5" s="15"/>
      <c r="H5" s="15" t="s">
        <v>35</v>
      </c>
      <c r="I5" s="15"/>
      <c r="J5" s="15" t="s">
        <v>35</v>
      </c>
      <c r="K5" s="15"/>
      <c r="L5" s="15" t="s">
        <v>36</v>
      </c>
      <c r="M5" s="15"/>
      <c r="N5" s="15" t="s">
        <v>36</v>
      </c>
      <c r="O5" s="15"/>
      <c r="P5" s="15" t="s">
        <v>37</v>
      </c>
      <c r="Q5" s="16"/>
    </row>
    <row r="6" spans="1:17" ht="43.2" customHeight="1" x14ac:dyDescent="0.3">
      <c r="A6" s="17" t="s">
        <v>38</v>
      </c>
      <c r="B6" s="15" t="s">
        <v>39</v>
      </c>
      <c r="C6" s="15"/>
      <c r="D6" s="18" t="s">
        <v>40</v>
      </c>
      <c r="E6" s="18"/>
      <c r="F6" s="15" t="s">
        <v>41</v>
      </c>
      <c r="G6" s="15"/>
      <c r="H6" s="15" t="s">
        <v>41</v>
      </c>
      <c r="I6" s="15"/>
      <c r="J6" s="15" t="s">
        <v>42</v>
      </c>
      <c r="K6" s="15"/>
      <c r="L6" s="18" t="s">
        <v>40</v>
      </c>
      <c r="M6" s="18"/>
      <c r="N6" s="15" t="s">
        <v>43</v>
      </c>
      <c r="O6" s="15"/>
      <c r="P6" s="18" t="s">
        <v>40</v>
      </c>
      <c r="Q6" s="19"/>
    </row>
    <row r="7" spans="1:17" x14ac:dyDescent="0.3">
      <c r="A7" s="20" t="s">
        <v>44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x14ac:dyDescent="0.3">
      <c r="A8" s="20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</row>
    <row r="9" spans="1:17" x14ac:dyDescent="0.3">
      <c r="A9" s="11" t="s">
        <v>46</v>
      </c>
      <c r="B9" s="23">
        <f>SUM(B7:B8)</f>
        <v>0</v>
      </c>
      <c r="C9" s="23"/>
      <c r="D9" s="23">
        <f>SUM(D7:D8)</f>
        <v>0</v>
      </c>
      <c r="E9" s="23"/>
      <c r="F9" s="23">
        <f>SUM(F7:F8)</f>
        <v>0</v>
      </c>
      <c r="G9" s="23"/>
      <c r="H9" s="23">
        <f>SUM(H7:H8)</f>
        <v>0</v>
      </c>
      <c r="I9" s="23"/>
      <c r="J9" s="23">
        <f>SUM(J7:J8)</f>
        <v>0</v>
      </c>
      <c r="K9" s="23"/>
      <c r="L9" s="23">
        <f>SUM(L7:L8)</f>
        <v>0</v>
      </c>
      <c r="M9" s="23"/>
      <c r="N9" s="23">
        <f>SUM(N7:N8)</f>
        <v>0</v>
      </c>
      <c r="O9" s="23"/>
      <c r="P9" s="23">
        <f>SUM(P7:P8)</f>
        <v>0</v>
      </c>
      <c r="Q9" s="24"/>
    </row>
    <row r="10" spans="1:17" x14ac:dyDescent="0.3">
      <c r="A10" s="20" t="s">
        <v>47</v>
      </c>
      <c r="B10" s="25"/>
      <c r="C10" s="26">
        <f>TariefOpbouwBasisloon1*B10</f>
        <v>0</v>
      </c>
      <c r="D10" s="25"/>
      <c r="E10" s="26">
        <f>TariefOpbouwBasisloon2*D10</f>
        <v>0</v>
      </c>
      <c r="F10" s="25"/>
      <c r="G10" s="26">
        <f>TariefOpbouwBasisloon3*F10</f>
        <v>0</v>
      </c>
      <c r="H10" s="25"/>
      <c r="I10" s="26">
        <f>TariefOpbouwBasisloon4*H10</f>
        <v>0</v>
      </c>
      <c r="J10" s="25"/>
      <c r="K10" s="26">
        <f>TariefOpbouwBasisloon5*J10</f>
        <v>0</v>
      </c>
      <c r="L10" s="25"/>
      <c r="M10" s="26">
        <f>TariefOpbouwBasisloon6*L10</f>
        <v>0</v>
      </c>
      <c r="N10" s="25"/>
      <c r="O10" s="26">
        <f>TariefOpbouwBasisloon7*N10</f>
        <v>0</v>
      </c>
      <c r="P10" s="25"/>
      <c r="Q10" s="27">
        <f>TariefOpbouwBasisloon8*P10</f>
        <v>0</v>
      </c>
    </row>
    <row r="11" spans="1:17" x14ac:dyDescent="0.3">
      <c r="A11" s="20" t="s">
        <v>48</v>
      </c>
      <c r="B11" s="25"/>
      <c r="C11" s="26">
        <f>TariefOpbouwBasisloon1*B11</f>
        <v>0</v>
      </c>
      <c r="D11" s="25"/>
      <c r="E11" s="26">
        <f>TariefOpbouwBasisloon2*D11</f>
        <v>0</v>
      </c>
      <c r="F11" s="25"/>
      <c r="G11" s="26">
        <f>TariefOpbouwBasisloon3*F11</f>
        <v>0</v>
      </c>
      <c r="H11" s="25"/>
      <c r="I11" s="26">
        <f>TariefOpbouwBasisloon4*H11</f>
        <v>0</v>
      </c>
      <c r="J11" s="25"/>
      <c r="K11" s="26">
        <f>TariefOpbouwBasisloon5*J11</f>
        <v>0</v>
      </c>
      <c r="L11" s="25"/>
      <c r="M11" s="26">
        <f>TariefOpbouwBasisloon6*L11</f>
        <v>0</v>
      </c>
      <c r="N11" s="25"/>
      <c r="O11" s="26">
        <f>TariefOpbouwBasisloon7*N11</f>
        <v>0</v>
      </c>
      <c r="P11" s="25"/>
      <c r="Q11" s="27">
        <f>TariefOpbouwBasisloon8*P11</f>
        <v>0</v>
      </c>
    </row>
    <row r="12" spans="1:17" x14ac:dyDescent="0.3">
      <c r="A12" s="11" t="s">
        <v>49</v>
      </c>
      <c r="B12" s="23">
        <f>SUM(TariefOpbouwBasisloon1,C10:C11)</f>
        <v>0</v>
      </c>
      <c r="C12" s="23"/>
      <c r="D12" s="23">
        <f>SUM(TariefOpbouwBasisloon2,E10:E11)</f>
        <v>0</v>
      </c>
      <c r="E12" s="23"/>
      <c r="F12" s="23">
        <f>SUM(TariefOpbouwBasisloon3,G10:G11)</f>
        <v>0</v>
      </c>
      <c r="G12" s="23"/>
      <c r="H12" s="23">
        <f>SUM(TariefOpbouwBasisloon4,I10:I11)</f>
        <v>0</v>
      </c>
      <c r="I12" s="23"/>
      <c r="J12" s="23">
        <f>SUM(TariefOpbouwBasisloon5,K10:K11)</f>
        <v>0</v>
      </c>
      <c r="K12" s="23"/>
      <c r="L12" s="23">
        <f>SUM(TariefOpbouwBasisloon6,M10:M11)</f>
        <v>0</v>
      </c>
      <c r="M12" s="23"/>
      <c r="N12" s="23">
        <f>SUM(TariefOpbouwBasisloon7,O10:O11)</f>
        <v>0</v>
      </c>
      <c r="O12" s="23"/>
      <c r="P12" s="23">
        <f>SUM(TariefOpbouwBasisloon8,Q10:Q11)</f>
        <v>0</v>
      </c>
      <c r="Q12" s="24"/>
    </row>
    <row r="13" spans="1:17" x14ac:dyDescent="0.3">
      <c r="A13" s="20" t="s">
        <v>50</v>
      </c>
      <c r="B13" s="25"/>
      <c r="C13" s="26">
        <f>TariefOpbouwUurloon1*B13</f>
        <v>0</v>
      </c>
      <c r="D13" s="25"/>
      <c r="E13" s="26">
        <f>TariefOpbouwUurloon2*D13</f>
        <v>0</v>
      </c>
      <c r="F13" s="25"/>
      <c r="G13" s="26">
        <f>TariefOpbouwUurloon3*F13</f>
        <v>0</v>
      </c>
      <c r="H13" s="25"/>
      <c r="I13" s="26">
        <f>TariefOpbouwUurloon4*H13</f>
        <v>0</v>
      </c>
      <c r="J13" s="25"/>
      <c r="K13" s="26">
        <f>TariefOpbouwUurloon5*J13</f>
        <v>0</v>
      </c>
      <c r="L13" s="25"/>
      <c r="M13" s="26">
        <f>TariefOpbouwUurloon6*L13</f>
        <v>0</v>
      </c>
      <c r="N13" s="25"/>
      <c r="O13" s="26">
        <f>TariefOpbouwUurloon7*N13</f>
        <v>0</v>
      </c>
      <c r="P13" s="25"/>
      <c r="Q13" s="27">
        <f>TariefOpbouwUurloon8*P13</f>
        <v>0</v>
      </c>
    </row>
    <row r="14" spans="1:17" x14ac:dyDescent="0.3">
      <c r="A14" s="11" t="s">
        <v>51</v>
      </c>
      <c r="B14" s="23">
        <f>SUM(TariefOpbouwUurloon1,C13:C13)</f>
        <v>0</v>
      </c>
      <c r="C14" s="23"/>
      <c r="D14" s="23">
        <f>SUM(TariefOpbouwUurloon2,E13:E13)</f>
        <v>0</v>
      </c>
      <c r="E14" s="23"/>
      <c r="F14" s="23">
        <f>SUM(TariefOpbouwUurloon3,G13:G13)</f>
        <v>0</v>
      </c>
      <c r="G14" s="23"/>
      <c r="H14" s="23">
        <f>SUM(TariefOpbouwUurloon4,I13:I13)</f>
        <v>0</v>
      </c>
      <c r="I14" s="23"/>
      <c r="J14" s="23">
        <f>SUM(TariefOpbouwUurloon5,K13:K13)</f>
        <v>0</v>
      </c>
      <c r="K14" s="23"/>
      <c r="L14" s="23">
        <f>SUM(TariefOpbouwUurloon6,M13:M13)</f>
        <v>0</v>
      </c>
      <c r="M14" s="23"/>
      <c r="N14" s="23">
        <f>SUM(TariefOpbouwUurloon7,O13:O13)</f>
        <v>0</v>
      </c>
      <c r="O14" s="23"/>
      <c r="P14" s="23">
        <f>SUM(TariefOpbouwUurloon8,Q13:Q13)</f>
        <v>0</v>
      </c>
      <c r="Q14" s="24"/>
    </row>
    <row r="15" spans="1:17" x14ac:dyDescent="0.3">
      <c r="A15" s="20" t="s">
        <v>52</v>
      </c>
      <c r="B15" s="25"/>
      <c r="C15" s="26">
        <f>TariefOpbouwUurloonkosten1*B15</f>
        <v>0</v>
      </c>
      <c r="D15" s="25"/>
      <c r="E15" s="26">
        <f>TariefOpbouwUurloonkosten2*D15</f>
        <v>0</v>
      </c>
      <c r="F15" s="25"/>
      <c r="G15" s="26">
        <f>TariefOpbouwUurloonkosten3*F15</f>
        <v>0</v>
      </c>
      <c r="H15" s="25"/>
      <c r="I15" s="26">
        <f>TariefOpbouwUurloonkosten4*H15</f>
        <v>0</v>
      </c>
      <c r="J15" s="25"/>
      <c r="K15" s="26">
        <f>TariefOpbouwUurloonkosten5*J15</f>
        <v>0</v>
      </c>
      <c r="L15" s="25"/>
      <c r="M15" s="26">
        <f>TariefOpbouwUurloonkosten6*L15</f>
        <v>0</v>
      </c>
      <c r="N15" s="25"/>
      <c r="O15" s="26">
        <f>TariefOpbouwUurloonkosten7*N15</f>
        <v>0</v>
      </c>
      <c r="P15" s="25"/>
      <c r="Q15" s="27">
        <f>TariefOpbouwUurloonkosten8*P15</f>
        <v>0</v>
      </c>
    </row>
    <row r="16" spans="1:17" x14ac:dyDescent="0.3">
      <c r="A16" s="20" t="s">
        <v>53</v>
      </c>
      <c r="B16" s="25"/>
      <c r="C16" s="26">
        <f>TariefOpbouwUurloonkosten1*B16</f>
        <v>0</v>
      </c>
      <c r="D16" s="25"/>
      <c r="E16" s="26">
        <f>TariefOpbouwUurloonkosten2*D16</f>
        <v>0</v>
      </c>
      <c r="F16" s="25"/>
      <c r="G16" s="26">
        <f>TariefOpbouwUurloonkosten3*F16</f>
        <v>0</v>
      </c>
      <c r="H16" s="25"/>
      <c r="I16" s="26">
        <f>TariefOpbouwUurloonkosten4*H16</f>
        <v>0</v>
      </c>
      <c r="J16" s="25"/>
      <c r="K16" s="26">
        <f>TariefOpbouwUurloonkosten5*J16</f>
        <v>0</v>
      </c>
      <c r="L16" s="25"/>
      <c r="M16" s="26">
        <f>TariefOpbouwUurloonkosten6*L16</f>
        <v>0</v>
      </c>
      <c r="N16" s="25"/>
      <c r="O16" s="26">
        <f>TariefOpbouwUurloonkosten7*N16</f>
        <v>0</v>
      </c>
      <c r="P16" s="25"/>
      <c r="Q16" s="27">
        <f>TariefOpbouwUurloonkosten8*P16</f>
        <v>0</v>
      </c>
    </row>
    <row r="17" spans="1:17" x14ac:dyDescent="0.3">
      <c r="A17" s="20" t="s">
        <v>54</v>
      </c>
      <c r="B17" s="25"/>
      <c r="C17" s="26">
        <f>TariefOpbouwUurloonkosten1*B17</f>
        <v>0</v>
      </c>
      <c r="D17" s="25"/>
      <c r="E17" s="26">
        <f>TariefOpbouwUurloonkosten2*D17</f>
        <v>0</v>
      </c>
      <c r="F17" s="25"/>
      <c r="G17" s="26">
        <f>TariefOpbouwUurloonkosten3*F17</f>
        <v>0</v>
      </c>
      <c r="H17" s="25"/>
      <c r="I17" s="26">
        <f>TariefOpbouwUurloonkosten4*H17</f>
        <v>0</v>
      </c>
      <c r="J17" s="25"/>
      <c r="K17" s="26">
        <f>TariefOpbouwUurloonkosten5*J17</f>
        <v>0</v>
      </c>
      <c r="L17" s="25"/>
      <c r="M17" s="26">
        <f>TariefOpbouwUurloonkosten6*L17</f>
        <v>0</v>
      </c>
      <c r="N17" s="25"/>
      <c r="O17" s="26">
        <f>TariefOpbouwUurloonkosten7*N17</f>
        <v>0</v>
      </c>
      <c r="P17" s="25"/>
      <c r="Q17" s="27">
        <f>TariefOpbouwUurloonkosten8*P17</f>
        <v>0</v>
      </c>
    </row>
    <row r="18" spans="1:17" x14ac:dyDescent="0.3">
      <c r="A18" s="20" t="s">
        <v>55</v>
      </c>
      <c r="B18" s="25"/>
      <c r="C18" s="26">
        <f>TariefOpbouwUurloonkosten1*B18</f>
        <v>0</v>
      </c>
      <c r="D18" s="25"/>
      <c r="E18" s="26">
        <f>TariefOpbouwUurloonkosten2*D18</f>
        <v>0</v>
      </c>
      <c r="F18" s="25"/>
      <c r="G18" s="26">
        <f>TariefOpbouwUurloonkosten3*F18</f>
        <v>0</v>
      </c>
      <c r="H18" s="25"/>
      <c r="I18" s="26">
        <f>TariefOpbouwUurloonkosten4*H18</f>
        <v>0</v>
      </c>
      <c r="J18" s="25"/>
      <c r="K18" s="26">
        <f>TariefOpbouwUurloonkosten5*J18</f>
        <v>0</v>
      </c>
      <c r="L18" s="25"/>
      <c r="M18" s="26">
        <f>TariefOpbouwUurloonkosten6*L18</f>
        <v>0</v>
      </c>
      <c r="N18" s="25"/>
      <c r="O18" s="26">
        <f>TariefOpbouwUurloonkosten7*N18</f>
        <v>0</v>
      </c>
      <c r="P18" s="25"/>
      <c r="Q18" s="27">
        <f>TariefOpbouwUurloonkosten8*P18</f>
        <v>0</v>
      </c>
    </row>
    <row r="19" spans="1:17" x14ac:dyDescent="0.3">
      <c r="A19" s="11" t="s">
        <v>56</v>
      </c>
      <c r="B19" s="23">
        <f>SUM(TariefOpbouwUurloonkosten1,C15:C18)</f>
        <v>0</v>
      </c>
      <c r="C19" s="23"/>
      <c r="D19" s="23">
        <f>SUM(TariefOpbouwUurloonkosten2,E15:E18)</f>
        <v>0</v>
      </c>
      <c r="E19" s="23"/>
      <c r="F19" s="23">
        <f>SUM(TariefOpbouwUurloonkosten3,G15:G18)</f>
        <v>0</v>
      </c>
      <c r="G19" s="23"/>
      <c r="H19" s="23">
        <f>SUM(TariefOpbouwUurloonkosten4,I15:I18)</f>
        <v>0</v>
      </c>
      <c r="I19" s="23"/>
      <c r="J19" s="23">
        <f>SUM(TariefOpbouwUurloonkosten5,K15:K18)</f>
        <v>0</v>
      </c>
      <c r="K19" s="23"/>
      <c r="L19" s="23">
        <f>SUM(TariefOpbouwUurloonkosten6,M15:M18)</f>
        <v>0</v>
      </c>
      <c r="M19" s="23"/>
      <c r="N19" s="23">
        <f>SUM(TariefOpbouwUurloonkosten7,O15:O18)</f>
        <v>0</v>
      </c>
      <c r="O19" s="23"/>
      <c r="P19" s="23">
        <f>SUM(TariefOpbouwUurloonkosten8,Q15:Q18)</f>
        <v>0</v>
      </c>
      <c r="Q19" s="24"/>
    </row>
    <row r="20" spans="1:17" x14ac:dyDescent="0.3">
      <c r="A20" s="20" t="s">
        <v>57</v>
      </c>
      <c r="B20" s="25"/>
      <c r="C20" s="26">
        <f>TariefOpbouwTotaalLoonkosten1*B20</f>
        <v>0</v>
      </c>
      <c r="D20" s="25"/>
      <c r="E20" s="26">
        <f>TariefOpbouwTotaalLoonkosten2*D20</f>
        <v>0</v>
      </c>
      <c r="F20" s="25"/>
      <c r="G20" s="26">
        <f>TariefOpbouwTotaalLoonkosten3*F20</f>
        <v>0</v>
      </c>
      <c r="H20" s="25"/>
      <c r="I20" s="26">
        <f>TariefOpbouwTotaalLoonkosten4*H20</f>
        <v>0</v>
      </c>
      <c r="J20" s="25"/>
      <c r="K20" s="26">
        <f>TariefOpbouwTotaalLoonkosten5*J20</f>
        <v>0</v>
      </c>
      <c r="L20" s="25"/>
      <c r="M20" s="26">
        <f>TariefOpbouwTotaalLoonkosten6*L20</f>
        <v>0</v>
      </c>
      <c r="N20" s="25"/>
      <c r="O20" s="26">
        <f>TariefOpbouwTotaalLoonkosten7*N20</f>
        <v>0</v>
      </c>
      <c r="P20" s="25"/>
      <c r="Q20" s="27">
        <f>TariefOpbouwTotaalLoonkosten8*P20</f>
        <v>0</v>
      </c>
    </row>
    <row r="21" spans="1:17" x14ac:dyDescent="0.3">
      <c r="A21" s="20" t="s">
        <v>58</v>
      </c>
      <c r="B21" s="25"/>
      <c r="C21" s="26">
        <f>TariefOpbouwTotaalLoonkosten1*B21</f>
        <v>0</v>
      </c>
      <c r="D21" s="25"/>
      <c r="E21" s="26">
        <f>TariefOpbouwTotaalLoonkosten2*D21</f>
        <v>0</v>
      </c>
      <c r="F21" s="25"/>
      <c r="G21" s="26">
        <f>TariefOpbouwTotaalLoonkosten3*F21</f>
        <v>0</v>
      </c>
      <c r="H21" s="25"/>
      <c r="I21" s="26">
        <f>TariefOpbouwTotaalLoonkosten4*H21</f>
        <v>0</v>
      </c>
      <c r="J21" s="25"/>
      <c r="K21" s="26">
        <f>TariefOpbouwTotaalLoonkosten5*J21</f>
        <v>0</v>
      </c>
      <c r="L21" s="25"/>
      <c r="M21" s="26">
        <f>TariefOpbouwTotaalLoonkosten6*L21</f>
        <v>0</v>
      </c>
      <c r="N21" s="25"/>
      <c r="O21" s="26">
        <f>TariefOpbouwTotaalLoonkosten7*N21</f>
        <v>0</v>
      </c>
      <c r="P21" s="25"/>
      <c r="Q21" s="27">
        <f>TariefOpbouwTotaalLoonkosten8*P21</f>
        <v>0</v>
      </c>
    </row>
    <row r="22" spans="1:17" x14ac:dyDescent="0.3">
      <c r="A22" s="20" t="s">
        <v>59</v>
      </c>
      <c r="B22" s="25"/>
      <c r="C22" s="26">
        <f>TariefOpbouwTotaalLoonkosten1*B22</f>
        <v>0</v>
      </c>
      <c r="D22" s="25"/>
      <c r="E22" s="26">
        <f>TariefOpbouwTotaalLoonkosten2*D22</f>
        <v>0</v>
      </c>
      <c r="F22" s="25"/>
      <c r="G22" s="26">
        <f>TariefOpbouwTotaalLoonkosten3*F22</f>
        <v>0</v>
      </c>
      <c r="H22" s="25"/>
      <c r="I22" s="26">
        <f>TariefOpbouwTotaalLoonkosten4*H22</f>
        <v>0</v>
      </c>
      <c r="J22" s="25"/>
      <c r="K22" s="26">
        <f>TariefOpbouwTotaalLoonkosten5*J22</f>
        <v>0</v>
      </c>
      <c r="L22" s="25"/>
      <c r="M22" s="26">
        <f>TariefOpbouwTotaalLoonkosten6*L22</f>
        <v>0</v>
      </c>
      <c r="N22" s="25"/>
      <c r="O22" s="26">
        <f>TariefOpbouwTotaalLoonkosten7*N22</f>
        <v>0</v>
      </c>
      <c r="P22" s="25"/>
      <c r="Q22" s="27">
        <f>TariefOpbouwTotaalLoonkosten8*P22</f>
        <v>0</v>
      </c>
    </row>
    <row r="23" spans="1:17" x14ac:dyDescent="0.3">
      <c r="A23" s="20" t="s">
        <v>60</v>
      </c>
      <c r="B23" s="25"/>
      <c r="C23" s="26">
        <f>TariefOpbouwTotaalLoonkosten1*B23</f>
        <v>0</v>
      </c>
      <c r="D23" s="25"/>
      <c r="E23" s="26">
        <f>TariefOpbouwTotaalLoonkosten2*D23</f>
        <v>0</v>
      </c>
      <c r="F23" s="25"/>
      <c r="G23" s="26">
        <f>TariefOpbouwTotaalLoonkosten3*F23</f>
        <v>0</v>
      </c>
      <c r="H23" s="25"/>
      <c r="I23" s="26">
        <f>TariefOpbouwTotaalLoonkosten4*H23</f>
        <v>0</v>
      </c>
      <c r="J23" s="25"/>
      <c r="K23" s="26">
        <f>TariefOpbouwTotaalLoonkosten5*J23</f>
        <v>0</v>
      </c>
      <c r="L23" s="25"/>
      <c r="M23" s="26">
        <f>TariefOpbouwTotaalLoonkosten6*L23</f>
        <v>0</v>
      </c>
      <c r="N23" s="25"/>
      <c r="O23" s="26">
        <f>TariefOpbouwTotaalLoonkosten7*N23</f>
        <v>0</v>
      </c>
      <c r="P23" s="25"/>
      <c r="Q23" s="27">
        <f>TariefOpbouwTotaalLoonkosten8*P23</f>
        <v>0</v>
      </c>
    </row>
    <row r="24" spans="1:17" x14ac:dyDescent="0.3">
      <c r="A24" s="20" t="s">
        <v>61</v>
      </c>
      <c r="B24" s="25"/>
      <c r="C24" s="26">
        <f>TariefOpbouwTotaalLoonkosten1*B24</f>
        <v>0</v>
      </c>
      <c r="D24" s="25"/>
      <c r="E24" s="26">
        <f>TariefOpbouwTotaalLoonkosten2*D24</f>
        <v>0</v>
      </c>
      <c r="F24" s="25"/>
      <c r="G24" s="26">
        <f>TariefOpbouwTotaalLoonkosten3*F24</f>
        <v>0</v>
      </c>
      <c r="H24" s="25"/>
      <c r="I24" s="26">
        <f>TariefOpbouwTotaalLoonkosten4*H24</f>
        <v>0</v>
      </c>
      <c r="J24" s="25"/>
      <c r="K24" s="26">
        <f>TariefOpbouwTotaalLoonkosten5*J24</f>
        <v>0</v>
      </c>
      <c r="L24" s="25"/>
      <c r="M24" s="26">
        <f>TariefOpbouwTotaalLoonkosten6*L24</f>
        <v>0</v>
      </c>
      <c r="N24" s="25"/>
      <c r="O24" s="26">
        <f>TariefOpbouwTotaalLoonkosten7*N24</f>
        <v>0</v>
      </c>
      <c r="P24" s="25"/>
      <c r="Q24" s="27">
        <f>TariefOpbouwTotaalLoonkosten8*P24</f>
        <v>0</v>
      </c>
    </row>
    <row r="25" spans="1:17" x14ac:dyDescent="0.3">
      <c r="A25" s="20" t="s">
        <v>62</v>
      </c>
      <c r="B25" s="25"/>
      <c r="C25" s="26">
        <f>TariefOpbouwTotaalLoonkosten1*B25</f>
        <v>0</v>
      </c>
      <c r="D25" s="25"/>
      <c r="E25" s="26">
        <f>TariefOpbouwTotaalLoonkosten2*D25</f>
        <v>0</v>
      </c>
      <c r="F25" s="25"/>
      <c r="G25" s="26">
        <f>TariefOpbouwTotaalLoonkosten3*F25</f>
        <v>0</v>
      </c>
      <c r="H25" s="25"/>
      <c r="I25" s="26">
        <f>TariefOpbouwTotaalLoonkosten4*H25</f>
        <v>0</v>
      </c>
      <c r="J25" s="25"/>
      <c r="K25" s="26">
        <f>TariefOpbouwTotaalLoonkosten5*J25</f>
        <v>0</v>
      </c>
      <c r="L25" s="25"/>
      <c r="M25" s="26">
        <f>TariefOpbouwTotaalLoonkosten6*L25</f>
        <v>0</v>
      </c>
      <c r="N25" s="25"/>
      <c r="O25" s="26">
        <f>TariefOpbouwTotaalLoonkosten7*N25</f>
        <v>0</v>
      </c>
      <c r="P25" s="25"/>
      <c r="Q25" s="27">
        <f>TariefOpbouwTotaalLoonkosten8*P25</f>
        <v>0</v>
      </c>
    </row>
    <row r="26" spans="1:17" x14ac:dyDescent="0.3">
      <c r="A26" s="11" t="s">
        <v>63</v>
      </c>
      <c r="B26" s="23">
        <f>SUM(TariefOpbouwTotaalLoonkosten1,C20:C25)</f>
        <v>0</v>
      </c>
      <c r="C26" s="23"/>
      <c r="D26" s="23">
        <f>SUM(TariefOpbouwTotaalLoonkosten2,E20:E25)</f>
        <v>0</v>
      </c>
      <c r="E26" s="23"/>
      <c r="F26" s="23">
        <f>SUM(TariefOpbouwTotaalLoonkosten3,G20:G25)</f>
        <v>0</v>
      </c>
      <c r="G26" s="23"/>
      <c r="H26" s="23">
        <f>SUM(TariefOpbouwTotaalLoonkosten4,I20:I25)</f>
        <v>0</v>
      </c>
      <c r="I26" s="23"/>
      <c r="J26" s="23">
        <f>SUM(TariefOpbouwTotaalLoonkosten5,K20:K25)</f>
        <v>0</v>
      </c>
      <c r="K26" s="23"/>
      <c r="L26" s="23">
        <f>SUM(TariefOpbouwTotaalLoonkosten6,M20:M25)</f>
        <v>0</v>
      </c>
      <c r="M26" s="23"/>
      <c r="N26" s="23">
        <f>SUM(TariefOpbouwTotaalLoonkosten7,O20:O25)</f>
        <v>0</v>
      </c>
      <c r="O26" s="23"/>
      <c r="P26" s="23">
        <f>SUM(TariefOpbouwTotaalLoonkosten8,Q20:Q25)</f>
        <v>0</v>
      </c>
      <c r="Q26" s="24"/>
    </row>
    <row r="27" spans="1:17" x14ac:dyDescent="0.3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</row>
    <row r="28" spans="1:17" x14ac:dyDescent="0.3">
      <c r="A28" s="20" t="s">
        <v>64</v>
      </c>
      <c r="B28" s="25"/>
      <c r="C28" s="26">
        <f>TariefOpbouwDirecteKosten1*B28</f>
        <v>0</v>
      </c>
      <c r="D28" s="25"/>
      <c r="E28" s="26">
        <f>TariefOpbouwDirecteKosten2*D28</f>
        <v>0</v>
      </c>
      <c r="F28" s="25"/>
      <c r="G28" s="26">
        <f>TariefOpbouwDirecteKosten3*F28</f>
        <v>0</v>
      </c>
      <c r="H28" s="25"/>
      <c r="I28" s="26">
        <f>TariefOpbouwDirecteKosten4*H28</f>
        <v>0</v>
      </c>
      <c r="J28" s="25"/>
      <c r="K28" s="26">
        <f>TariefOpbouwDirecteKosten5*J28</f>
        <v>0</v>
      </c>
      <c r="L28" s="25"/>
      <c r="M28" s="26">
        <f>TariefOpbouwDirecteKosten6*L28</f>
        <v>0</v>
      </c>
      <c r="N28" s="25"/>
      <c r="O28" s="26">
        <f>TariefOpbouwDirecteKosten7*N28</f>
        <v>0</v>
      </c>
      <c r="P28" s="25"/>
      <c r="Q28" s="27">
        <f>TariefOpbouwDirecteKosten8*P28</f>
        <v>0</v>
      </c>
    </row>
    <row r="29" spans="1:17" x14ac:dyDescent="0.3">
      <c r="A29" s="20" t="s">
        <v>65</v>
      </c>
      <c r="B29" s="25"/>
      <c r="C29" s="26">
        <f>TariefOpbouwDirecteKosten1*B29</f>
        <v>0</v>
      </c>
      <c r="D29" s="25"/>
      <c r="E29" s="26">
        <f>TariefOpbouwDirecteKosten2*D29</f>
        <v>0</v>
      </c>
      <c r="F29" s="25"/>
      <c r="G29" s="26">
        <f>TariefOpbouwDirecteKosten3*F29</f>
        <v>0</v>
      </c>
      <c r="H29" s="25"/>
      <c r="I29" s="26">
        <f>TariefOpbouwDirecteKosten4*H29</f>
        <v>0</v>
      </c>
      <c r="J29" s="25"/>
      <c r="K29" s="26">
        <f>TariefOpbouwDirecteKosten5*J29</f>
        <v>0</v>
      </c>
      <c r="L29" s="25"/>
      <c r="M29" s="26">
        <f>TariefOpbouwDirecteKosten6*L29</f>
        <v>0</v>
      </c>
      <c r="N29" s="25"/>
      <c r="O29" s="26">
        <f>TariefOpbouwDirecteKosten7*N29</f>
        <v>0</v>
      </c>
      <c r="P29" s="25"/>
      <c r="Q29" s="27">
        <f>TariefOpbouwDirecteKosten8*P29</f>
        <v>0</v>
      </c>
    </row>
    <row r="30" spans="1:17" x14ac:dyDescent="0.3">
      <c r="A30" s="20" t="s">
        <v>66</v>
      </c>
      <c r="B30" s="25"/>
      <c r="C30" s="26">
        <f>TariefOpbouwDirecteKosten1*B30</f>
        <v>0</v>
      </c>
      <c r="D30" s="25"/>
      <c r="E30" s="26">
        <f>TariefOpbouwDirecteKosten2*D30</f>
        <v>0</v>
      </c>
      <c r="F30" s="25"/>
      <c r="G30" s="26">
        <f>TariefOpbouwDirecteKosten3*F30</f>
        <v>0</v>
      </c>
      <c r="H30" s="25"/>
      <c r="I30" s="26">
        <f>TariefOpbouwDirecteKosten4*H30</f>
        <v>0</v>
      </c>
      <c r="J30" s="25"/>
      <c r="K30" s="26">
        <f>TariefOpbouwDirecteKosten5*J30</f>
        <v>0</v>
      </c>
      <c r="L30" s="25"/>
      <c r="M30" s="26">
        <f>TariefOpbouwDirecteKosten6*L30</f>
        <v>0</v>
      </c>
      <c r="N30" s="25"/>
      <c r="O30" s="26">
        <f>TariefOpbouwDirecteKosten7*N30</f>
        <v>0</v>
      </c>
      <c r="P30" s="25"/>
      <c r="Q30" s="27">
        <f>TariefOpbouwDirecteKosten8*P30</f>
        <v>0</v>
      </c>
    </row>
    <row r="31" spans="1:17" x14ac:dyDescent="0.3">
      <c r="A31" s="20" t="s">
        <v>67</v>
      </c>
      <c r="B31" s="25"/>
      <c r="C31" s="26">
        <f>TariefOpbouwDirecteKosten1*B31</f>
        <v>0</v>
      </c>
      <c r="D31" s="25"/>
      <c r="E31" s="26">
        <f>TariefOpbouwDirecteKosten2*D31</f>
        <v>0</v>
      </c>
      <c r="F31" s="25"/>
      <c r="G31" s="26">
        <f>TariefOpbouwDirecteKosten3*F31</f>
        <v>0</v>
      </c>
      <c r="H31" s="25"/>
      <c r="I31" s="26">
        <f>TariefOpbouwDirecteKosten4*H31</f>
        <v>0</v>
      </c>
      <c r="J31" s="25"/>
      <c r="K31" s="26">
        <f>TariefOpbouwDirecteKosten5*J31</f>
        <v>0</v>
      </c>
      <c r="L31" s="25"/>
      <c r="M31" s="26">
        <f>TariefOpbouwDirecteKosten6*L31</f>
        <v>0</v>
      </c>
      <c r="N31" s="25"/>
      <c r="O31" s="26">
        <f>TariefOpbouwDirecteKosten7*N31</f>
        <v>0</v>
      </c>
      <c r="P31" s="25"/>
      <c r="Q31" s="27">
        <f>TariefOpbouwDirecteKosten8*P31</f>
        <v>0</v>
      </c>
    </row>
    <row r="32" spans="1:17" x14ac:dyDescent="0.3">
      <c r="A32" s="20" t="s">
        <v>68</v>
      </c>
      <c r="B32" s="25"/>
      <c r="C32" s="26">
        <f>TariefOpbouwDirecteKosten1*B32</f>
        <v>0</v>
      </c>
      <c r="D32" s="25"/>
      <c r="E32" s="26">
        <f>TariefOpbouwDirecteKosten2*D32</f>
        <v>0</v>
      </c>
      <c r="F32" s="25"/>
      <c r="G32" s="26">
        <f>TariefOpbouwDirecteKosten3*F32</f>
        <v>0</v>
      </c>
      <c r="H32" s="25"/>
      <c r="I32" s="26">
        <f>TariefOpbouwDirecteKosten4*H32</f>
        <v>0</v>
      </c>
      <c r="J32" s="25"/>
      <c r="K32" s="26">
        <f>TariefOpbouwDirecteKosten5*J32</f>
        <v>0</v>
      </c>
      <c r="L32" s="25"/>
      <c r="M32" s="26">
        <f>TariefOpbouwDirecteKosten6*L32</f>
        <v>0</v>
      </c>
      <c r="N32" s="25"/>
      <c r="O32" s="26">
        <f>TariefOpbouwDirecteKosten7*N32</f>
        <v>0</v>
      </c>
      <c r="P32" s="25"/>
      <c r="Q32" s="27">
        <f>TariefOpbouwDirecteKosten8*P32</f>
        <v>0</v>
      </c>
    </row>
    <row r="33" spans="1:17" x14ac:dyDescent="0.3">
      <c r="A33" s="20" t="s">
        <v>69</v>
      </c>
      <c r="B33" s="25"/>
      <c r="C33" s="26">
        <f>TariefOpbouwDirecteKosten1*B33</f>
        <v>0</v>
      </c>
      <c r="D33" s="25"/>
      <c r="E33" s="26">
        <f>TariefOpbouwDirecteKosten2*D33</f>
        <v>0</v>
      </c>
      <c r="F33" s="25"/>
      <c r="G33" s="26">
        <f>TariefOpbouwDirecteKosten3*F33</f>
        <v>0</v>
      </c>
      <c r="H33" s="25"/>
      <c r="I33" s="26">
        <f>TariefOpbouwDirecteKosten4*H33</f>
        <v>0</v>
      </c>
      <c r="J33" s="25"/>
      <c r="K33" s="26">
        <f>TariefOpbouwDirecteKosten5*J33</f>
        <v>0</v>
      </c>
      <c r="L33" s="25"/>
      <c r="M33" s="26">
        <f>TariefOpbouwDirecteKosten6*L33</f>
        <v>0</v>
      </c>
      <c r="N33" s="25"/>
      <c r="O33" s="26">
        <f>TariefOpbouwDirecteKosten7*N33</f>
        <v>0</v>
      </c>
      <c r="P33" s="25"/>
      <c r="Q33" s="27">
        <f>TariefOpbouwDirecteKosten8*P33</f>
        <v>0</v>
      </c>
    </row>
    <row r="34" spans="1:17" x14ac:dyDescent="0.3">
      <c r="A34" s="20" t="s">
        <v>70</v>
      </c>
      <c r="B34" s="25"/>
      <c r="C34" s="26">
        <f>TariefOpbouwDirecteKosten1*B34</f>
        <v>0</v>
      </c>
      <c r="D34" s="25"/>
      <c r="E34" s="26">
        <f>TariefOpbouwDirecteKosten2*D34</f>
        <v>0</v>
      </c>
      <c r="F34" s="25"/>
      <c r="G34" s="26">
        <f>TariefOpbouwDirecteKosten3*F34</f>
        <v>0</v>
      </c>
      <c r="H34" s="25"/>
      <c r="I34" s="26">
        <f>TariefOpbouwDirecteKosten4*H34</f>
        <v>0</v>
      </c>
      <c r="J34" s="25"/>
      <c r="K34" s="26">
        <f>TariefOpbouwDirecteKosten5*J34</f>
        <v>0</v>
      </c>
      <c r="L34" s="25"/>
      <c r="M34" s="26">
        <f>TariefOpbouwDirecteKosten6*L34</f>
        <v>0</v>
      </c>
      <c r="N34" s="25"/>
      <c r="O34" s="26">
        <f>TariefOpbouwDirecteKosten7*N34</f>
        <v>0</v>
      </c>
      <c r="P34" s="25"/>
      <c r="Q34" s="27">
        <f>TariefOpbouwDirecteKosten8*P34</f>
        <v>0</v>
      </c>
    </row>
    <row r="35" spans="1:17" x14ac:dyDescent="0.3">
      <c r="A35" s="11" t="s">
        <v>71</v>
      </c>
      <c r="B35" s="23">
        <f>SUM(C28:C34)</f>
        <v>0</v>
      </c>
      <c r="C35" s="23"/>
      <c r="D35" s="23">
        <f>SUM(E28:E34)</f>
        <v>0</v>
      </c>
      <c r="E35" s="23"/>
      <c r="F35" s="23">
        <f>SUM(G28:G34)</f>
        <v>0</v>
      </c>
      <c r="G35" s="23"/>
      <c r="H35" s="23">
        <f>SUM(I28:I34)</f>
        <v>0</v>
      </c>
      <c r="I35" s="23"/>
      <c r="J35" s="23">
        <f>SUM(K28:K34)</f>
        <v>0</v>
      </c>
      <c r="K35" s="23"/>
      <c r="L35" s="23">
        <f>SUM(M28:M34)</f>
        <v>0</v>
      </c>
      <c r="M35" s="23"/>
      <c r="N35" s="23">
        <f>SUM(O28:O34)</f>
        <v>0</v>
      </c>
      <c r="O35" s="23"/>
      <c r="P35" s="23">
        <f>SUM(Q28:Q34)</f>
        <v>0</v>
      </c>
      <c r="Q35" s="24"/>
    </row>
    <row r="36" spans="1:17" x14ac:dyDescent="0.3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spans="1:17" x14ac:dyDescent="0.3">
      <c r="A37" s="11" t="s">
        <v>72</v>
      </c>
      <c r="B37" s="25"/>
      <c r="C37" s="26">
        <f>(TariefOpbouwDirecteKosten1+TariefOpbouwIndirecteKosten1)*B37</f>
        <v>0</v>
      </c>
      <c r="D37" s="25"/>
      <c r="E37" s="26">
        <f>(TariefOpbouwDirecteKosten2+TariefOpbouwIndirecteKosten2)*D37</f>
        <v>0</v>
      </c>
      <c r="F37" s="25"/>
      <c r="G37" s="26">
        <f>(TariefOpbouwDirecteKosten3+TariefOpbouwIndirecteKosten3)*F37</f>
        <v>0</v>
      </c>
      <c r="H37" s="25"/>
      <c r="I37" s="26">
        <f>(TariefOpbouwDirecteKosten4+TariefOpbouwIndirecteKosten4)*H37</f>
        <v>0</v>
      </c>
      <c r="J37" s="25"/>
      <c r="K37" s="26">
        <f>(TariefOpbouwDirecteKosten5+TariefOpbouwIndirecteKosten5)*J37</f>
        <v>0</v>
      </c>
      <c r="L37" s="25"/>
      <c r="M37" s="26">
        <f>(TariefOpbouwDirecteKosten6+TariefOpbouwIndirecteKosten6)*L37</f>
        <v>0</v>
      </c>
      <c r="N37" s="25"/>
      <c r="O37" s="26">
        <f>(TariefOpbouwDirecteKosten7+TariefOpbouwIndirecteKosten7)*N37</f>
        <v>0</v>
      </c>
      <c r="P37" s="25"/>
      <c r="Q37" s="27">
        <f>(TariefOpbouwDirecteKosten8+TariefOpbouwIndirecteKosten8)*P37</f>
        <v>0</v>
      </c>
    </row>
    <row r="38" spans="1:17" x14ac:dyDescent="0.3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1:17" x14ac:dyDescent="0.3">
      <c r="A39" s="11" t="s">
        <v>73</v>
      </c>
      <c r="B39" s="23">
        <f>TariefOpbouwDirecteKosten1+TariefOpbouwIndirecteKosten1+TariefOpbouwRisicoWinst1</f>
        <v>0</v>
      </c>
      <c r="C39" s="23"/>
      <c r="D39" s="23">
        <f>TariefOpbouwDirecteKosten2+TariefOpbouwIndirecteKosten2+TariefOpbouwRisicoWinst2</f>
        <v>0</v>
      </c>
      <c r="E39" s="23"/>
      <c r="F39" s="23">
        <f>TariefOpbouwDirecteKosten3+TariefOpbouwIndirecteKosten3+TariefOpbouwRisicoWinst3</f>
        <v>0</v>
      </c>
      <c r="G39" s="23"/>
      <c r="H39" s="23">
        <f>TariefOpbouwDirecteKosten4+TariefOpbouwIndirecteKosten4+TariefOpbouwRisicoWinst4</f>
        <v>0</v>
      </c>
      <c r="I39" s="23"/>
      <c r="J39" s="23">
        <f>TariefOpbouwDirecteKosten5+TariefOpbouwIndirecteKosten5+TariefOpbouwRisicoWinst5</f>
        <v>0</v>
      </c>
      <c r="K39" s="23"/>
      <c r="L39" s="23">
        <f>TariefOpbouwDirecteKosten6+TariefOpbouwIndirecteKosten6+TariefOpbouwRisicoWinst6</f>
        <v>0</v>
      </c>
      <c r="M39" s="23"/>
      <c r="N39" s="23">
        <f>TariefOpbouwDirecteKosten7+TariefOpbouwIndirecteKosten7+TariefOpbouwRisicoWinst7</f>
        <v>0</v>
      </c>
      <c r="O39" s="23"/>
      <c r="P39" s="23">
        <f>TariefOpbouwDirecteKosten8+TariefOpbouwIndirecteKosten8+TariefOpbouwRisicoWinst8</f>
        <v>0</v>
      </c>
      <c r="Q39" s="24"/>
    </row>
    <row r="40" spans="1:17" x14ac:dyDescent="0.3">
      <c r="A40" s="11" t="s">
        <v>74</v>
      </c>
      <c r="B40" s="31" t="s">
        <v>75</v>
      </c>
      <c r="C40" s="31" t="s">
        <v>76</v>
      </c>
      <c r="D40" s="31" t="s">
        <v>75</v>
      </c>
      <c r="E40" s="31" t="s">
        <v>76</v>
      </c>
      <c r="F40" s="31" t="s">
        <v>75</v>
      </c>
      <c r="G40" s="31" t="s">
        <v>76</v>
      </c>
      <c r="H40" s="31" t="s">
        <v>75</v>
      </c>
      <c r="I40" s="31" t="s">
        <v>76</v>
      </c>
      <c r="J40" s="31" t="s">
        <v>75</v>
      </c>
      <c r="K40" s="31" t="s">
        <v>76</v>
      </c>
      <c r="L40" s="31" t="s">
        <v>75</v>
      </c>
      <c r="M40" s="31" t="s">
        <v>76</v>
      </c>
      <c r="N40" s="31" t="s">
        <v>75</v>
      </c>
      <c r="O40" s="31" t="s">
        <v>76</v>
      </c>
      <c r="P40" s="31" t="s">
        <v>75</v>
      </c>
      <c r="Q40" s="32" t="s">
        <v>76</v>
      </c>
    </row>
    <row r="41" spans="1:17" x14ac:dyDescent="0.3">
      <c r="A41" s="11" t="s">
        <v>77</v>
      </c>
      <c r="B41" s="33">
        <v>0.3</v>
      </c>
      <c r="C41" s="26">
        <f>((1+B41)*TariefOpbouwTotaalLoonkosten1+TariefOpbouwDirecteKosten1-TariefOpbouwTotaalLoonkosten1+TariefOpbouwIndirecteKosten1)*(1+TariefOpbouwRisicoWinstPercentage1)</f>
        <v>0</v>
      </c>
      <c r="D41" s="33">
        <v>0.3</v>
      </c>
      <c r="E41" s="26">
        <f>((1+D41)*TariefOpbouwTotaalLoonkosten2+TariefOpbouwDirecteKosten2-TariefOpbouwTotaalLoonkosten2+TariefOpbouwIndirecteKosten2)*(1+TariefOpbouwRisicoWinstPercentage2)</f>
        <v>0</v>
      </c>
      <c r="F41" s="33">
        <v>0.3</v>
      </c>
      <c r="G41" s="26">
        <f>((1+F41)*TariefOpbouwTotaalLoonkosten3+TariefOpbouwDirecteKosten3-TariefOpbouwTotaalLoonkosten3+TariefOpbouwIndirecteKosten3)*(1+TariefOpbouwRisicoWinstPercentage3)</f>
        <v>0</v>
      </c>
      <c r="H41" s="33">
        <v>0.3</v>
      </c>
      <c r="I41" s="26">
        <f>((1+H41)*TariefOpbouwTotaalLoonkosten4+TariefOpbouwDirecteKosten4-TariefOpbouwTotaalLoonkosten4+TariefOpbouwIndirecteKosten4)*(1+TariefOpbouwRisicoWinstPercentage4)</f>
        <v>0</v>
      </c>
      <c r="J41" s="33">
        <v>0.3</v>
      </c>
      <c r="K41" s="26">
        <f>((1+J41)*TariefOpbouwTotaalLoonkosten5+TariefOpbouwDirecteKosten5-TariefOpbouwTotaalLoonkosten5+TariefOpbouwIndirecteKosten5)*(1+TariefOpbouwRisicoWinstPercentage5)</f>
        <v>0</v>
      </c>
      <c r="L41" s="33">
        <v>0.3</v>
      </c>
      <c r="M41" s="26">
        <f>((1+L41)*TariefOpbouwTotaalLoonkosten6+TariefOpbouwDirecteKosten6-TariefOpbouwTotaalLoonkosten6+TariefOpbouwIndirecteKosten6)*(1+TariefOpbouwRisicoWinstPercentage6)</f>
        <v>0</v>
      </c>
      <c r="N41" s="33">
        <v>0.3</v>
      </c>
      <c r="O41" s="26">
        <f>((1+N41)*TariefOpbouwTotaalLoonkosten7+TariefOpbouwDirecteKosten7-TariefOpbouwTotaalLoonkosten7+TariefOpbouwIndirecteKosten7)*(1+TariefOpbouwRisicoWinstPercentage7)</f>
        <v>0</v>
      </c>
      <c r="P41" s="33">
        <v>0.3</v>
      </c>
      <c r="Q41" s="27">
        <f>((1+P41)*TariefOpbouwTotaalLoonkosten8+TariefOpbouwDirecteKosten8-TariefOpbouwTotaalLoonkosten8+TariefOpbouwIndirecteKosten8)*(1+TariefOpbouwRisicoWinstPercentage8)</f>
        <v>0</v>
      </c>
    </row>
    <row r="42" spans="1:17" x14ac:dyDescent="0.3">
      <c r="A42" s="11" t="s">
        <v>78</v>
      </c>
      <c r="B42" s="33">
        <v>0.5</v>
      </c>
      <c r="C42" s="26">
        <f>((1+B42)*TariefOpbouwTotaalLoonkosten1+TariefOpbouwDirecteKosten1-TariefOpbouwTotaalLoonkosten1+TariefOpbouwIndirecteKosten1)*(1+TariefOpbouwRisicoWinstPercentage1)</f>
        <v>0</v>
      </c>
      <c r="D42" s="33">
        <v>0.5</v>
      </c>
      <c r="E42" s="26">
        <f>((1+D42)*TariefOpbouwTotaalLoonkosten2+TariefOpbouwDirecteKosten2-TariefOpbouwTotaalLoonkosten2+TariefOpbouwIndirecteKosten2)*(1+TariefOpbouwRisicoWinstPercentage2)</f>
        <v>0</v>
      </c>
      <c r="F42" s="33">
        <v>0.5</v>
      </c>
      <c r="G42" s="26">
        <f>((1+F42)*TariefOpbouwTotaalLoonkosten3+TariefOpbouwDirecteKosten3-TariefOpbouwTotaalLoonkosten3+TariefOpbouwIndirecteKosten3)*(1+TariefOpbouwRisicoWinstPercentage3)</f>
        <v>0</v>
      </c>
      <c r="H42" s="33">
        <v>0.5</v>
      </c>
      <c r="I42" s="26">
        <f>((1+H42)*TariefOpbouwTotaalLoonkosten4+TariefOpbouwDirecteKosten4-TariefOpbouwTotaalLoonkosten4+TariefOpbouwIndirecteKosten4)*(1+TariefOpbouwRisicoWinstPercentage4)</f>
        <v>0</v>
      </c>
      <c r="J42" s="33">
        <v>0.5</v>
      </c>
      <c r="K42" s="26">
        <f>((1+J42)*TariefOpbouwTotaalLoonkosten5+TariefOpbouwDirecteKosten5-TariefOpbouwTotaalLoonkosten5+TariefOpbouwIndirecteKosten5)*(1+TariefOpbouwRisicoWinstPercentage5)</f>
        <v>0</v>
      </c>
      <c r="L42" s="33">
        <v>0.5</v>
      </c>
      <c r="M42" s="26">
        <f>((1+L42)*TariefOpbouwTotaalLoonkosten6+TariefOpbouwDirecteKosten6-TariefOpbouwTotaalLoonkosten6+TariefOpbouwIndirecteKosten6)*(1+TariefOpbouwRisicoWinstPercentage6)</f>
        <v>0</v>
      </c>
      <c r="N42" s="33">
        <v>0.5</v>
      </c>
      <c r="O42" s="26">
        <f>((1+N42)*TariefOpbouwTotaalLoonkosten7+TariefOpbouwDirecteKosten7-TariefOpbouwTotaalLoonkosten7+TariefOpbouwIndirecteKosten7)*(1+TariefOpbouwRisicoWinstPercentage7)</f>
        <v>0</v>
      </c>
      <c r="P42" s="33">
        <v>0.5</v>
      </c>
      <c r="Q42" s="27">
        <f>((1+P42)*TariefOpbouwTotaalLoonkosten8+TariefOpbouwDirecteKosten8-TariefOpbouwTotaalLoonkosten8+TariefOpbouwIndirecteKosten8)*(1+TariefOpbouwRisicoWinstPercentage8)</f>
        <v>0</v>
      </c>
    </row>
    <row r="43" spans="1:17" x14ac:dyDescent="0.3">
      <c r="A43" s="34" t="s">
        <v>79</v>
      </c>
      <c r="B43" s="35">
        <v>1.5</v>
      </c>
      <c r="C43" s="36">
        <f>((1+B43)*TariefOpbouwTotaalLoonkosten1+TariefOpbouwDirecteKosten1-TariefOpbouwTotaalLoonkosten1+TariefOpbouwIndirecteKosten1)*(1+TariefOpbouwRisicoWinstPercentage1)</f>
        <v>0</v>
      </c>
      <c r="D43" s="35">
        <v>1.5</v>
      </c>
      <c r="E43" s="36">
        <f>((1+D43)*TariefOpbouwTotaalLoonkosten2+TariefOpbouwDirecteKosten2-TariefOpbouwTotaalLoonkosten2+TariefOpbouwIndirecteKosten2)*(1+TariefOpbouwRisicoWinstPercentage2)</f>
        <v>0</v>
      </c>
      <c r="F43" s="35">
        <v>1.5</v>
      </c>
      <c r="G43" s="36">
        <f>((1+F43)*TariefOpbouwTotaalLoonkosten3+TariefOpbouwDirecteKosten3-TariefOpbouwTotaalLoonkosten3+TariefOpbouwIndirecteKosten3)*(1+TariefOpbouwRisicoWinstPercentage3)</f>
        <v>0</v>
      </c>
      <c r="H43" s="35">
        <v>1.5</v>
      </c>
      <c r="I43" s="36">
        <f>((1+H43)*TariefOpbouwTotaalLoonkosten4+TariefOpbouwDirecteKosten4-TariefOpbouwTotaalLoonkosten4+TariefOpbouwIndirecteKosten4)*(1+TariefOpbouwRisicoWinstPercentage4)</f>
        <v>0</v>
      </c>
      <c r="J43" s="35">
        <v>1.5</v>
      </c>
      <c r="K43" s="36">
        <f>((1+J43)*TariefOpbouwTotaalLoonkosten5+TariefOpbouwDirecteKosten5-TariefOpbouwTotaalLoonkosten5+TariefOpbouwIndirecteKosten5)*(1+TariefOpbouwRisicoWinstPercentage5)</f>
        <v>0</v>
      </c>
      <c r="L43" s="35">
        <v>1.5</v>
      </c>
      <c r="M43" s="36">
        <f>((1+L43)*TariefOpbouwTotaalLoonkosten6+TariefOpbouwDirecteKosten6-TariefOpbouwTotaalLoonkosten6+TariefOpbouwIndirecteKosten6)*(1+TariefOpbouwRisicoWinstPercentage6)</f>
        <v>0</v>
      </c>
      <c r="N43" s="35">
        <v>1.5</v>
      </c>
      <c r="O43" s="36">
        <f>((1+N43)*TariefOpbouwTotaalLoonkosten7+TariefOpbouwDirecteKosten7-TariefOpbouwTotaalLoonkosten7+TariefOpbouwIndirecteKosten7)*(1+TariefOpbouwRisicoWinstPercentage7)</f>
        <v>0</v>
      </c>
      <c r="P43" s="35">
        <v>1.5</v>
      </c>
      <c r="Q43" s="37">
        <f>((1+P43)*TariefOpbouwTotaalLoonkosten8+TariefOpbouwDirecteKosten8-TariefOpbouwTotaalLoonkosten8+TariefOpbouwIndirecteKosten8)*(1+TariefOpbouwRisicoWinstPercentage8)</f>
        <v>0</v>
      </c>
    </row>
    <row r="45" spans="1:17" ht="28.8" customHeight="1" x14ac:dyDescent="0.3">
      <c r="A45" s="8" t="s">
        <v>80</v>
      </c>
      <c r="B45" s="38" t="s">
        <v>81</v>
      </c>
      <c r="C45" s="38"/>
      <c r="D45" s="38" t="s">
        <v>82</v>
      </c>
      <c r="E45" s="38"/>
      <c r="F45" s="38" t="s">
        <v>83</v>
      </c>
      <c r="G45" s="39"/>
    </row>
    <row r="46" spans="1:17" x14ac:dyDescent="0.3">
      <c r="A46" s="28"/>
      <c r="B46" s="31" t="s">
        <v>84</v>
      </c>
      <c r="C46" s="31" t="s">
        <v>85</v>
      </c>
      <c r="D46" s="31" t="s">
        <v>84</v>
      </c>
      <c r="E46" s="31" t="s">
        <v>85</v>
      </c>
      <c r="F46" s="31" t="s">
        <v>84</v>
      </c>
      <c r="G46" s="32" t="s">
        <v>85</v>
      </c>
    </row>
    <row r="47" spans="1:17" x14ac:dyDescent="0.3">
      <c r="A47" s="40" t="str">
        <f>TariefOpbouwNaam1&amp;" "&amp;TariefOpbouwErvaring1</f>
        <v>Vakvolwassene &gt;3 dienstjaren</v>
      </c>
      <c r="B47" s="25"/>
      <c r="C47" s="26">
        <f>TariefOpbouwTarief1</f>
        <v>0</v>
      </c>
      <c r="D47" s="25"/>
      <c r="E47" s="26">
        <f>TariefOpbouwTarief1W</f>
        <v>0</v>
      </c>
      <c r="F47" s="25"/>
      <c r="G47" s="27">
        <f>TariefOpbouwTarief1X</f>
        <v>0</v>
      </c>
    </row>
    <row r="48" spans="1:17" x14ac:dyDescent="0.3">
      <c r="A48" s="40" t="str">
        <f>TariefOpbouwNaam2&amp;" "&amp;TariefOpbouwErvaring2</f>
        <v xml:space="preserve">Vakvolwassene </v>
      </c>
      <c r="B48" s="25"/>
      <c r="C48" s="26">
        <f>TariefOpbouwTarief2</f>
        <v>0</v>
      </c>
      <c r="D48" s="25"/>
      <c r="E48" s="26">
        <f>TariefOpbouwTarief2W</f>
        <v>0</v>
      </c>
      <c r="F48" s="25"/>
      <c r="G48" s="27">
        <f>TariefOpbouwTarief2X</f>
        <v>0</v>
      </c>
    </row>
    <row r="49" spans="1:9" x14ac:dyDescent="0.3">
      <c r="A49" s="40" t="str">
        <f>TariefOpbouwNaam3&amp;" "&amp;TariefOpbouwErvaring3</f>
        <v>Leiding (meewerkend) voorman/vrouw</v>
      </c>
      <c r="B49" s="25"/>
      <c r="C49" s="26">
        <f>TariefOpbouwTarief3</f>
        <v>0</v>
      </c>
      <c r="D49" s="25"/>
      <c r="E49" s="26">
        <f>TariefOpbouwTarief3W</f>
        <v>0</v>
      </c>
      <c r="F49" s="25"/>
      <c r="G49" s="27">
        <f>TariefOpbouwTarief3X</f>
        <v>0</v>
      </c>
    </row>
    <row r="50" spans="1:9" x14ac:dyDescent="0.3">
      <c r="A50" s="11" t="s">
        <v>86</v>
      </c>
      <c r="B50" s="41" t="str">
        <f>IF(SUM(B47:B49)=1,SUM(B47:B49),"ongeldig")</f>
        <v>ongeldig</v>
      </c>
      <c r="C50" s="26">
        <f>SUMPRODUCT(B47:B49,C47:C49)</f>
        <v>0</v>
      </c>
      <c r="D50" s="41" t="str">
        <f>IF(SUM(D47:D49)=1,SUM(D47:D49),"ongeldig")</f>
        <v>ongeldig</v>
      </c>
      <c r="E50" s="26">
        <f>SUMPRODUCT(D47:D49,E47:E49)</f>
        <v>0</v>
      </c>
      <c r="F50" s="41" t="str">
        <f>IF(SUM(F47:F49)=1,SUM(F47:F49),"ongeldig")</f>
        <v>ongeldig</v>
      </c>
      <c r="G50" s="27">
        <f>SUMPRODUCT(F47:F49,G47:G49)</f>
        <v>0</v>
      </c>
    </row>
    <row r="51" spans="1:9" x14ac:dyDescent="0.3">
      <c r="A51" s="40" t="str">
        <f>TariefOpbouwNaam4&amp;" "&amp;TariefOpbouwErvaring4</f>
        <v>Leiding (niet-meewerkend) voorman/vrouw</v>
      </c>
      <c r="B51" s="25"/>
      <c r="C51" s="26">
        <f>TariefOpbouwTarief4</f>
        <v>0</v>
      </c>
      <c r="D51" s="25"/>
      <c r="E51" s="26">
        <f>TariefOpbouwTarief4W</f>
        <v>0</v>
      </c>
      <c r="F51" s="25"/>
      <c r="G51" s="27">
        <f>TariefOpbouwTarief4X</f>
        <v>0</v>
      </c>
    </row>
    <row r="52" spans="1:9" x14ac:dyDescent="0.3">
      <c r="A52" s="40" t="str">
        <f>TariefOpbouwNaam5&amp;" "&amp;TariefOpbouwErvaring5</f>
        <v>Leiding (niet-meewerkend) objectleider</v>
      </c>
      <c r="B52" s="25"/>
      <c r="C52" s="26">
        <f>TariefOpbouwTarief5</f>
        <v>0</v>
      </c>
      <c r="D52" s="25"/>
      <c r="E52" s="26">
        <f>TariefOpbouwTarief5W</f>
        <v>0</v>
      </c>
      <c r="F52" s="25"/>
      <c r="G52" s="27">
        <f>TariefOpbouwTarief5X</f>
        <v>0</v>
      </c>
    </row>
    <row r="53" spans="1:9" x14ac:dyDescent="0.3">
      <c r="A53" s="34" t="s">
        <v>87</v>
      </c>
      <c r="B53" s="42">
        <f>TariefUitvoering1+IF(SUM(B51:B52)&gt;0,SUMPRODUCT(B51:B52,C51:C52))</f>
        <v>0</v>
      </c>
      <c r="C53" s="42"/>
      <c r="D53" s="42">
        <f>TariefUitvoering6+IF(SUM(D51:D52)&gt;0,SUMPRODUCT(D51:D52,E51:E52))</f>
        <v>0</v>
      </c>
      <c r="E53" s="42"/>
      <c r="F53" s="42">
        <f>TariefUitvoering7+IF(SUM(F51:F52)&gt;0,SUMPRODUCT(F51:F52,G51:G52))</f>
        <v>0</v>
      </c>
      <c r="G53" s="43"/>
    </row>
    <row r="55" spans="1:9" ht="28.8" customHeight="1" x14ac:dyDescent="0.3">
      <c r="A55" s="8" t="s">
        <v>88</v>
      </c>
      <c r="B55" s="38" t="s">
        <v>89</v>
      </c>
      <c r="C55" s="38"/>
      <c r="D55" s="38" t="s">
        <v>90</v>
      </c>
      <c r="E55" s="38"/>
      <c r="F55" s="38" t="s">
        <v>91</v>
      </c>
      <c r="G55" s="38"/>
      <c r="H55" s="38" t="s">
        <v>92</v>
      </c>
      <c r="I55" s="39"/>
    </row>
    <row r="56" spans="1:9" x14ac:dyDescent="0.3">
      <c r="A56" s="28"/>
      <c r="B56" s="31" t="s">
        <v>84</v>
      </c>
      <c r="C56" s="31" t="s">
        <v>85</v>
      </c>
      <c r="D56" s="31" t="s">
        <v>84</v>
      </c>
      <c r="E56" s="31" t="s">
        <v>85</v>
      </c>
      <c r="F56" s="31" t="s">
        <v>84</v>
      </c>
      <c r="G56" s="31" t="s">
        <v>85</v>
      </c>
      <c r="H56" s="31" t="s">
        <v>84</v>
      </c>
      <c r="I56" s="32" t="s">
        <v>85</v>
      </c>
    </row>
    <row r="57" spans="1:9" x14ac:dyDescent="0.3">
      <c r="A57" s="40" t="str">
        <f>TariefOpbouwNaam6&amp;" "&amp;TariefOpbouwErvaring6</f>
        <v xml:space="preserve">Vakvolwassene regie </v>
      </c>
      <c r="B57" s="25"/>
      <c r="C57" s="26">
        <f>TariefOpbouwTarief6</f>
        <v>0</v>
      </c>
      <c r="D57" s="25"/>
      <c r="E57" s="26">
        <f>TariefOpbouwTarief6</f>
        <v>0</v>
      </c>
      <c r="F57" s="25"/>
      <c r="G57" s="26">
        <f>TariefOpbouwTarief6</f>
        <v>0</v>
      </c>
      <c r="H57" s="25"/>
      <c r="I57" s="27">
        <f>TariefOpbouwTarief6</f>
        <v>0</v>
      </c>
    </row>
    <row r="58" spans="1:9" x14ac:dyDescent="0.3">
      <c r="A58" s="40" t="str">
        <f>TariefOpbouwNaam7&amp;" "&amp;TariefOpbouwErvaring7</f>
        <v>Vakvolwassene regie specialist</v>
      </c>
      <c r="B58" s="25"/>
      <c r="C58" s="26">
        <f>TariefOpbouwTarief7</f>
        <v>0</v>
      </c>
      <c r="D58" s="25"/>
      <c r="E58" s="26">
        <f>TariefOpbouwTarief7</f>
        <v>0</v>
      </c>
      <c r="F58" s="25"/>
      <c r="G58" s="26">
        <f>TariefOpbouwTarief7</f>
        <v>0</v>
      </c>
      <c r="H58" s="25"/>
      <c r="I58" s="27">
        <f>TariefOpbouwTarief7</f>
        <v>0</v>
      </c>
    </row>
    <row r="59" spans="1:9" x14ac:dyDescent="0.3">
      <c r="A59" s="11" t="s">
        <v>86</v>
      </c>
      <c r="B59" s="41" t="str">
        <f>IF(SUM(B57:B58)=1,SUM(B57:B58),"ongeldig")</f>
        <v>ongeldig</v>
      </c>
      <c r="C59" s="26">
        <f>SUMPRODUCT(B57:B58,C57:C58)</f>
        <v>0</v>
      </c>
      <c r="D59" s="41" t="str">
        <f>IF(SUM(D57:D58)=1,SUM(D57:D58),"ongeldig")</f>
        <v>ongeldig</v>
      </c>
      <c r="E59" s="26">
        <f>SUMPRODUCT(D57:D58,E57:E58)</f>
        <v>0</v>
      </c>
      <c r="F59" s="41" t="str">
        <f>IF(SUM(F57:F58)=1,SUM(F57:F58),"ongeldig")</f>
        <v>ongeldig</v>
      </c>
      <c r="G59" s="26">
        <f>SUMPRODUCT(F57:F58,G57:G58)</f>
        <v>0</v>
      </c>
      <c r="H59" s="41" t="str">
        <f>IF(SUM(H57:H58)=1,SUM(H57:H58),"ongeldig")</f>
        <v>ongeldig</v>
      </c>
      <c r="I59" s="27">
        <f>SUMPRODUCT(H57:H58,I57:I58)</f>
        <v>0</v>
      </c>
    </row>
    <row r="60" spans="1:9" x14ac:dyDescent="0.3">
      <c r="A60" s="40" t="str">
        <f>TariefOpbouwNaam8&amp;" "&amp;TariefOpbouwErvaring8</f>
        <v xml:space="preserve">Leiding regie </v>
      </c>
      <c r="B60" s="25"/>
      <c r="C60" s="26">
        <f>TariefOpbouwTarief8</f>
        <v>0</v>
      </c>
      <c r="D60" s="25"/>
      <c r="E60" s="26">
        <f>TariefOpbouwTarief8</f>
        <v>0</v>
      </c>
      <c r="F60" s="25"/>
      <c r="G60" s="26">
        <f>TariefOpbouwTarief8</f>
        <v>0</v>
      </c>
      <c r="H60" s="25"/>
      <c r="I60" s="27">
        <f>TariefOpbouwTarief8</f>
        <v>0</v>
      </c>
    </row>
    <row r="61" spans="1:9" x14ac:dyDescent="0.3">
      <c r="A61" s="34" t="s">
        <v>93</v>
      </c>
      <c r="B61" s="42">
        <f>TariefUitvoering2+IF(SUM(B60:B60)&gt;0,SUMPRODUCT(B60:B60,C60:C60))</f>
        <v>0</v>
      </c>
      <c r="C61" s="42"/>
      <c r="D61" s="42">
        <f>TariefUitvoering3+IF(SUM(D60:D60)&gt;0,SUMPRODUCT(D60:D60,E60:E60))</f>
        <v>0</v>
      </c>
      <c r="E61" s="42"/>
      <c r="F61" s="42">
        <f>TariefUitvoering4+IF(SUM(F60:F60)&gt;0,SUMPRODUCT(F60:F60,G60:G60))</f>
        <v>0</v>
      </c>
      <c r="G61" s="42"/>
      <c r="H61" s="42">
        <f>TariefUitvoering5+IF(SUM(H60:H60)&gt;0,SUMPRODUCT(H60:H60,I60:I60))</f>
        <v>0</v>
      </c>
      <c r="I61" s="43"/>
    </row>
  </sheetData>
  <sheetProtection algorithmName="SHA-512" hashValue="24DUCBTaNtZLUawBLL4XJDWpGjCfxLsVqPBIX+ZjWZ3G/04yO/RY2RSKxihXh8e8PmUprGB33w5UGiNwgoRk4w==" saltValue="rrwTOfnWT/qw0gpnKHknpg==" spinCount="100000" sheet="1" objects="1" scenarios="1" autoFilter="0"/>
  <mergeCells count="118">
    <mergeCell ref="B55:C55"/>
    <mergeCell ref="D55:E55"/>
    <mergeCell ref="F55:G55"/>
    <mergeCell ref="H55:I55"/>
    <mergeCell ref="B61:C61"/>
    <mergeCell ref="D61:E61"/>
    <mergeCell ref="F61:G61"/>
    <mergeCell ref="H61:I61"/>
    <mergeCell ref="N39:O39"/>
    <mergeCell ref="P39:Q39"/>
    <mergeCell ref="B45:C45"/>
    <mergeCell ref="D45:E45"/>
    <mergeCell ref="F45:G45"/>
    <mergeCell ref="B53:C53"/>
    <mergeCell ref="D53:E53"/>
    <mergeCell ref="F53:G53"/>
    <mergeCell ref="B39:C39"/>
    <mergeCell ref="D39:E39"/>
    <mergeCell ref="F39:G39"/>
    <mergeCell ref="H39:I39"/>
    <mergeCell ref="J39:K39"/>
    <mergeCell ref="L39:M39"/>
    <mergeCell ref="N26:O26"/>
    <mergeCell ref="P26:Q26"/>
    <mergeCell ref="B35:C35"/>
    <mergeCell ref="D35:E35"/>
    <mergeCell ref="F35:G35"/>
    <mergeCell ref="H35:I35"/>
    <mergeCell ref="J35:K35"/>
    <mergeCell ref="L35:M35"/>
    <mergeCell ref="N35:O35"/>
    <mergeCell ref="P35:Q35"/>
    <mergeCell ref="B26:C26"/>
    <mergeCell ref="D26:E26"/>
    <mergeCell ref="F26:G26"/>
    <mergeCell ref="H26:I26"/>
    <mergeCell ref="J26:K26"/>
    <mergeCell ref="L26:M26"/>
    <mergeCell ref="N14:O14"/>
    <mergeCell ref="P14:Q14"/>
    <mergeCell ref="B19:C19"/>
    <mergeCell ref="D19:E19"/>
    <mergeCell ref="F19:G19"/>
    <mergeCell ref="H19:I19"/>
    <mergeCell ref="J19:K19"/>
    <mergeCell ref="L19:M19"/>
    <mergeCell ref="N19:O19"/>
    <mergeCell ref="P19:Q19"/>
    <mergeCell ref="B14:C14"/>
    <mergeCell ref="D14:E14"/>
    <mergeCell ref="F14:G14"/>
    <mergeCell ref="H14:I14"/>
    <mergeCell ref="J14:K14"/>
    <mergeCell ref="L14:M14"/>
    <mergeCell ref="N9:O9"/>
    <mergeCell ref="P9:Q9"/>
    <mergeCell ref="B12:C12"/>
    <mergeCell ref="D12:E12"/>
    <mergeCell ref="F12:G12"/>
    <mergeCell ref="H12:I12"/>
    <mergeCell ref="J12:K12"/>
    <mergeCell ref="L12:M12"/>
    <mergeCell ref="N12:O12"/>
    <mergeCell ref="P12:Q12"/>
    <mergeCell ref="B9:C9"/>
    <mergeCell ref="D9:E9"/>
    <mergeCell ref="F9:G9"/>
    <mergeCell ref="H9:I9"/>
    <mergeCell ref="J9:K9"/>
    <mergeCell ref="L9:M9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5" orientation="landscape" r:id="rId1"/>
  <headerFooter>
    <oddFooter>&amp;LMeerscholen EA 2026                                         &amp;ROpmaakdatum: 22-04-2026
Intexso - Plantageweg 23E - Leusden
+31 (33) 2778485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7195-A2CB-4D9D-A940-5F2C8508E837}">
  <dimension ref="A1:H62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4.77734375" customWidth="1"/>
    <col min="4" max="4" width="50.77734375" customWidth="1"/>
    <col min="5" max="6" width="11.77734375" customWidth="1"/>
    <col min="7" max="7" width="9.77734375" customWidth="1"/>
    <col min="8" max="8" width="11.77734375" customWidth="1"/>
  </cols>
  <sheetData>
    <row r="1" spans="1:8" x14ac:dyDescent="0.3">
      <c r="A1" s="1" t="str">
        <f>CONCATENATE("Bijlage F.1: ",tabeltype," categorienormen")</f>
        <v>Bijlage F.1: Invultabel categorienormen</v>
      </c>
    </row>
    <row r="3" spans="1:8" ht="43.2" x14ac:dyDescent="0.3">
      <c r="A3" s="44" t="s">
        <v>94</v>
      </c>
      <c r="B3" s="44" t="s">
        <v>95</v>
      </c>
      <c r="C3" s="44" t="s">
        <v>96</v>
      </c>
      <c r="D3" s="44" t="s">
        <v>97</v>
      </c>
      <c r="E3" s="44" t="s">
        <v>98</v>
      </c>
      <c r="F3" s="44" t="s">
        <v>99</v>
      </c>
      <c r="G3" s="44" t="s">
        <v>100</v>
      </c>
      <c r="H3" s="44" t="s">
        <v>101</v>
      </c>
    </row>
    <row r="4" spans="1:8" x14ac:dyDescent="0.3">
      <c r="A4" s="45"/>
      <c r="B4" s="46"/>
      <c r="C4" s="46"/>
      <c r="D4" s="46"/>
      <c r="E4" s="46"/>
      <c r="F4" s="46"/>
      <c r="G4" s="46"/>
      <c r="H4" s="47"/>
    </row>
    <row r="5" spans="1:8" x14ac:dyDescent="0.3">
      <c r="A5" s="48" t="s">
        <v>102</v>
      </c>
      <c r="B5" s="49"/>
      <c r="C5" s="49"/>
      <c r="D5" s="49"/>
      <c r="E5" s="49"/>
      <c r="F5" s="49"/>
      <c r="G5" s="49"/>
      <c r="H5" s="50"/>
    </row>
    <row r="6" spans="1:8" x14ac:dyDescent="0.3">
      <c r="A6" s="51" t="s">
        <v>103</v>
      </c>
      <c r="B6" s="52" t="s">
        <v>104</v>
      </c>
      <c r="C6" s="51">
        <v>1</v>
      </c>
      <c r="D6" s="51" t="s">
        <v>105</v>
      </c>
      <c r="E6" s="53"/>
      <c r="F6" s="54"/>
      <c r="G6" s="51" t="s">
        <v>106</v>
      </c>
      <c r="H6" s="55">
        <f>Tariefopbouw1</f>
        <v>0</v>
      </c>
    </row>
    <row r="7" spans="1:8" x14ac:dyDescent="0.3">
      <c r="A7" s="56" t="s">
        <v>107</v>
      </c>
      <c r="B7" s="57" t="s">
        <v>104</v>
      </c>
      <c r="C7" s="56">
        <v>40</v>
      </c>
      <c r="D7" s="56" t="s">
        <v>108</v>
      </c>
      <c r="E7" s="58"/>
      <c r="F7" s="59"/>
      <c r="G7" s="56" t="s">
        <v>106</v>
      </c>
      <c r="H7" s="60">
        <f>Tariefopbouw1</f>
        <v>0</v>
      </c>
    </row>
    <row r="8" spans="1:8" x14ac:dyDescent="0.3">
      <c r="A8" s="56" t="s">
        <v>109</v>
      </c>
      <c r="B8" s="57" t="s">
        <v>104</v>
      </c>
      <c r="C8" s="56">
        <v>1</v>
      </c>
      <c r="D8" s="56" t="s">
        <v>110</v>
      </c>
      <c r="E8" s="58"/>
      <c r="F8" s="59"/>
      <c r="G8" s="56" t="s">
        <v>106</v>
      </c>
      <c r="H8" s="60">
        <f>Tariefopbouw1</f>
        <v>0</v>
      </c>
    </row>
    <row r="9" spans="1:8" x14ac:dyDescent="0.3">
      <c r="A9" s="56" t="s">
        <v>111</v>
      </c>
      <c r="B9" s="57" t="s">
        <v>104</v>
      </c>
      <c r="C9" s="56">
        <v>40</v>
      </c>
      <c r="D9" s="56" t="s">
        <v>112</v>
      </c>
      <c r="E9" s="58"/>
      <c r="F9" s="59"/>
      <c r="G9" s="56" t="s">
        <v>106</v>
      </c>
      <c r="H9" s="60">
        <f>Tariefopbouw1</f>
        <v>0</v>
      </c>
    </row>
    <row r="10" spans="1:8" x14ac:dyDescent="0.3">
      <c r="A10" s="56" t="s">
        <v>111</v>
      </c>
      <c r="B10" s="57" t="s">
        <v>104</v>
      </c>
      <c r="C10" s="56">
        <v>42</v>
      </c>
      <c r="D10" s="56" t="s">
        <v>112</v>
      </c>
      <c r="E10" s="58"/>
      <c r="F10" s="59"/>
      <c r="G10" s="56" t="s">
        <v>106</v>
      </c>
      <c r="H10" s="60">
        <f>Tariefopbouw1</f>
        <v>0</v>
      </c>
    </row>
    <row r="11" spans="1:8" x14ac:dyDescent="0.3">
      <c r="A11" s="56" t="s">
        <v>113</v>
      </c>
      <c r="B11" s="57" t="s">
        <v>104</v>
      </c>
      <c r="C11" s="56">
        <v>1</v>
      </c>
      <c r="D11" s="56" t="s">
        <v>114</v>
      </c>
      <c r="E11" s="58"/>
      <c r="F11" s="59"/>
      <c r="G11" s="56" t="s">
        <v>106</v>
      </c>
      <c r="H11" s="60">
        <f>Tariefopbouw1</f>
        <v>0</v>
      </c>
    </row>
    <row r="12" spans="1:8" x14ac:dyDescent="0.3">
      <c r="A12" s="56" t="s">
        <v>115</v>
      </c>
      <c r="B12" s="57" t="s">
        <v>104</v>
      </c>
      <c r="C12" s="56">
        <v>40</v>
      </c>
      <c r="D12" s="56" t="s">
        <v>116</v>
      </c>
      <c r="E12" s="58"/>
      <c r="F12" s="59"/>
      <c r="G12" s="56" t="s">
        <v>106</v>
      </c>
      <c r="H12" s="60">
        <f>Tariefopbouw1</f>
        <v>0</v>
      </c>
    </row>
    <row r="13" spans="1:8" x14ac:dyDescent="0.3">
      <c r="A13" s="56" t="s">
        <v>117</v>
      </c>
      <c r="B13" s="57" t="s">
        <v>104</v>
      </c>
      <c r="C13" s="56">
        <v>1</v>
      </c>
      <c r="D13" s="56" t="s">
        <v>118</v>
      </c>
      <c r="E13" s="58"/>
      <c r="F13" s="59"/>
      <c r="G13" s="56" t="s">
        <v>106</v>
      </c>
      <c r="H13" s="60">
        <f>Tariefopbouw1</f>
        <v>0</v>
      </c>
    </row>
    <row r="14" spans="1:8" x14ac:dyDescent="0.3">
      <c r="A14" s="56" t="s">
        <v>119</v>
      </c>
      <c r="B14" s="57" t="s">
        <v>104</v>
      </c>
      <c r="C14" s="56">
        <v>40</v>
      </c>
      <c r="D14" s="56" t="s">
        <v>120</v>
      </c>
      <c r="E14" s="58"/>
      <c r="F14" s="59"/>
      <c r="G14" s="56" t="s">
        <v>106</v>
      </c>
      <c r="H14" s="60">
        <f>Tariefopbouw1</f>
        <v>0</v>
      </c>
    </row>
    <row r="15" spans="1:8" x14ac:dyDescent="0.3">
      <c r="A15" s="56" t="s">
        <v>121</v>
      </c>
      <c r="B15" s="57" t="s">
        <v>104</v>
      </c>
      <c r="C15" s="56">
        <v>1</v>
      </c>
      <c r="D15" s="56" t="s">
        <v>122</v>
      </c>
      <c r="E15" s="58"/>
      <c r="F15" s="59"/>
      <c r="G15" s="56" t="s">
        <v>106</v>
      </c>
      <c r="H15" s="60">
        <f>Tariefopbouw1</f>
        <v>0</v>
      </c>
    </row>
    <row r="16" spans="1:8" x14ac:dyDescent="0.3">
      <c r="A16" s="56" t="s">
        <v>123</v>
      </c>
      <c r="B16" s="57" t="s">
        <v>104</v>
      </c>
      <c r="C16" s="56">
        <v>40</v>
      </c>
      <c r="D16" s="56" t="s">
        <v>124</v>
      </c>
      <c r="E16" s="58"/>
      <c r="F16" s="59"/>
      <c r="G16" s="56" t="s">
        <v>106</v>
      </c>
      <c r="H16" s="60">
        <f>Tariefopbouw1</f>
        <v>0</v>
      </c>
    </row>
    <row r="17" spans="1:8" x14ac:dyDescent="0.3">
      <c r="A17" s="56" t="s">
        <v>125</v>
      </c>
      <c r="B17" s="57" t="s">
        <v>104</v>
      </c>
      <c r="C17" s="56">
        <v>1</v>
      </c>
      <c r="D17" s="56" t="s">
        <v>126</v>
      </c>
      <c r="E17" s="58"/>
      <c r="F17" s="59"/>
      <c r="G17" s="56" t="s">
        <v>106</v>
      </c>
      <c r="H17" s="60">
        <f>Tariefopbouw1</f>
        <v>0</v>
      </c>
    </row>
    <row r="18" spans="1:8" x14ac:dyDescent="0.3">
      <c r="A18" s="56" t="s">
        <v>127</v>
      </c>
      <c r="B18" s="57" t="s">
        <v>104</v>
      </c>
      <c r="C18" s="56">
        <v>40</v>
      </c>
      <c r="D18" s="56" t="s">
        <v>128</v>
      </c>
      <c r="E18" s="58"/>
      <c r="F18" s="59"/>
      <c r="G18" s="56" t="s">
        <v>106</v>
      </c>
      <c r="H18" s="60">
        <f>Tariefopbouw1</f>
        <v>0</v>
      </c>
    </row>
    <row r="19" spans="1:8" x14ac:dyDescent="0.3">
      <c r="A19" s="56" t="s">
        <v>129</v>
      </c>
      <c r="B19" s="57" t="s">
        <v>104</v>
      </c>
      <c r="C19" s="56">
        <v>1</v>
      </c>
      <c r="D19" s="56" t="s">
        <v>130</v>
      </c>
      <c r="E19" s="58"/>
      <c r="F19" s="59"/>
      <c r="G19" s="56" t="s">
        <v>106</v>
      </c>
      <c r="H19" s="60">
        <f>Tariefopbouw1</f>
        <v>0</v>
      </c>
    </row>
    <row r="20" spans="1:8" x14ac:dyDescent="0.3">
      <c r="A20" s="56" t="s">
        <v>131</v>
      </c>
      <c r="B20" s="57" t="s">
        <v>104</v>
      </c>
      <c r="C20" s="56">
        <v>40</v>
      </c>
      <c r="D20" s="56" t="s">
        <v>132</v>
      </c>
      <c r="E20" s="58"/>
      <c r="F20" s="59"/>
      <c r="G20" s="56" t="s">
        <v>106</v>
      </c>
      <c r="H20" s="60">
        <f>Tariefopbouw1</f>
        <v>0</v>
      </c>
    </row>
    <row r="21" spans="1:8" x14ac:dyDescent="0.3">
      <c r="A21" s="56" t="s">
        <v>133</v>
      </c>
      <c r="B21" s="57" t="s">
        <v>134</v>
      </c>
      <c r="C21" s="56">
        <v>1</v>
      </c>
      <c r="D21" s="56" t="s">
        <v>135</v>
      </c>
      <c r="E21" s="58"/>
      <c r="F21" s="59"/>
      <c r="G21" s="56" t="s">
        <v>106</v>
      </c>
      <c r="H21" s="60">
        <f>Tariefopbouw1</f>
        <v>0</v>
      </c>
    </row>
    <row r="22" spans="1:8" x14ac:dyDescent="0.3">
      <c r="A22" s="56" t="s">
        <v>136</v>
      </c>
      <c r="B22" s="57" t="s">
        <v>134</v>
      </c>
      <c r="C22" s="56">
        <v>40</v>
      </c>
      <c r="D22" s="56" t="s">
        <v>137</v>
      </c>
      <c r="E22" s="58"/>
      <c r="F22" s="59"/>
      <c r="G22" s="56" t="s">
        <v>106</v>
      </c>
      <c r="H22" s="60">
        <f>Tariefopbouw1</f>
        <v>0</v>
      </c>
    </row>
    <row r="23" spans="1:8" x14ac:dyDescent="0.3">
      <c r="A23" s="56" t="s">
        <v>138</v>
      </c>
      <c r="B23" s="57" t="s">
        <v>139</v>
      </c>
      <c r="C23" s="56">
        <v>1</v>
      </c>
      <c r="D23" s="56" t="s">
        <v>140</v>
      </c>
      <c r="E23" s="58"/>
      <c r="F23" s="59"/>
      <c r="G23" s="56" t="s">
        <v>106</v>
      </c>
      <c r="H23" s="60">
        <f>Tariefopbouw1</f>
        <v>0</v>
      </c>
    </row>
    <row r="24" spans="1:8" x14ac:dyDescent="0.3">
      <c r="A24" s="56" t="s">
        <v>141</v>
      </c>
      <c r="B24" s="57" t="s">
        <v>139</v>
      </c>
      <c r="C24" s="56">
        <v>40</v>
      </c>
      <c r="D24" s="56" t="s">
        <v>142</v>
      </c>
      <c r="E24" s="58"/>
      <c r="F24" s="59"/>
      <c r="G24" s="56" t="s">
        <v>106</v>
      </c>
      <c r="H24" s="60">
        <f>Tariefopbouw1</f>
        <v>0</v>
      </c>
    </row>
    <row r="25" spans="1:8" x14ac:dyDescent="0.3">
      <c r="A25" s="56" t="s">
        <v>143</v>
      </c>
      <c r="B25" s="57" t="s">
        <v>144</v>
      </c>
      <c r="C25" s="56">
        <v>1</v>
      </c>
      <c r="D25" s="56" t="s">
        <v>145</v>
      </c>
      <c r="E25" s="58"/>
      <c r="F25" s="59"/>
      <c r="G25" s="56" t="s">
        <v>106</v>
      </c>
      <c r="H25" s="60">
        <f>Tariefopbouw1</f>
        <v>0</v>
      </c>
    </row>
    <row r="26" spans="1:8" x14ac:dyDescent="0.3">
      <c r="A26" s="56" t="s">
        <v>146</v>
      </c>
      <c r="B26" s="57" t="s">
        <v>144</v>
      </c>
      <c r="C26" s="56">
        <v>40</v>
      </c>
      <c r="D26" s="56" t="s">
        <v>147</v>
      </c>
      <c r="E26" s="58"/>
      <c r="F26" s="59"/>
      <c r="G26" s="56" t="s">
        <v>106</v>
      </c>
      <c r="H26" s="60">
        <f>Tariefopbouw1</f>
        <v>0</v>
      </c>
    </row>
    <row r="27" spans="1:8" x14ac:dyDescent="0.3">
      <c r="A27" s="56" t="s">
        <v>148</v>
      </c>
      <c r="B27" s="57" t="s">
        <v>149</v>
      </c>
      <c r="C27" s="56">
        <v>1</v>
      </c>
      <c r="D27" s="56" t="s">
        <v>150</v>
      </c>
      <c r="E27" s="58"/>
      <c r="F27" s="59"/>
      <c r="G27" s="56" t="s">
        <v>106</v>
      </c>
      <c r="H27" s="60">
        <f>Tariefopbouw1</f>
        <v>0</v>
      </c>
    </row>
    <row r="28" spans="1:8" x14ac:dyDescent="0.3">
      <c r="A28" s="56" t="s">
        <v>151</v>
      </c>
      <c r="B28" s="57" t="s">
        <v>149</v>
      </c>
      <c r="C28" s="56">
        <v>40</v>
      </c>
      <c r="D28" s="56" t="s">
        <v>152</v>
      </c>
      <c r="E28" s="58"/>
      <c r="F28" s="59"/>
      <c r="G28" s="56" t="s">
        <v>106</v>
      </c>
      <c r="H28" s="60">
        <f>Tariefopbouw1</f>
        <v>0</v>
      </c>
    </row>
    <row r="29" spans="1:8" x14ac:dyDescent="0.3">
      <c r="A29" s="56" t="s">
        <v>153</v>
      </c>
      <c r="B29" s="57" t="s">
        <v>149</v>
      </c>
      <c r="C29" s="56">
        <v>1</v>
      </c>
      <c r="D29" s="56" t="s">
        <v>154</v>
      </c>
      <c r="E29" s="58"/>
      <c r="F29" s="59"/>
      <c r="G29" s="56" t="s">
        <v>106</v>
      </c>
      <c r="H29" s="60">
        <f>Tariefopbouw1</f>
        <v>0</v>
      </c>
    </row>
    <row r="30" spans="1:8" x14ac:dyDescent="0.3">
      <c r="A30" s="56" t="s">
        <v>155</v>
      </c>
      <c r="B30" s="57" t="s">
        <v>149</v>
      </c>
      <c r="C30" s="56">
        <v>40</v>
      </c>
      <c r="D30" s="56" t="s">
        <v>156</v>
      </c>
      <c r="E30" s="58"/>
      <c r="F30" s="59"/>
      <c r="G30" s="56" t="s">
        <v>106</v>
      </c>
      <c r="H30" s="60">
        <f>Tariefopbouw1</f>
        <v>0</v>
      </c>
    </row>
    <row r="31" spans="1:8" x14ac:dyDescent="0.3">
      <c r="A31" s="56" t="s">
        <v>157</v>
      </c>
      <c r="B31" s="57" t="s">
        <v>149</v>
      </c>
      <c r="C31" s="56">
        <v>1</v>
      </c>
      <c r="D31" s="56" t="s">
        <v>158</v>
      </c>
      <c r="E31" s="58"/>
      <c r="F31" s="59"/>
      <c r="G31" s="56" t="s">
        <v>106</v>
      </c>
      <c r="H31" s="60">
        <f>Tariefopbouw1</f>
        <v>0</v>
      </c>
    </row>
    <row r="32" spans="1:8" x14ac:dyDescent="0.3">
      <c r="A32" s="56" t="s">
        <v>159</v>
      </c>
      <c r="B32" s="57" t="s">
        <v>149</v>
      </c>
      <c r="C32" s="56">
        <v>40</v>
      </c>
      <c r="D32" s="56" t="s">
        <v>160</v>
      </c>
      <c r="E32" s="58"/>
      <c r="F32" s="59"/>
      <c r="G32" s="56" t="s">
        <v>106</v>
      </c>
      <c r="H32" s="60">
        <f>Tariefopbouw1</f>
        <v>0</v>
      </c>
    </row>
    <row r="33" spans="1:8" x14ac:dyDescent="0.3">
      <c r="A33" s="56" t="s">
        <v>159</v>
      </c>
      <c r="B33" s="57" t="s">
        <v>149</v>
      </c>
      <c r="C33" s="56">
        <v>42</v>
      </c>
      <c r="D33" s="56" t="s">
        <v>160</v>
      </c>
      <c r="E33" s="58"/>
      <c r="F33" s="59"/>
      <c r="G33" s="56" t="s">
        <v>106</v>
      </c>
      <c r="H33" s="60">
        <f>Tariefopbouw1</f>
        <v>0</v>
      </c>
    </row>
    <row r="34" spans="1:8" x14ac:dyDescent="0.3">
      <c r="A34" s="56" t="s">
        <v>161</v>
      </c>
      <c r="B34" s="57" t="s">
        <v>162</v>
      </c>
      <c r="C34" s="56">
        <v>1</v>
      </c>
      <c r="D34" s="56" t="s">
        <v>163</v>
      </c>
      <c r="E34" s="58"/>
      <c r="F34" s="59"/>
      <c r="G34" s="56" t="s">
        <v>106</v>
      </c>
      <c r="H34" s="60">
        <f>Tariefopbouw1</f>
        <v>0</v>
      </c>
    </row>
    <row r="35" spans="1:8" x14ac:dyDescent="0.3">
      <c r="A35" s="56" t="s">
        <v>164</v>
      </c>
      <c r="B35" s="57" t="s">
        <v>162</v>
      </c>
      <c r="C35" s="56">
        <v>40</v>
      </c>
      <c r="D35" s="56" t="s">
        <v>165</v>
      </c>
      <c r="E35" s="58"/>
      <c r="F35" s="59"/>
      <c r="G35" s="56" t="s">
        <v>106</v>
      </c>
      <c r="H35" s="60">
        <f>Tariefopbouw1</f>
        <v>0</v>
      </c>
    </row>
    <row r="36" spans="1:8" x14ac:dyDescent="0.3">
      <c r="A36" s="56" t="s">
        <v>166</v>
      </c>
      <c r="B36" s="57" t="s">
        <v>162</v>
      </c>
      <c r="C36" s="56">
        <v>1</v>
      </c>
      <c r="D36" s="56" t="s">
        <v>167</v>
      </c>
      <c r="E36" s="58"/>
      <c r="F36" s="59"/>
      <c r="G36" s="56" t="s">
        <v>106</v>
      </c>
      <c r="H36" s="60">
        <f>Tariefopbouw1</f>
        <v>0</v>
      </c>
    </row>
    <row r="37" spans="1:8" x14ac:dyDescent="0.3">
      <c r="A37" s="56" t="s">
        <v>168</v>
      </c>
      <c r="B37" s="57" t="s">
        <v>162</v>
      </c>
      <c r="C37" s="56">
        <v>40</v>
      </c>
      <c r="D37" s="56" t="s">
        <v>169</v>
      </c>
      <c r="E37" s="58"/>
      <c r="F37" s="59"/>
      <c r="G37" s="56" t="s">
        <v>106</v>
      </c>
      <c r="H37" s="60">
        <f>Tariefopbouw1</f>
        <v>0</v>
      </c>
    </row>
    <row r="38" spans="1:8" x14ac:dyDescent="0.3">
      <c r="A38" s="56" t="s">
        <v>170</v>
      </c>
      <c r="B38" s="57" t="s">
        <v>162</v>
      </c>
      <c r="C38" s="56">
        <v>1</v>
      </c>
      <c r="D38" s="56" t="s">
        <v>171</v>
      </c>
      <c r="E38" s="58"/>
      <c r="F38" s="59"/>
      <c r="G38" s="56" t="s">
        <v>106</v>
      </c>
      <c r="H38" s="60">
        <f>Tariefopbouw1</f>
        <v>0</v>
      </c>
    </row>
    <row r="39" spans="1:8" x14ac:dyDescent="0.3">
      <c r="A39" s="56" t="s">
        <v>172</v>
      </c>
      <c r="B39" s="57" t="s">
        <v>162</v>
      </c>
      <c r="C39" s="56">
        <v>40</v>
      </c>
      <c r="D39" s="56" t="s">
        <v>173</v>
      </c>
      <c r="E39" s="58"/>
      <c r="F39" s="59"/>
      <c r="G39" s="56" t="s">
        <v>106</v>
      </c>
      <c r="H39" s="60">
        <f>Tariefopbouw1</f>
        <v>0</v>
      </c>
    </row>
    <row r="40" spans="1:8" x14ac:dyDescent="0.3">
      <c r="A40" s="56" t="s">
        <v>174</v>
      </c>
      <c r="B40" s="57" t="s">
        <v>162</v>
      </c>
      <c r="C40" s="56">
        <v>1</v>
      </c>
      <c r="D40" s="56" t="s">
        <v>175</v>
      </c>
      <c r="E40" s="58"/>
      <c r="F40" s="59"/>
      <c r="G40" s="56" t="s">
        <v>106</v>
      </c>
      <c r="H40" s="60">
        <f>Tariefopbouw1</f>
        <v>0</v>
      </c>
    </row>
    <row r="41" spans="1:8" x14ac:dyDescent="0.3">
      <c r="A41" s="56" t="s">
        <v>176</v>
      </c>
      <c r="B41" s="57" t="s">
        <v>162</v>
      </c>
      <c r="C41" s="56">
        <v>40</v>
      </c>
      <c r="D41" s="56" t="s">
        <v>177</v>
      </c>
      <c r="E41" s="58"/>
      <c r="F41" s="59"/>
      <c r="G41" s="56" t="s">
        <v>106</v>
      </c>
      <c r="H41" s="60">
        <f>Tariefopbouw1</f>
        <v>0</v>
      </c>
    </row>
    <row r="42" spans="1:8" x14ac:dyDescent="0.3">
      <c r="A42" s="56" t="s">
        <v>176</v>
      </c>
      <c r="B42" s="57" t="s">
        <v>162</v>
      </c>
      <c r="C42" s="56">
        <v>42</v>
      </c>
      <c r="D42" s="56" t="s">
        <v>177</v>
      </c>
      <c r="E42" s="58"/>
      <c r="F42" s="59"/>
      <c r="G42" s="56" t="s">
        <v>106</v>
      </c>
      <c r="H42" s="60">
        <f>Tariefopbouw1</f>
        <v>0</v>
      </c>
    </row>
    <row r="43" spans="1:8" x14ac:dyDescent="0.3">
      <c r="A43" s="56" t="s">
        <v>178</v>
      </c>
      <c r="B43" s="57" t="s">
        <v>162</v>
      </c>
      <c r="C43" s="56">
        <v>1</v>
      </c>
      <c r="D43" s="56" t="s">
        <v>179</v>
      </c>
      <c r="E43" s="58"/>
      <c r="F43" s="59"/>
      <c r="G43" s="56" t="s">
        <v>106</v>
      </c>
      <c r="H43" s="60">
        <f>Tariefopbouw1</f>
        <v>0</v>
      </c>
    </row>
    <row r="44" spans="1:8" x14ac:dyDescent="0.3">
      <c r="A44" s="56" t="s">
        <v>180</v>
      </c>
      <c r="B44" s="57" t="s">
        <v>162</v>
      </c>
      <c r="C44" s="56">
        <v>40</v>
      </c>
      <c r="D44" s="56" t="s">
        <v>181</v>
      </c>
      <c r="E44" s="58"/>
      <c r="F44" s="59"/>
      <c r="G44" s="56" t="s">
        <v>106</v>
      </c>
      <c r="H44" s="60">
        <f>Tariefopbouw1</f>
        <v>0</v>
      </c>
    </row>
    <row r="45" spans="1:8" x14ac:dyDescent="0.3">
      <c r="A45" s="56" t="s">
        <v>182</v>
      </c>
      <c r="B45" s="57" t="s">
        <v>162</v>
      </c>
      <c r="C45" s="56">
        <v>1</v>
      </c>
      <c r="D45" s="56" t="s">
        <v>183</v>
      </c>
      <c r="E45" s="58"/>
      <c r="F45" s="59"/>
      <c r="G45" s="56" t="s">
        <v>106</v>
      </c>
      <c r="H45" s="60">
        <f>Tariefopbouw1</f>
        <v>0</v>
      </c>
    </row>
    <row r="46" spans="1:8" x14ac:dyDescent="0.3">
      <c r="A46" s="56" t="s">
        <v>184</v>
      </c>
      <c r="B46" s="57" t="s">
        <v>162</v>
      </c>
      <c r="C46" s="56">
        <v>40</v>
      </c>
      <c r="D46" s="56" t="s">
        <v>185</v>
      </c>
      <c r="E46" s="58"/>
      <c r="F46" s="59"/>
      <c r="G46" s="56" t="s">
        <v>106</v>
      </c>
      <c r="H46" s="60">
        <f>Tariefopbouw1</f>
        <v>0</v>
      </c>
    </row>
    <row r="47" spans="1:8" x14ac:dyDescent="0.3">
      <c r="A47" s="56" t="s">
        <v>186</v>
      </c>
      <c r="B47" s="57" t="s">
        <v>162</v>
      </c>
      <c r="C47" s="56">
        <v>1</v>
      </c>
      <c r="D47" s="56" t="s">
        <v>187</v>
      </c>
      <c r="E47" s="58"/>
      <c r="F47" s="59"/>
      <c r="G47" s="56" t="s">
        <v>106</v>
      </c>
      <c r="H47" s="60">
        <f>Tariefopbouw1</f>
        <v>0</v>
      </c>
    </row>
    <row r="48" spans="1:8" x14ac:dyDescent="0.3">
      <c r="A48" s="56" t="s">
        <v>188</v>
      </c>
      <c r="B48" s="57" t="s">
        <v>162</v>
      </c>
      <c r="C48" s="56">
        <v>40</v>
      </c>
      <c r="D48" s="56" t="s">
        <v>189</v>
      </c>
      <c r="E48" s="58"/>
      <c r="F48" s="59"/>
      <c r="G48" s="56" t="s">
        <v>106</v>
      </c>
      <c r="H48" s="60">
        <f>Tariefopbouw1</f>
        <v>0</v>
      </c>
    </row>
    <row r="49" spans="1:8" x14ac:dyDescent="0.3">
      <c r="A49" s="56" t="s">
        <v>190</v>
      </c>
      <c r="B49" s="57" t="s">
        <v>162</v>
      </c>
      <c r="C49" s="56">
        <v>1</v>
      </c>
      <c r="D49" s="56" t="s">
        <v>191</v>
      </c>
      <c r="E49" s="58"/>
      <c r="F49" s="59"/>
      <c r="G49" s="56" t="s">
        <v>106</v>
      </c>
      <c r="H49" s="60">
        <f>Tariefopbouw1</f>
        <v>0</v>
      </c>
    </row>
    <row r="50" spans="1:8" x14ac:dyDescent="0.3">
      <c r="A50" s="56" t="s">
        <v>192</v>
      </c>
      <c r="B50" s="57" t="s">
        <v>162</v>
      </c>
      <c r="C50" s="56">
        <v>10</v>
      </c>
      <c r="D50" s="56" t="s">
        <v>193</v>
      </c>
      <c r="E50" s="58"/>
      <c r="F50" s="59"/>
      <c r="G50" s="56" t="s">
        <v>106</v>
      </c>
      <c r="H50" s="60">
        <f>Tariefopbouw1</f>
        <v>0</v>
      </c>
    </row>
    <row r="51" spans="1:8" x14ac:dyDescent="0.3">
      <c r="A51" s="56" t="s">
        <v>192</v>
      </c>
      <c r="B51" s="57" t="s">
        <v>162</v>
      </c>
      <c r="C51" s="56">
        <v>40</v>
      </c>
      <c r="D51" s="56" t="s">
        <v>193</v>
      </c>
      <c r="E51" s="58"/>
      <c r="F51" s="59"/>
      <c r="G51" s="56" t="s">
        <v>106</v>
      </c>
      <c r="H51" s="60">
        <f>Tariefopbouw1</f>
        <v>0</v>
      </c>
    </row>
    <row r="52" spans="1:8" x14ac:dyDescent="0.3">
      <c r="A52" s="56" t="s">
        <v>194</v>
      </c>
      <c r="B52" s="57" t="s">
        <v>162</v>
      </c>
      <c r="C52" s="56">
        <v>1</v>
      </c>
      <c r="D52" s="56" t="s">
        <v>195</v>
      </c>
      <c r="E52" s="58"/>
      <c r="F52" s="59"/>
      <c r="G52" s="56" t="s">
        <v>106</v>
      </c>
      <c r="H52" s="60">
        <f>Tariefopbouw1</f>
        <v>0</v>
      </c>
    </row>
    <row r="53" spans="1:8" x14ac:dyDescent="0.3">
      <c r="A53" s="56" t="s">
        <v>196</v>
      </c>
      <c r="B53" s="57" t="s">
        <v>162</v>
      </c>
      <c r="C53" s="56">
        <v>40</v>
      </c>
      <c r="D53" s="56" t="s">
        <v>197</v>
      </c>
      <c r="E53" s="58"/>
      <c r="F53" s="59"/>
      <c r="G53" s="56" t="s">
        <v>106</v>
      </c>
      <c r="H53" s="60">
        <f>Tariefopbouw1</f>
        <v>0</v>
      </c>
    </row>
    <row r="54" spans="1:8" x14ac:dyDescent="0.3">
      <c r="A54" s="56" t="s">
        <v>196</v>
      </c>
      <c r="B54" s="57" t="s">
        <v>162</v>
      </c>
      <c r="C54" s="56">
        <v>42</v>
      </c>
      <c r="D54" s="56" t="s">
        <v>197</v>
      </c>
      <c r="E54" s="58"/>
      <c r="F54" s="59"/>
      <c r="G54" s="56" t="s">
        <v>106</v>
      </c>
      <c r="H54" s="60">
        <f>Tariefopbouw1</f>
        <v>0</v>
      </c>
    </row>
    <row r="55" spans="1:8" x14ac:dyDescent="0.3">
      <c r="A55" s="56" t="s">
        <v>198</v>
      </c>
      <c r="B55" s="57" t="s">
        <v>162</v>
      </c>
      <c r="C55" s="56">
        <v>1</v>
      </c>
      <c r="D55" s="56" t="s">
        <v>199</v>
      </c>
      <c r="E55" s="58"/>
      <c r="F55" s="59"/>
      <c r="G55" s="56" t="s">
        <v>106</v>
      </c>
      <c r="H55" s="60">
        <f>Tariefopbouw1</f>
        <v>0</v>
      </c>
    </row>
    <row r="56" spans="1:8" x14ac:dyDescent="0.3">
      <c r="A56" s="56" t="s">
        <v>200</v>
      </c>
      <c r="B56" s="57" t="s">
        <v>162</v>
      </c>
      <c r="C56" s="56">
        <v>40</v>
      </c>
      <c r="D56" s="56" t="s">
        <v>201</v>
      </c>
      <c r="E56" s="58"/>
      <c r="F56" s="59"/>
      <c r="G56" s="56" t="s">
        <v>106</v>
      </c>
      <c r="H56" s="60">
        <f>Tariefopbouw1</f>
        <v>0</v>
      </c>
    </row>
    <row r="57" spans="1:8" x14ac:dyDescent="0.3">
      <c r="A57" s="56" t="s">
        <v>200</v>
      </c>
      <c r="B57" s="57" t="s">
        <v>162</v>
      </c>
      <c r="C57" s="56">
        <v>42</v>
      </c>
      <c r="D57" s="56" t="s">
        <v>201</v>
      </c>
      <c r="E57" s="58"/>
      <c r="F57" s="59"/>
      <c r="G57" s="56" t="s">
        <v>106</v>
      </c>
      <c r="H57" s="60">
        <f>Tariefopbouw1</f>
        <v>0</v>
      </c>
    </row>
    <row r="58" spans="1:8" x14ac:dyDescent="0.3">
      <c r="A58" s="56" t="s">
        <v>202</v>
      </c>
      <c r="B58" s="57" t="s">
        <v>162</v>
      </c>
      <c r="C58" s="56">
        <v>1</v>
      </c>
      <c r="D58" s="56" t="s">
        <v>203</v>
      </c>
      <c r="E58" s="58"/>
      <c r="F58" s="59"/>
      <c r="G58" s="56" t="s">
        <v>106</v>
      </c>
      <c r="H58" s="60">
        <f>Tariefopbouw1</f>
        <v>0</v>
      </c>
    </row>
    <row r="59" spans="1:8" x14ac:dyDescent="0.3">
      <c r="A59" s="56" t="s">
        <v>204</v>
      </c>
      <c r="B59" s="57" t="s">
        <v>162</v>
      </c>
      <c r="C59" s="56">
        <v>40</v>
      </c>
      <c r="D59" s="56" t="s">
        <v>205</v>
      </c>
      <c r="E59" s="58"/>
      <c r="F59" s="59"/>
      <c r="G59" s="56" t="s">
        <v>106</v>
      </c>
      <c r="H59" s="60">
        <f>Tariefopbouw1</f>
        <v>0</v>
      </c>
    </row>
    <row r="60" spans="1:8" x14ac:dyDescent="0.3">
      <c r="A60" s="56" t="s">
        <v>204</v>
      </c>
      <c r="B60" s="57" t="s">
        <v>162</v>
      </c>
      <c r="C60" s="56">
        <v>42</v>
      </c>
      <c r="D60" s="56" t="s">
        <v>205</v>
      </c>
      <c r="E60" s="58"/>
      <c r="F60" s="59"/>
      <c r="G60" s="56" t="s">
        <v>106</v>
      </c>
      <c r="H60" s="60">
        <f>Tariefopbouw1</f>
        <v>0</v>
      </c>
    </row>
    <row r="61" spans="1:8" x14ac:dyDescent="0.3">
      <c r="A61" s="56" t="s">
        <v>206</v>
      </c>
      <c r="B61" s="57" t="s">
        <v>162</v>
      </c>
      <c r="C61" s="56">
        <v>1</v>
      </c>
      <c r="D61" s="56" t="s">
        <v>207</v>
      </c>
      <c r="E61" s="58"/>
      <c r="F61" s="59"/>
      <c r="G61" s="56" t="s">
        <v>106</v>
      </c>
      <c r="H61" s="60">
        <f>Tariefopbouw1</f>
        <v>0</v>
      </c>
    </row>
    <row r="62" spans="1:8" x14ac:dyDescent="0.3">
      <c r="A62" s="61" t="s">
        <v>208</v>
      </c>
      <c r="B62" s="62" t="s">
        <v>162</v>
      </c>
      <c r="C62" s="61">
        <v>40</v>
      </c>
      <c r="D62" s="61" t="s">
        <v>209</v>
      </c>
      <c r="E62" s="63"/>
      <c r="F62" s="64"/>
      <c r="G62" s="61" t="s">
        <v>106</v>
      </c>
      <c r="H62" s="65">
        <f>Tariefopbouw1</f>
        <v>0</v>
      </c>
    </row>
  </sheetData>
  <sheetProtection algorithmName="SHA-512" hashValue="9roRZwG35F/qpX4QP7B7bGjjEWCk04CHR8iQAiL0z1NQoX9/ROHTEMqVqF7X2Iue77a3bkqmKWXf87YeFDOozA==" saltValue="ojHb1VwTPHTxPspjVf7rFQ==" spinCount="100000" sheet="1" objects="1" scenarios="1" autoFilter="0"/>
  <pageMargins left="0.7" right="0.7" top="0.75" bottom="0.75" header="0.3" footer="0.3"/>
  <pageSetup paperSize="9" scale="70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99AF-182F-4D11-8E3D-F15D0FB79372}">
  <dimension ref="A1:N61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12.77734375" customWidth="1"/>
    <col min="4" max="4" width="35.77734375" customWidth="1"/>
    <col min="5" max="5" width="12.77734375" customWidth="1"/>
    <col min="6" max="8" width="11.77734375" customWidth="1"/>
    <col min="9" max="9" width="9.77734375" customWidth="1"/>
    <col min="10" max="12" width="11.77734375" customWidth="1"/>
    <col min="13" max="13" width="12.77734375" customWidth="1"/>
    <col min="14" max="14" width="14.77734375" customWidth="1"/>
  </cols>
  <sheetData>
    <row r="1" spans="1:14" x14ac:dyDescent="0.3">
      <c r="A1" s="1" t="str">
        <f>CONCATENATE("Bijlage F.2: ",tabeltype," regulier werk")</f>
        <v>Bijlage F.2: Invultabel regulier werk</v>
      </c>
    </row>
    <row r="3" spans="1:14" ht="43.2" x14ac:dyDescent="0.3">
      <c r="A3" s="44" t="s">
        <v>210</v>
      </c>
      <c r="B3" s="44" t="s">
        <v>7</v>
      </c>
      <c r="C3" s="44" t="s">
        <v>211</v>
      </c>
      <c r="D3" s="44" t="s">
        <v>97</v>
      </c>
      <c r="E3" s="44" t="s">
        <v>212</v>
      </c>
      <c r="F3" s="44" t="s">
        <v>213</v>
      </c>
      <c r="G3" s="44" t="s">
        <v>98</v>
      </c>
      <c r="H3" s="44" t="s">
        <v>99</v>
      </c>
      <c r="I3" s="44" t="s">
        <v>100</v>
      </c>
      <c r="J3" s="44" t="s">
        <v>101</v>
      </c>
      <c r="K3" s="44" t="s">
        <v>214</v>
      </c>
      <c r="L3" s="44" t="s">
        <v>215</v>
      </c>
      <c r="M3" s="44" t="s">
        <v>216</v>
      </c>
      <c r="N3" s="44" t="s">
        <v>217</v>
      </c>
    </row>
    <row r="4" spans="1:14" x14ac:dyDescent="0.3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3">
      <c r="A5" s="48" t="s">
        <v>102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x14ac:dyDescent="0.3">
      <c r="A6" s="51" t="s">
        <v>218</v>
      </c>
      <c r="B6" s="51" t="s">
        <v>11</v>
      </c>
      <c r="C6" s="51" t="s">
        <v>219</v>
      </c>
      <c r="D6" s="51" t="s">
        <v>220</v>
      </c>
      <c r="E6" s="66">
        <v>2815.3900000000003</v>
      </c>
      <c r="F6" s="66">
        <f>E6*VLOOKUP(B6,dagsoorttabel1,2,FALSE)</f>
        <v>2815.3900000000003</v>
      </c>
      <c r="G6" s="67">
        <f>IF(AND(catpn_1_AHB_1&gt;0,catpn_1_AHV_40&gt;0),(dagenperjaar1*VLOOKUP(B6,dagsoorttabel1,2,FALSE))/(((dagenperjaar1*VLOOKUP(B6,dagsoorttabel1,2,FALSE))-catfd_1_AHV_40)/catpn_1_AHB_1+catfd_1_AHV_40/catpn_1_AHV_40),0)</f>
        <v>0</v>
      </c>
      <c r="H6" s="68">
        <f>IF(AND(catpn_1_AHB_1&gt;0,catpn_1_AHV_40&gt;0),(catdw_1_AHB_1*((dagenperjaar1*VLOOKUP(B6,dagsoorttabel1,2,FALSE))-catfd_1_AHV_40)/catpn_1_AHB_1+catdw_1_AHV_40*catfd_1_AHV_40/catpn_1_AHV_40)/(((dagenperjaar1*VLOOKUP(B6,dagsoorttabel1,2,FALSE))-catfd_1_AHV_40)/catpn_1_AHB_1+catfd_1_AHV_40/catpn_1_AHV_40),0)</f>
        <v>0</v>
      </c>
      <c r="I6" s="51" t="s">
        <v>106</v>
      </c>
      <c r="J6" s="55">
        <f>IF(AND(catpn_1_AHB_1&gt;0,catpn_1_AHV_40&gt;0),(cattf_1_AHB_1*((dagenperjaar1*VLOOKUP(B6,dagsoorttabel1,2,FALSE))-catfd_1_AHV_40)/catpn_1_AHB_1+cattf_1_AHV_40*catfd_1_AHV_40/catpn_1_AHV_40)/(((dagenperjaar1*VLOOKUP(B6,dagsoorttabel1,2,FALSE))-catfd_1_AHV_40)/catpn_1_AHB_1+catfd_1_AHV_40/catpn_1_AHV_40),0)</f>
        <v>0</v>
      </c>
      <c r="K6" s="66">
        <f>IF(OR(ISBLANK(G6),G6=0),0,F6/G6)</f>
        <v>0</v>
      </c>
      <c r="L6" s="55">
        <f>J6*K6</f>
        <v>0</v>
      </c>
      <c r="M6" s="66">
        <f>K6*dagenperjaar1</f>
        <v>0</v>
      </c>
      <c r="N6" s="55">
        <f>M6*J6</f>
        <v>0</v>
      </c>
    </row>
    <row r="7" spans="1:14" x14ac:dyDescent="0.3">
      <c r="A7" s="56" t="s">
        <v>221</v>
      </c>
      <c r="B7" s="56" t="s">
        <v>11</v>
      </c>
      <c r="C7" s="56" t="s">
        <v>219</v>
      </c>
      <c r="D7" s="56" t="s">
        <v>222</v>
      </c>
      <c r="E7" s="69">
        <v>200.7</v>
      </c>
      <c r="F7" s="69">
        <f>E7*VLOOKUP(B7,dagsoorttabel1,2,FALSE)</f>
        <v>200.7</v>
      </c>
      <c r="G7" s="70">
        <f>IF(AND(catpn_1_AZB_1&gt;0,catpn_1_AZV_40&gt;0),(dagenperjaar1*VLOOKUP(B7,dagsoorttabel1,2,FALSE))/(((dagenperjaar1*VLOOKUP(B7,dagsoorttabel1,2,FALSE))-catfd_1_AZV_40)/catpn_1_AZB_1+catfd_1_AZV_40/catpn_1_AZV_40),0)</f>
        <v>0</v>
      </c>
      <c r="H7" s="71">
        <f>IF(AND(catpn_1_AZB_1&gt;0,catpn_1_AZV_40&gt;0),(catdw_1_AZB_1*((dagenperjaar1*VLOOKUP(B7,dagsoorttabel1,2,FALSE))-catfd_1_AZV_40)/catpn_1_AZB_1+catdw_1_AZV_40*catfd_1_AZV_40/catpn_1_AZV_40)/(((dagenperjaar1*VLOOKUP(B7,dagsoorttabel1,2,FALSE))-catfd_1_AZV_40)/catpn_1_AZB_1+catfd_1_AZV_40/catpn_1_AZV_40),0)</f>
        <v>0</v>
      </c>
      <c r="I7" s="56" t="s">
        <v>106</v>
      </c>
      <c r="J7" s="60">
        <f>IF(AND(catpn_1_AZB_1&gt;0,catpn_1_AZV_40&gt;0),(cattf_1_AZB_1*((dagenperjaar1*VLOOKUP(B7,dagsoorttabel1,2,FALSE))-catfd_1_AZV_40)/catpn_1_AZB_1+cattf_1_AZV_40*catfd_1_AZV_40/catpn_1_AZV_40)/(((dagenperjaar1*VLOOKUP(B7,dagsoorttabel1,2,FALSE))-catfd_1_AZV_40)/catpn_1_AZB_1+catfd_1_AZV_40/catpn_1_AZV_40),0)</f>
        <v>0</v>
      </c>
      <c r="K7" s="69">
        <f>IF(OR(ISBLANK(G7),G7=0),0,F7/G7)</f>
        <v>0</v>
      </c>
      <c r="L7" s="60">
        <f>J7*K7</f>
        <v>0</v>
      </c>
      <c r="M7" s="69">
        <f>K7*dagenperjaar1</f>
        <v>0</v>
      </c>
      <c r="N7" s="60">
        <f>M7*J7</f>
        <v>0</v>
      </c>
    </row>
    <row r="8" spans="1:14" x14ac:dyDescent="0.3">
      <c r="A8" s="56" t="s">
        <v>223</v>
      </c>
      <c r="B8" s="56" t="s">
        <v>11</v>
      </c>
      <c r="C8" s="56" t="s">
        <v>219</v>
      </c>
      <c r="D8" s="56" t="s">
        <v>224</v>
      </c>
      <c r="E8" s="69">
        <v>363.25</v>
      </c>
      <c r="F8" s="69">
        <f>E8*VLOOKUP(B8,dagsoorttabel1,2,FALSE)</f>
        <v>363.25</v>
      </c>
      <c r="G8" s="70">
        <f>IF(AND(catpn_1_BHB_1&gt;0,catpn_1_BHV_40&gt;0),(dagenperjaar1*VLOOKUP(B8,dagsoorttabel1,2,FALSE))/(((dagenperjaar1*VLOOKUP(B8,dagsoorttabel1,2,FALSE))-catfd_1_BHV_40)/catpn_1_BHB_1+catfd_1_BHV_40/catpn_1_BHV_40),0)</f>
        <v>0</v>
      </c>
      <c r="H8" s="71">
        <f>IF(AND(catpn_1_BHB_1&gt;0,catpn_1_BHV_40&gt;0),(catdw_1_BHB_1*((dagenperjaar1*VLOOKUP(B8,dagsoorttabel1,2,FALSE))-catfd_1_BHV_40)/catpn_1_BHB_1+catdw_1_BHV_40*catfd_1_BHV_40/catpn_1_BHV_40)/(((dagenperjaar1*VLOOKUP(B8,dagsoorttabel1,2,FALSE))-catfd_1_BHV_40)/catpn_1_BHB_1+catfd_1_BHV_40/catpn_1_BHV_40),0)</f>
        <v>0</v>
      </c>
      <c r="I8" s="56" t="s">
        <v>106</v>
      </c>
      <c r="J8" s="60">
        <f>IF(AND(catpn_1_BHB_1&gt;0,catpn_1_BHV_40&gt;0),(cattf_1_BHB_1*((dagenperjaar1*VLOOKUP(B8,dagsoorttabel1,2,FALSE))-catfd_1_BHV_40)/catpn_1_BHB_1+cattf_1_BHV_40*catfd_1_BHV_40/catpn_1_BHV_40)/(((dagenperjaar1*VLOOKUP(B8,dagsoorttabel1,2,FALSE))-catfd_1_BHV_40)/catpn_1_BHB_1+catfd_1_BHV_40/catpn_1_BHV_40),0)</f>
        <v>0</v>
      </c>
      <c r="K8" s="69">
        <f>IF(OR(ISBLANK(G8),G8=0),0,F8/G8)</f>
        <v>0</v>
      </c>
      <c r="L8" s="60">
        <f>J8*K8</f>
        <v>0</v>
      </c>
      <c r="M8" s="69">
        <f>K8*dagenperjaar1</f>
        <v>0</v>
      </c>
      <c r="N8" s="60">
        <f>M8*J8</f>
        <v>0</v>
      </c>
    </row>
    <row r="9" spans="1:14" x14ac:dyDescent="0.3">
      <c r="A9" s="56" t="s">
        <v>223</v>
      </c>
      <c r="B9" s="56" t="s">
        <v>18</v>
      </c>
      <c r="C9" s="56" t="s">
        <v>219</v>
      </c>
      <c r="D9" s="56" t="s">
        <v>224</v>
      </c>
      <c r="E9" s="69">
        <v>640.92999999999995</v>
      </c>
      <c r="F9" s="69">
        <f>E9*VLOOKUP(B9,dagsoorttabel1,2,FALSE)</f>
        <v>128.18600000000001</v>
      </c>
      <c r="G9" s="70">
        <f>IF(AND(catpn_1_BHB_1&gt;0,catpn_1_BHV_40&gt;0),(dagenperjaar1*VLOOKUP(B9,dagsoorttabel1,2,FALSE))/(((dagenperjaar1*VLOOKUP(B9,dagsoorttabel1,2,FALSE))-catfd_1_BHV_40)/catpn_1_BHB_1+catfd_1_BHV_40/catpn_1_BHV_40),0)</f>
        <v>0</v>
      </c>
      <c r="H9" s="71">
        <f>IF(AND(catpn_1_BHB_1&gt;0,catpn_1_BHV_40&gt;0),(catdw_1_BHB_1*((dagenperjaar1*VLOOKUP(B9,dagsoorttabel1,2,FALSE))-catfd_1_BHV_40)/catpn_1_BHB_1+catdw_1_BHV_40*catfd_1_BHV_40/catpn_1_BHV_40)/(((dagenperjaar1*VLOOKUP(B9,dagsoorttabel1,2,FALSE))-catfd_1_BHV_40)/catpn_1_BHB_1+catfd_1_BHV_40/catpn_1_BHV_40),0)</f>
        <v>0</v>
      </c>
      <c r="I9" s="56" t="s">
        <v>106</v>
      </c>
      <c r="J9" s="60">
        <f>IF(AND(catpn_1_BHB_1&gt;0,catpn_1_BHV_40&gt;0),(cattf_1_BHB_1*((dagenperjaar1*VLOOKUP(B9,dagsoorttabel1,2,FALSE))-catfd_1_BHV_40)/catpn_1_BHB_1+cattf_1_BHV_40*catfd_1_BHV_40/catpn_1_BHV_40)/(((dagenperjaar1*VLOOKUP(B9,dagsoorttabel1,2,FALSE))-catfd_1_BHV_40)/catpn_1_BHB_1+catfd_1_BHV_40/catpn_1_BHV_40),0)</f>
        <v>0</v>
      </c>
      <c r="K9" s="69">
        <f>IF(OR(ISBLANK(G9),G9=0),0,F9/G9)</f>
        <v>0</v>
      </c>
      <c r="L9" s="60">
        <f>J9*K9</f>
        <v>0</v>
      </c>
      <c r="M9" s="69">
        <f>K9*dagenperjaar1</f>
        <v>0</v>
      </c>
      <c r="N9" s="60">
        <f>M9*J9</f>
        <v>0</v>
      </c>
    </row>
    <row r="10" spans="1:14" x14ac:dyDescent="0.3">
      <c r="A10" s="56" t="s">
        <v>223</v>
      </c>
      <c r="B10" s="56" t="s">
        <v>16</v>
      </c>
      <c r="C10" s="56" t="s">
        <v>219</v>
      </c>
      <c r="D10" s="56" t="s">
        <v>224</v>
      </c>
      <c r="E10" s="69">
        <v>422.03</v>
      </c>
      <c r="F10" s="69">
        <f>E10*VLOOKUP(B10,dagsoorttabel1,2,FALSE)</f>
        <v>168.81200000000001</v>
      </c>
      <c r="G10" s="70">
        <f>IF(AND(catpn_1_BHB_1&gt;0,catpn_1_BHV_40&gt;0),(dagenperjaar1*VLOOKUP(B10,dagsoorttabel1,2,FALSE))/(((dagenperjaar1*VLOOKUP(B10,dagsoorttabel1,2,FALSE))-catfd_1_BHV_40)/catpn_1_BHB_1+catfd_1_BHV_40/catpn_1_BHV_40),0)</f>
        <v>0</v>
      </c>
      <c r="H10" s="71">
        <f>IF(AND(catpn_1_BHB_1&gt;0,catpn_1_BHV_40&gt;0),(catdw_1_BHB_1*((dagenperjaar1*VLOOKUP(B10,dagsoorttabel1,2,FALSE))-catfd_1_BHV_40)/catpn_1_BHB_1+catdw_1_BHV_40*catfd_1_BHV_40/catpn_1_BHV_40)/(((dagenperjaar1*VLOOKUP(B10,dagsoorttabel1,2,FALSE))-catfd_1_BHV_40)/catpn_1_BHB_1+catfd_1_BHV_40/catpn_1_BHV_40),0)</f>
        <v>0</v>
      </c>
      <c r="I10" s="56" t="s">
        <v>106</v>
      </c>
      <c r="J10" s="60">
        <f>IF(AND(catpn_1_BHB_1&gt;0,catpn_1_BHV_40&gt;0),(cattf_1_BHB_1*((dagenperjaar1*VLOOKUP(B10,dagsoorttabel1,2,FALSE))-catfd_1_BHV_40)/catpn_1_BHB_1+cattf_1_BHV_40*catfd_1_BHV_40/catpn_1_BHV_40)/(((dagenperjaar1*VLOOKUP(B10,dagsoorttabel1,2,FALSE))-catfd_1_BHV_40)/catpn_1_BHB_1+catfd_1_BHV_40/catpn_1_BHV_40),0)</f>
        <v>0</v>
      </c>
      <c r="K10" s="69">
        <f>IF(OR(ISBLANK(G10),G10=0),0,F10/G10)</f>
        <v>0</v>
      </c>
      <c r="L10" s="60">
        <f>J10*K10</f>
        <v>0</v>
      </c>
      <c r="M10" s="69">
        <f>K10*dagenperjaar1</f>
        <v>0</v>
      </c>
      <c r="N10" s="60">
        <f>M10*J10</f>
        <v>0</v>
      </c>
    </row>
    <row r="11" spans="1:14" x14ac:dyDescent="0.3">
      <c r="A11" s="56" t="s">
        <v>225</v>
      </c>
      <c r="B11" s="56" t="s">
        <v>13</v>
      </c>
      <c r="C11" s="56" t="s">
        <v>219</v>
      </c>
      <c r="D11" s="56" t="s">
        <v>226</v>
      </c>
      <c r="E11" s="69">
        <v>451.3</v>
      </c>
      <c r="F11" s="69">
        <f>E11*VLOOKUP(B11,dagsoorttabel1,2,FALSE)</f>
        <v>284.31900000000002</v>
      </c>
      <c r="G11" s="70">
        <f>IF(AND(catpn_1_BZB_1&gt;0,catpn_1_BZV_42&gt;0),(dagenperjaar1*VLOOKUP(B11,dagsoorttabel1,2,FALSE))/(((dagenperjaar1*VLOOKUP(B11,dagsoorttabel1,2,FALSE))-catfd_1_BZV_42)/catpn_1_BZB_1+catfd_1_BZV_42/catpn_1_BZV_42),0)</f>
        <v>0</v>
      </c>
      <c r="H11" s="71">
        <f>IF(AND(catpn_1_BZB_1&gt;0,catpn_1_BZV_42&gt;0),(catdw_1_BZB_1*((dagenperjaar1*VLOOKUP(B11,dagsoorttabel1,2,FALSE))-catfd_1_BZV_42)/catpn_1_BZB_1+catdw_1_BZV_42*catfd_1_BZV_42/catpn_1_BZV_42)/(((dagenperjaar1*VLOOKUP(B11,dagsoorttabel1,2,FALSE))-catfd_1_BZV_42)/catpn_1_BZB_1+catfd_1_BZV_42/catpn_1_BZV_42),0)</f>
        <v>0</v>
      </c>
      <c r="I11" s="56" t="s">
        <v>106</v>
      </c>
      <c r="J11" s="60">
        <f>IF(AND(catpn_1_BZB_1&gt;0,catpn_1_BZV_42&gt;0),(cattf_1_BZB_1*((dagenperjaar1*VLOOKUP(B11,dagsoorttabel1,2,FALSE))-catfd_1_BZV_42)/catpn_1_BZB_1+cattf_1_BZV_42*catfd_1_BZV_42/catpn_1_BZV_42)/(((dagenperjaar1*VLOOKUP(B11,dagsoorttabel1,2,FALSE))-catfd_1_BZV_42)/catpn_1_BZB_1+catfd_1_BZV_42/catpn_1_BZV_42),0)</f>
        <v>0</v>
      </c>
      <c r="K11" s="69">
        <f>IF(OR(ISBLANK(G11),G11=0),0,F11/G11)</f>
        <v>0</v>
      </c>
      <c r="L11" s="60">
        <f>J11*K11</f>
        <v>0</v>
      </c>
      <c r="M11" s="69">
        <f>K11*dagenperjaar1</f>
        <v>0</v>
      </c>
      <c r="N11" s="60">
        <f>M11*J11</f>
        <v>0</v>
      </c>
    </row>
    <row r="12" spans="1:14" x14ac:dyDescent="0.3">
      <c r="A12" s="56" t="s">
        <v>225</v>
      </c>
      <c r="B12" s="56" t="s">
        <v>11</v>
      </c>
      <c r="C12" s="56" t="s">
        <v>219</v>
      </c>
      <c r="D12" s="56" t="s">
        <v>226</v>
      </c>
      <c r="E12" s="69">
        <v>168.8</v>
      </c>
      <c r="F12" s="69">
        <f>E12*VLOOKUP(B12,dagsoorttabel1,2,FALSE)</f>
        <v>168.8</v>
      </c>
      <c r="G12" s="70">
        <f>IF(AND(catpn_1_BZB_1&gt;0,catpn_1_BZV_40&gt;0),(dagenperjaar1*VLOOKUP(B12,dagsoorttabel1,2,FALSE))/(((dagenperjaar1*VLOOKUP(B12,dagsoorttabel1,2,FALSE))-catfd_1_BZV_40)/catpn_1_BZB_1+catfd_1_BZV_40/catpn_1_BZV_40),0)</f>
        <v>0</v>
      </c>
      <c r="H12" s="71">
        <f>IF(AND(catpn_1_BZB_1&gt;0,catpn_1_BZV_40&gt;0),(catdw_1_BZB_1*((dagenperjaar1*VLOOKUP(B12,dagsoorttabel1,2,FALSE))-catfd_1_BZV_40)/catpn_1_BZB_1+catdw_1_BZV_40*catfd_1_BZV_40/catpn_1_BZV_40)/(((dagenperjaar1*VLOOKUP(B12,dagsoorttabel1,2,FALSE))-catfd_1_BZV_40)/catpn_1_BZB_1+catfd_1_BZV_40/catpn_1_BZV_40),0)</f>
        <v>0</v>
      </c>
      <c r="I12" s="56" t="s">
        <v>106</v>
      </c>
      <c r="J12" s="60">
        <f>IF(AND(catpn_1_BZB_1&gt;0,catpn_1_BZV_40&gt;0),(cattf_1_BZB_1*((dagenperjaar1*VLOOKUP(B12,dagsoorttabel1,2,FALSE))-catfd_1_BZV_40)/catpn_1_BZB_1+cattf_1_BZV_40*catfd_1_BZV_40/catpn_1_BZV_40)/(((dagenperjaar1*VLOOKUP(B12,dagsoorttabel1,2,FALSE))-catfd_1_BZV_40)/catpn_1_BZB_1+catfd_1_BZV_40/catpn_1_BZV_40),0)</f>
        <v>0</v>
      </c>
      <c r="K12" s="69">
        <f>IF(OR(ISBLANK(G12),G12=0),0,F12/G12)</f>
        <v>0</v>
      </c>
      <c r="L12" s="60">
        <f>J12*K12</f>
        <v>0</v>
      </c>
      <c r="M12" s="69">
        <f>K12*dagenperjaar1</f>
        <v>0</v>
      </c>
      <c r="N12" s="60">
        <f>M12*J12</f>
        <v>0</v>
      </c>
    </row>
    <row r="13" spans="1:14" x14ac:dyDescent="0.3">
      <c r="A13" s="56" t="s">
        <v>225</v>
      </c>
      <c r="B13" s="56" t="s">
        <v>18</v>
      </c>
      <c r="C13" s="56" t="s">
        <v>219</v>
      </c>
      <c r="D13" s="56" t="s">
        <v>226</v>
      </c>
      <c r="E13" s="69">
        <v>168.56</v>
      </c>
      <c r="F13" s="69">
        <f>E13*VLOOKUP(B13,dagsoorttabel1,2,FALSE)</f>
        <v>33.712000000000003</v>
      </c>
      <c r="G13" s="70">
        <f>IF(AND(catpn_1_BZB_1&gt;0,catpn_1_BZV_40&gt;0),(dagenperjaar1*VLOOKUP(B13,dagsoorttabel1,2,FALSE))/(((dagenperjaar1*VLOOKUP(B13,dagsoorttabel1,2,FALSE))-catfd_1_BZV_40)/catpn_1_BZB_1+catfd_1_BZV_40/catpn_1_BZV_40),0)</f>
        <v>0</v>
      </c>
      <c r="H13" s="71">
        <f>IF(AND(catpn_1_BZB_1&gt;0,catpn_1_BZV_40&gt;0),(catdw_1_BZB_1*((dagenperjaar1*VLOOKUP(B13,dagsoorttabel1,2,FALSE))-catfd_1_BZV_40)/catpn_1_BZB_1+catdw_1_BZV_40*catfd_1_BZV_40/catpn_1_BZV_40)/(((dagenperjaar1*VLOOKUP(B13,dagsoorttabel1,2,FALSE))-catfd_1_BZV_40)/catpn_1_BZB_1+catfd_1_BZV_40/catpn_1_BZV_40),0)</f>
        <v>0</v>
      </c>
      <c r="I13" s="56" t="s">
        <v>106</v>
      </c>
      <c r="J13" s="60">
        <f>IF(AND(catpn_1_BZB_1&gt;0,catpn_1_BZV_40&gt;0),(cattf_1_BZB_1*((dagenperjaar1*VLOOKUP(B13,dagsoorttabel1,2,FALSE))-catfd_1_BZV_40)/catpn_1_BZB_1+cattf_1_BZV_40*catfd_1_BZV_40/catpn_1_BZV_40)/(((dagenperjaar1*VLOOKUP(B13,dagsoorttabel1,2,FALSE))-catfd_1_BZV_40)/catpn_1_BZB_1+catfd_1_BZV_40/catpn_1_BZV_40),0)</f>
        <v>0</v>
      </c>
      <c r="K13" s="69">
        <f>IF(OR(ISBLANK(G13),G13=0),0,F13/G13)</f>
        <v>0</v>
      </c>
      <c r="L13" s="60">
        <f>J13*K13</f>
        <v>0</v>
      </c>
      <c r="M13" s="69">
        <f>K13*dagenperjaar1</f>
        <v>0</v>
      </c>
      <c r="N13" s="60">
        <f>M13*J13</f>
        <v>0</v>
      </c>
    </row>
    <row r="14" spans="1:14" x14ac:dyDescent="0.3">
      <c r="A14" s="56" t="s">
        <v>225</v>
      </c>
      <c r="B14" s="56" t="s">
        <v>16</v>
      </c>
      <c r="C14" s="56" t="s">
        <v>219</v>
      </c>
      <c r="D14" s="56" t="s">
        <v>226</v>
      </c>
      <c r="E14" s="69">
        <v>717.60000000000014</v>
      </c>
      <c r="F14" s="69">
        <f>E14*VLOOKUP(B14,dagsoorttabel1,2,FALSE)</f>
        <v>287.04000000000008</v>
      </c>
      <c r="G14" s="70">
        <f>IF(AND(catpn_1_BZB_1&gt;0,catpn_1_BZV_40&gt;0),(dagenperjaar1*VLOOKUP(B14,dagsoorttabel1,2,FALSE))/(((dagenperjaar1*VLOOKUP(B14,dagsoorttabel1,2,FALSE))-catfd_1_BZV_40)/catpn_1_BZB_1+catfd_1_BZV_40/catpn_1_BZV_40),0)</f>
        <v>0</v>
      </c>
      <c r="H14" s="71">
        <f>IF(AND(catpn_1_BZB_1&gt;0,catpn_1_BZV_40&gt;0),(catdw_1_BZB_1*((dagenperjaar1*VLOOKUP(B14,dagsoorttabel1,2,FALSE))-catfd_1_BZV_40)/catpn_1_BZB_1+catdw_1_BZV_40*catfd_1_BZV_40/catpn_1_BZV_40)/(((dagenperjaar1*VLOOKUP(B14,dagsoorttabel1,2,FALSE))-catfd_1_BZV_40)/catpn_1_BZB_1+catfd_1_BZV_40/catpn_1_BZV_40),0)</f>
        <v>0</v>
      </c>
      <c r="I14" s="56" t="s">
        <v>106</v>
      </c>
      <c r="J14" s="60">
        <f>IF(AND(catpn_1_BZB_1&gt;0,catpn_1_BZV_40&gt;0),(cattf_1_BZB_1*((dagenperjaar1*VLOOKUP(B14,dagsoorttabel1,2,FALSE))-catfd_1_BZV_40)/catpn_1_BZB_1+cattf_1_BZV_40*catfd_1_BZV_40/catpn_1_BZV_40)/(((dagenperjaar1*VLOOKUP(B14,dagsoorttabel1,2,FALSE))-catfd_1_BZV_40)/catpn_1_BZB_1+catfd_1_BZV_40/catpn_1_BZV_40),0)</f>
        <v>0</v>
      </c>
      <c r="K14" s="69">
        <f>IF(OR(ISBLANK(G14),G14=0),0,F14/G14)</f>
        <v>0</v>
      </c>
      <c r="L14" s="60">
        <f>J14*K14</f>
        <v>0</v>
      </c>
      <c r="M14" s="69">
        <f>K14*dagenperjaar1</f>
        <v>0</v>
      </c>
      <c r="N14" s="60">
        <f>M14*J14</f>
        <v>0</v>
      </c>
    </row>
    <row r="15" spans="1:14" x14ac:dyDescent="0.3">
      <c r="A15" s="56" t="s">
        <v>227</v>
      </c>
      <c r="B15" s="56" t="s">
        <v>11</v>
      </c>
      <c r="C15" s="56" t="s">
        <v>219</v>
      </c>
      <c r="D15" s="56" t="s">
        <v>228</v>
      </c>
      <c r="E15" s="69">
        <v>91.6</v>
      </c>
      <c r="F15" s="69">
        <f>E15*VLOOKUP(B15,dagsoorttabel1,2,FALSE)</f>
        <v>91.6</v>
      </c>
      <c r="G15" s="70">
        <f>IF(AND(catpn_1_DHB_1&gt;0,catpn_1_DHV_40&gt;0),(dagenperjaar1*VLOOKUP(B15,dagsoorttabel1,2,FALSE))/(((dagenperjaar1*VLOOKUP(B15,dagsoorttabel1,2,FALSE))-catfd_1_DHV_40)/catpn_1_DHB_1+catfd_1_DHV_40/catpn_1_DHV_40),0)</f>
        <v>0</v>
      </c>
      <c r="H15" s="71">
        <f>IF(AND(catpn_1_DHB_1&gt;0,catpn_1_DHV_40&gt;0),(catdw_1_DHB_1*((dagenperjaar1*VLOOKUP(B15,dagsoorttabel1,2,FALSE))-catfd_1_DHV_40)/catpn_1_DHB_1+catdw_1_DHV_40*catfd_1_DHV_40/catpn_1_DHV_40)/(((dagenperjaar1*VLOOKUP(B15,dagsoorttabel1,2,FALSE))-catfd_1_DHV_40)/catpn_1_DHB_1+catfd_1_DHV_40/catpn_1_DHV_40),0)</f>
        <v>0</v>
      </c>
      <c r="I15" s="56" t="s">
        <v>106</v>
      </c>
      <c r="J15" s="60">
        <f>IF(AND(catpn_1_DHB_1&gt;0,catpn_1_DHV_40&gt;0),(cattf_1_DHB_1*((dagenperjaar1*VLOOKUP(B15,dagsoorttabel1,2,FALSE))-catfd_1_DHV_40)/catpn_1_DHB_1+cattf_1_DHV_40*catfd_1_DHV_40/catpn_1_DHV_40)/(((dagenperjaar1*VLOOKUP(B15,dagsoorttabel1,2,FALSE))-catfd_1_DHV_40)/catpn_1_DHB_1+catfd_1_DHV_40/catpn_1_DHV_40),0)</f>
        <v>0</v>
      </c>
      <c r="K15" s="69">
        <f>IF(OR(ISBLANK(G15),G15=0),0,F15/G15)</f>
        <v>0</v>
      </c>
      <c r="L15" s="60">
        <f>J15*K15</f>
        <v>0</v>
      </c>
      <c r="M15" s="69">
        <f>K15*dagenperjaar1</f>
        <v>0</v>
      </c>
      <c r="N15" s="60">
        <f>M15*J15</f>
        <v>0</v>
      </c>
    </row>
    <row r="16" spans="1:14" x14ac:dyDescent="0.3">
      <c r="A16" s="56" t="s">
        <v>227</v>
      </c>
      <c r="B16" s="56" t="s">
        <v>18</v>
      </c>
      <c r="C16" s="56" t="s">
        <v>219</v>
      </c>
      <c r="D16" s="56" t="s">
        <v>228</v>
      </c>
      <c r="E16" s="69">
        <v>7</v>
      </c>
      <c r="F16" s="69">
        <f>E16*VLOOKUP(B16,dagsoorttabel1,2,FALSE)</f>
        <v>1.4000000000000001</v>
      </c>
      <c r="G16" s="70">
        <f>IF(AND(catpn_1_DHB_1&gt;0,catpn_1_DHV_40&gt;0),(dagenperjaar1*VLOOKUP(B16,dagsoorttabel1,2,FALSE))/(((dagenperjaar1*VLOOKUP(B16,dagsoorttabel1,2,FALSE))-catfd_1_DHV_40)/catpn_1_DHB_1+catfd_1_DHV_40/catpn_1_DHV_40),0)</f>
        <v>0</v>
      </c>
      <c r="H16" s="71">
        <f>IF(AND(catpn_1_DHB_1&gt;0,catpn_1_DHV_40&gt;0),(catdw_1_DHB_1*((dagenperjaar1*VLOOKUP(B16,dagsoorttabel1,2,FALSE))-catfd_1_DHV_40)/catpn_1_DHB_1+catdw_1_DHV_40*catfd_1_DHV_40/catpn_1_DHV_40)/(((dagenperjaar1*VLOOKUP(B16,dagsoorttabel1,2,FALSE))-catfd_1_DHV_40)/catpn_1_DHB_1+catfd_1_DHV_40/catpn_1_DHV_40),0)</f>
        <v>0</v>
      </c>
      <c r="I16" s="56" t="s">
        <v>106</v>
      </c>
      <c r="J16" s="60">
        <f>IF(AND(catpn_1_DHB_1&gt;0,catpn_1_DHV_40&gt;0),(cattf_1_DHB_1*((dagenperjaar1*VLOOKUP(B16,dagsoorttabel1,2,FALSE))-catfd_1_DHV_40)/catpn_1_DHB_1+cattf_1_DHV_40*catfd_1_DHV_40/catpn_1_DHV_40)/(((dagenperjaar1*VLOOKUP(B16,dagsoorttabel1,2,FALSE))-catfd_1_DHV_40)/catpn_1_DHB_1+catfd_1_DHV_40/catpn_1_DHV_40),0)</f>
        <v>0</v>
      </c>
      <c r="K16" s="69">
        <f>IF(OR(ISBLANK(G16),G16=0),0,F16/G16)</f>
        <v>0</v>
      </c>
      <c r="L16" s="60">
        <f>J16*K16</f>
        <v>0</v>
      </c>
      <c r="M16" s="69">
        <f>K16*dagenperjaar1</f>
        <v>0</v>
      </c>
      <c r="N16" s="60">
        <f>M16*J16</f>
        <v>0</v>
      </c>
    </row>
    <row r="17" spans="1:14" x14ac:dyDescent="0.3">
      <c r="A17" s="56" t="s">
        <v>229</v>
      </c>
      <c r="B17" s="56" t="s">
        <v>11</v>
      </c>
      <c r="C17" s="56" t="s">
        <v>219</v>
      </c>
      <c r="D17" s="56" t="s">
        <v>230</v>
      </c>
      <c r="E17" s="69">
        <v>70.599999999999994</v>
      </c>
      <c r="F17" s="69">
        <f>E17*VLOOKUP(B17,dagsoorttabel1,2,FALSE)</f>
        <v>70.599999999999994</v>
      </c>
      <c r="G17" s="70">
        <f>IF(AND(catpn_1_EHB_1&gt;0,catpn_1_EHV_40&gt;0),(dagenperjaar1*VLOOKUP(B17,dagsoorttabel1,2,FALSE))/(((dagenperjaar1*VLOOKUP(B17,dagsoorttabel1,2,FALSE))-catfd_1_EHV_40)/catpn_1_EHB_1+catfd_1_EHV_40/catpn_1_EHV_40),0)</f>
        <v>0</v>
      </c>
      <c r="H17" s="71">
        <f>IF(AND(catpn_1_EHB_1&gt;0,catpn_1_EHV_40&gt;0),(catdw_1_EHB_1*((dagenperjaar1*VLOOKUP(B17,dagsoorttabel1,2,FALSE))-catfd_1_EHV_40)/catpn_1_EHB_1+catdw_1_EHV_40*catfd_1_EHV_40/catpn_1_EHV_40)/(((dagenperjaar1*VLOOKUP(B17,dagsoorttabel1,2,FALSE))-catfd_1_EHV_40)/catpn_1_EHB_1+catfd_1_EHV_40/catpn_1_EHV_40),0)</f>
        <v>0</v>
      </c>
      <c r="I17" s="56" t="s">
        <v>106</v>
      </c>
      <c r="J17" s="60">
        <f>IF(AND(catpn_1_EHB_1&gt;0,catpn_1_EHV_40&gt;0),(cattf_1_EHB_1*((dagenperjaar1*VLOOKUP(B17,dagsoorttabel1,2,FALSE))-catfd_1_EHV_40)/catpn_1_EHB_1+cattf_1_EHV_40*catfd_1_EHV_40/catpn_1_EHV_40)/(((dagenperjaar1*VLOOKUP(B17,dagsoorttabel1,2,FALSE))-catfd_1_EHV_40)/catpn_1_EHB_1+catfd_1_EHV_40/catpn_1_EHV_40),0)</f>
        <v>0</v>
      </c>
      <c r="K17" s="69">
        <f>IF(OR(ISBLANK(G17),G17=0),0,F17/G17)</f>
        <v>0</v>
      </c>
      <c r="L17" s="60">
        <f>J17*K17</f>
        <v>0</v>
      </c>
      <c r="M17" s="69">
        <f>K17*dagenperjaar1</f>
        <v>0</v>
      </c>
      <c r="N17" s="60">
        <f>M17*J17</f>
        <v>0</v>
      </c>
    </row>
    <row r="18" spans="1:14" x14ac:dyDescent="0.3">
      <c r="A18" s="56" t="s">
        <v>231</v>
      </c>
      <c r="B18" s="56" t="s">
        <v>13</v>
      </c>
      <c r="C18" s="56" t="s">
        <v>219</v>
      </c>
      <c r="D18" s="56" t="s">
        <v>232</v>
      </c>
      <c r="E18" s="69">
        <v>10.8</v>
      </c>
      <c r="F18" s="69">
        <f>E18*VLOOKUP(B18,dagsoorttabel1,2,FALSE)</f>
        <v>6.8040000000000003</v>
      </c>
      <c r="G18" s="70">
        <f>IF(AND(catpn_1_EZB_1&gt;0,catpn_1_EZV_42&gt;0),(dagenperjaar1*VLOOKUP(B18,dagsoorttabel1,2,FALSE))/(((dagenperjaar1*VLOOKUP(B18,dagsoorttabel1,2,FALSE))-catfd_1_EZV_42)/catpn_1_EZB_1+catfd_1_EZV_42/catpn_1_EZV_42),0)</f>
        <v>0</v>
      </c>
      <c r="H18" s="71">
        <f>IF(AND(catpn_1_EZB_1&gt;0,catpn_1_EZV_42&gt;0),(catdw_1_EZB_1*((dagenperjaar1*VLOOKUP(B18,dagsoorttabel1,2,FALSE))-catfd_1_EZV_42)/catpn_1_EZB_1+catdw_1_EZV_42*catfd_1_EZV_42/catpn_1_EZV_42)/(((dagenperjaar1*VLOOKUP(B18,dagsoorttabel1,2,FALSE))-catfd_1_EZV_42)/catpn_1_EZB_1+catfd_1_EZV_42/catpn_1_EZV_42),0)</f>
        <v>0</v>
      </c>
      <c r="I18" s="56" t="s">
        <v>106</v>
      </c>
      <c r="J18" s="60">
        <f>IF(AND(catpn_1_EZB_1&gt;0,catpn_1_EZV_42&gt;0),(cattf_1_EZB_1*((dagenperjaar1*VLOOKUP(B18,dagsoorttabel1,2,FALSE))-catfd_1_EZV_42)/catpn_1_EZB_1+cattf_1_EZV_42*catfd_1_EZV_42/catpn_1_EZV_42)/(((dagenperjaar1*VLOOKUP(B18,dagsoorttabel1,2,FALSE))-catfd_1_EZV_42)/catpn_1_EZB_1+catfd_1_EZV_42/catpn_1_EZV_42),0)</f>
        <v>0</v>
      </c>
      <c r="K18" s="69">
        <f>IF(OR(ISBLANK(G18),G18=0),0,F18/G18)</f>
        <v>0</v>
      </c>
      <c r="L18" s="60">
        <f>J18*K18</f>
        <v>0</v>
      </c>
      <c r="M18" s="69">
        <f>K18*dagenperjaar1</f>
        <v>0</v>
      </c>
      <c r="N18" s="60">
        <f>M18*J18</f>
        <v>0</v>
      </c>
    </row>
    <row r="19" spans="1:14" x14ac:dyDescent="0.3">
      <c r="A19" s="56" t="s">
        <v>231</v>
      </c>
      <c r="B19" s="56" t="s">
        <v>11</v>
      </c>
      <c r="C19" s="56" t="s">
        <v>219</v>
      </c>
      <c r="D19" s="56" t="s">
        <v>232</v>
      </c>
      <c r="E19" s="69">
        <v>47.8</v>
      </c>
      <c r="F19" s="69">
        <f>E19*VLOOKUP(B19,dagsoorttabel1,2,FALSE)</f>
        <v>47.8</v>
      </c>
      <c r="G19" s="70">
        <f>IF(AND(catpn_1_EZB_1&gt;0,catpn_1_EZV_40&gt;0),(dagenperjaar1*VLOOKUP(B19,dagsoorttabel1,2,FALSE))/(((dagenperjaar1*VLOOKUP(B19,dagsoorttabel1,2,FALSE))-catfd_1_EZV_40)/catpn_1_EZB_1+catfd_1_EZV_40/catpn_1_EZV_40),0)</f>
        <v>0</v>
      </c>
      <c r="H19" s="71">
        <f>IF(AND(catpn_1_EZB_1&gt;0,catpn_1_EZV_40&gt;0),(catdw_1_EZB_1*((dagenperjaar1*VLOOKUP(B19,dagsoorttabel1,2,FALSE))-catfd_1_EZV_40)/catpn_1_EZB_1+catdw_1_EZV_40*catfd_1_EZV_40/catpn_1_EZV_40)/(((dagenperjaar1*VLOOKUP(B19,dagsoorttabel1,2,FALSE))-catfd_1_EZV_40)/catpn_1_EZB_1+catfd_1_EZV_40/catpn_1_EZV_40),0)</f>
        <v>0</v>
      </c>
      <c r="I19" s="56" t="s">
        <v>106</v>
      </c>
      <c r="J19" s="60">
        <f>IF(AND(catpn_1_EZB_1&gt;0,catpn_1_EZV_40&gt;0),(cattf_1_EZB_1*((dagenperjaar1*VLOOKUP(B19,dagsoorttabel1,2,FALSE))-catfd_1_EZV_40)/catpn_1_EZB_1+cattf_1_EZV_40*catfd_1_EZV_40/catpn_1_EZV_40)/(((dagenperjaar1*VLOOKUP(B19,dagsoorttabel1,2,FALSE))-catfd_1_EZV_40)/catpn_1_EZB_1+catfd_1_EZV_40/catpn_1_EZV_40),0)</f>
        <v>0</v>
      </c>
      <c r="K19" s="69">
        <f>IF(OR(ISBLANK(G19),G19=0),0,F19/G19)</f>
        <v>0</v>
      </c>
      <c r="L19" s="60">
        <f>J19*K19</f>
        <v>0</v>
      </c>
      <c r="M19" s="69">
        <f>K19*dagenperjaar1</f>
        <v>0</v>
      </c>
      <c r="N19" s="60">
        <f>M19*J19</f>
        <v>0</v>
      </c>
    </row>
    <row r="20" spans="1:14" x14ac:dyDescent="0.3">
      <c r="A20" s="56" t="s">
        <v>231</v>
      </c>
      <c r="B20" s="56" t="s">
        <v>18</v>
      </c>
      <c r="C20" s="56" t="s">
        <v>219</v>
      </c>
      <c r="D20" s="56" t="s">
        <v>232</v>
      </c>
      <c r="E20" s="69">
        <v>13</v>
      </c>
      <c r="F20" s="69">
        <f>E20*VLOOKUP(B20,dagsoorttabel1,2,FALSE)</f>
        <v>2.6</v>
      </c>
      <c r="G20" s="70">
        <f>IF(AND(catpn_1_EZB_1&gt;0,catpn_1_EZV_40&gt;0),(dagenperjaar1*VLOOKUP(B20,dagsoorttabel1,2,FALSE))/(((dagenperjaar1*VLOOKUP(B20,dagsoorttabel1,2,FALSE))-catfd_1_EZV_40)/catpn_1_EZB_1+catfd_1_EZV_40/catpn_1_EZV_40),0)</f>
        <v>0</v>
      </c>
      <c r="H20" s="71">
        <f>IF(AND(catpn_1_EZB_1&gt;0,catpn_1_EZV_40&gt;0),(catdw_1_EZB_1*((dagenperjaar1*VLOOKUP(B20,dagsoorttabel1,2,FALSE))-catfd_1_EZV_40)/catpn_1_EZB_1+catdw_1_EZV_40*catfd_1_EZV_40/catpn_1_EZV_40)/(((dagenperjaar1*VLOOKUP(B20,dagsoorttabel1,2,FALSE))-catfd_1_EZV_40)/catpn_1_EZB_1+catfd_1_EZV_40/catpn_1_EZV_40),0)</f>
        <v>0</v>
      </c>
      <c r="I20" s="56" t="s">
        <v>106</v>
      </c>
      <c r="J20" s="60">
        <f>IF(AND(catpn_1_EZB_1&gt;0,catpn_1_EZV_40&gt;0),(cattf_1_EZB_1*((dagenperjaar1*VLOOKUP(B20,dagsoorttabel1,2,FALSE))-catfd_1_EZV_40)/catpn_1_EZB_1+cattf_1_EZV_40*catfd_1_EZV_40/catpn_1_EZV_40)/(((dagenperjaar1*VLOOKUP(B20,dagsoorttabel1,2,FALSE))-catfd_1_EZV_40)/catpn_1_EZB_1+catfd_1_EZV_40/catpn_1_EZV_40),0)</f>
        <v>0</v>
      </c>
      <c r="K20" s="69">
        <f>IF(OR(ISBLANK(G20),G20=0),0,F20/G20)</f>
        <v>0</v>
      </c>
      <c r="L20" s="60">
        <f>J20*K20</f>
        <v>0</v>
      </c>
      <c r="M20" s="69">
        <f>K20*dagenperjaar1</f>
        <v>0</v>
      </c>
      <c r="N20" s="60">
        <f>M20*J20</f>
        <v>0</v>
      </c>
    </row>
    <row r="21" spans="1:14" x14ac:dyDescent="0.3">
      <c r="A21" s="56" t="s">
        <v>233</v>
      </c>
      <c r="B21" s="56" t="s">
        <v>11</v>
      </c>
      <c r="C21" s="56" t="s">
        <v>219</v>
      </c>
      <c r="D21" s="56" t="s">
        <v>234</v>
      </c>
      <c r="E21" s="69">
        <v>3</v>
      </c>
      <c r="F21" s="69">
        <f>E21*VLOOKUP(B21,dagsoorttabel1,2,FALSE)</f>
        <v>3</v>
      </c>
      <c r="G21" s="70">
        <f>IF(AND(catpn_1_FHB_1&gt;0,catpn_1_FHV_40&gt;0),(dagenperjaar1*VLOOKUP(B21,dagsoorttabel1,2,FALSE))/(((dagenperjaar1*VLOOKUP(B21,dagsoorttabel1,2,FALSE))-catfd_1_FHV_40)/catpn_1_FHB_1+catfd_1_FHV_40/catpn_1_FHV_40),0)</f>
        <v>0</v>
      </c>
      <c r="H21" s="71">
        <f>IF(AND(catpn_1_FHB_1&gt;0,catpn_1_FHV_40&gt;0),(catdw_1_FHB_1*((dagenperjaar1*VLOOKUP(B21,dagsoorttabel1,2,FALSE))-catfd_1_FHV_40)/catpn_1_FHB_1+catdw_1_FHV_40*catfd_1_FHV_40/catpn_1_FHV_40)/(((dagenperjaar1*VLOOKUP(B21,dagsoorttabel1,2,FALSE))-catfd_1_FHV_40)/catpn_1_FHB_1+catfd_1_FHV_40/catpn_1_FHV_40),0)</f>
        <v>0</v>
      </c>
      <c r="I21" s="56" t="s">
        <v>106</v>
      </c>
      <c r="J21" s="60">
        <f>IF(AND(catpn_1_FHB_1&gt;0,catpn_1_FHV_40&gt;0),(cattf_1_FHB_1*((dagenperjaar1*VLOOKUP(B21,dagsoorttabel1,2,FALSE))-catfd_1_FHV_40)/catpn_1_FHB_1+cattf_1_FHV_40*catfd_1_FHV_40/catpn_1_FHV_40)/(((dagenperjaar1*VLOOKUP(B21,dagsoorttabel1,2,FALSE))-catfd_1_FHV_40)/catpn_1_FHB_1+catfd_1_FHV_40/catpn_1_FHV_40),0)</f>
        <v>0</v>
      </c>
      <c r="K21" s="69">
        <f>IF(OR(ISBLANK(G21),G21=0),0,F21/G21)</f>
        <v>0</v>
      </c>
      <c r="L21" s="60">
        <f>J21*K21</f>
        <v>0</v>
      </c>
      <c r="M21" s="69">
        <f>K21*dagenperjaar1</f>
        <v>0</v>
      </c>
      <c r="N21" s="60">
        <f>M21*J21</f>
        <v>0</v>
      </c>
    </row>
    <row r="22" spans="1:14" x14ac:dyDescent="0.3">
      <c r="A22" s="56" t="s">
        <v>235</v>
      </c>
      <c r="B22" s="56" t="s">
        <v>26</v>
      </c>
      <c r="C22" s="56" t="s">
        <v>219</v>
      </c>
      <c r="D22" s="56" t="s">
        <v>236</v>
      </c>
      <c r="E22" s="69">
        <v>148.69999999999999</v>
      </c>
      <c r="F22" s="69">
        <f>E22*VLOOKUP(B22,dagsoorttabel1,2,FALSE)</f>
        <v>0.74349999999999994</v>
      </c>
      <c r="G22" s="70">
        <f>IF(AND(catpn_1_GHB_1&gt;0,catpn_1_GHV_40&gt;0),(dagenperjaar1*VLOOKUP(B22,dagsoorttabel1,2,FALSE))/(((dagenperjaar1*VLOOKUP(B22,dagsoorttabel1,2,FALSE))-catfd_1_GHV_40)/catpn_1_GHB_1+catfd_1_GHV_40/catpn_1_GHV_40),0)</f>
        <v>0</v>
      </c>
      <c r="H22" s="71">
        <f>IF(AND(catpn_1_GHB_1&gt;0,catpn_1_GHV_40&gt;0),(catdw_1_GHB_1*((dagenperjaar1*VLOOKUP(B22,dagsoorttabel1,2,FALSE))-catfd_1_GHV_40)/catpn_1_GHB_1+catdw_1_GHV_40*catfd_1_GHV_40/catpn_1_GHV_40)/(((dagenperjaar1*VLOOKUP(B22,dagsoorttabel1,2,FALSE))-catfd_1_GHV_40)/catpn_1_GHB_1+catfd_1_GHV_40/catpn_1_GHV_40),0)</f>
        <v>0</v>
      </c>
      <c r="I22" s="56" t="s">
        <v>106</v>
      </c>
      <c r="J22" s="60">
        <f>IF(AND(catpn_1_GHB_1&gt;0,catpn_1_GHV_40&gt;0),(cattf_1_GHB_1*((dagenperjaar1*VLOOKUP(B22,dagsoorttabel1,2,FALSE))-catfd_1_GHV_40)/catpn_1_GHB_1+cattf_1_GHV_40*catfd_1_GHV_40/catpn_1_GHV_40)/(((dagenperjaar1*VLOOKUP(B22,dagsoorttabel1,2,FALSE))-catfd_1_GHV_40)/catpn_1_GHB_1+catfd_1_GHV_40/catpn_1_GHV_40),0)</f>
        <v>0</v>
      </c>
      <c r="K22" s="69">
        <f>IF(OR(ISBLANK(G22),G22=0),0,F22/G22)</f>
        <v>0</v>
      </c>
      <c r="L22" s="60">
        <f>J22*K22</f>
        <v>0</v>
      </c>
      <c r="M22" s="69">
        <f>K22*dagenperjaar1</f>
        <v>0</v>
      </c>
      <c r="N22" s="60">
        <f>M22*J22</f>
        <v>0</v>
      </c>
    </row>
    <row r="23" spans="1:14" x14ac:dyDescent="0.3">
      <c r="A23" s="56" t="s">
        <v>235</v>
      </c>
      <c r="B23" s="56" t="s">
        <v>11</v>
      </c>
      <c r="C23" s="56" t="s">
        <v>219</v>
      </c>
      <c r="D23" s="56" t="s">
        <v>236</v>
      </c>
      <c r="E23" s="69">
        <v>2398.6</v>
      </c>
      <c r="F23" s="69">
        <f>E23*VLOOKUP(B23,dagsoorttabel1,2,FALSE)</f>
        <v>2398.6</v>
      </c>
      <c r="G23" s="70">
        <f>IF(AND(catpn_1_GHB_1&gt;0,catpn_1_GHV_40&gt;0),(dagenperjaar1*VLOOKUP(B23,dagsoorttabel1,2,FALSE))/(((dagenperjaar1*VLOOKUP(B23,dagsoorttabel1,2,FALSE))-catfd_1_GHV_40)/catpn_1_GHB_1+catfd_1_GHV_40/catpn_1_GHV_40),0)</f>
        <v>0</v>
      </c>
      <c r="H23" s="71">
        <f>IF(AND(catpn_1_GHB_1&gt;0,catpn_1_GHV_40&gt;0),(catdw_1_GHB_1*((dagenperjaar1*VLOOKUP(B23,dagsoorttabel1,2,FALSE))-catfd_1_GHV_40)/catpn_1_GHB_1+catdw_1_GHV_40*catfd_1_GHV_40/catpn_1_GHV_40)/(((dagenperjaar1*VLOOKUP(B23,dagsoorttabel1,2,FALSE))-catfd_1_GHV_40)/catpn_1_GHB_1+catfd_1_GHV_40/catpn_1_GHV_40),0)</f>
        <v>0</v>
      </c>
      <c r="I23" s="56" t="s">
        <v>106</v>
      </c>
      <c r="J23" s="60">
        <f>IF(AND(catpn_1_GHB_1&gt;0,catpn_1_GHV_40&gt;0),(cattf_1_GHB_1*((dagenperjaar1*VLOOKUP(B23,dagsoorttabel1,2,FALSE))-catfd_1_GHV_40)/catpn_1_GHB_1+cattf_1_GHV_40*catfd_1_GHV_40/catpn_1_GHV_40)/(((dagenperjaar1*VLOOKUP(B23,dagsoorttabel1,2,FALSE))-catfd_1_GHV_40)/catpn_1_GHB_1+catfd_1_GHV_40/catpn_1_GHV_40),0)</f>
        <v>0</v>
      </c>
      <c r="K23" s="69">
        <f>IF(OR(ISBLANK(G23),G23=0),0,F23/G23)</f>
        <v>0</v>
      </c>
      <c r="L23" s="60">
        <f>J23*K23</f>
        <v>0</v>
      </c>
      <c r="M23" s="69">
        <f>K23*dagenperjaar1</f>
        <v>0</v>
      </c>
      <c r="N23" s="60">
        <f>M23*J23</f>
        <v>0</v>
      </c>
    </row>
    <row r="24" spans="1:14" x14ac:dyDescent="0.3">
      <c r="A24" s="56" t="s">
        <v>235</v>
      </c>
      <c r="B24" s="56" t="s">
        <v>18</v>
      </c>
      <c r="C24" s="56" t="s">
        <v>219</v>
      </c>
      <c r="D24" s="56" t="s">
        <v>236</v>
      </c>
      <c r="E24" s="69">
        <v>399</v>
      </c>
      <c r="F24" s="69">
        <f>E24*VLOOKUP(B24,dagsoorttabel1,2,FALSE)</f>
        <v>79.800000000000011</v>
      </c>
      <c r="G24" s="70">
        <f>IF(AND(catpn_1_GHB_1&gt;0,catpn_1_GHV_40&gt;0),(dagenperjaar1*VLOOKUP(B24,dagsoorttabel1,2,FALSE))/(((dagenperjaar1*VLOOKUP(B24,dagsoorttabel1,2,FALSE))-catfd_1_GHV_40)/catpn_1_GHB_1+catfd_1_GHV_40/catpn_1_GHV_40),0)</f>
        <v>0</v>
      </c>
      <c r="H24" s="71">
        <f>IF(AND(catpn_1_GHB_1&gt;0,catpn_1_GHV_40&gt;0),(catdw_1_GHB_1*((dagenperjaar1*VLOOKUP(B24,dagsoorttabel1,2,FALSE))-catfd_1_GHV_40)/catpn_1_GHB_1+catdw_1_GHV_40*catfd_1_GHV_40/catpn_1_GHV_40)/(((dagenperjaar1*VLOOKUP(B24,dagsoorttabel1,2,FALSE))-catfd_1_GHV_40)/catpn_1_GHB_1+catfd_1_GHV_40/catpn_1_GHV_40),0)</f>
        <v>0</v>
      </c>
      <c r="I24" s="56" t="s">
        <v>106</v>
      </c>
      <c r="J24" s="60">
        <f>IF(AND(catpn_1_GHB_1&gt;0,catpn_1_GHV_40&gt;0),(cattf_1_GHB_1*((dagenperjaar1*VLOOKUP(B24,dagsoorttabel1,2,FALSE))-catfd_1_GHV_40)/catpn_1_GHB_1+cattf_1_GHV_40*catfd_1_GHV_40/catpn_1_GHV_40)/(((dagenperjaar1*VLOOKUP(B24,dagsoorttabel1,2,FALSE))-catfd_1_GHV_40)/catpn_1_GHB_1+catfd_1_GHV_40/catpn_1_GHV_40),0)</f>
        <v>0</v>
      </c>
      <c r="K24" s="69">
        <f>IF(OR(ISBLANK(G24),G24=0),0,F24/G24)</f>
        <v>0</v>
      </c>
      <c r="L24" s="60">
        <f>J24*K24</f>
        <v>0</v>
      </c>
      <c r="M24" s="69">
        <f>K24*dagenperjaar1</f>
        <v>0</v>
      </c>
      <c r="N24" s="60">
        <f>M24*J24</f>
        <v>0</v>
      </c>
    </row>
    <row r="25" spans="1:14" x14ac:dyDescent="0.3">
      <c r="A25" s="56" t="s">
        <v>237</v>
      </c>
      <c r="B25" s="56" t="s">
        <v>11</v>
      </c>
      <c r="C25" s="56" t="s">
        <v>219</v>
      </c>
      <c r="D25" s="56" t="s">
        <v>238</v>
      </c>
      <c r="E25" s="69">
        <v>6</v>
      </c>
      <c r="F25" s="69">
        <f>E25*VLOOKUP(B25,dagsoorttabel1,2,FALSE)</f>
        <v>6</v>
      </c>
      <c r="G25" s="70">
        <f>IF(AND(catpn_1_IHB_1&gt;0,catpn_1_IHV_40&gt;0),(dagenperjaar1*VLOOKUP(B25,dagsoorttabel1,2,FALSE))/(((dagenperjaar1*VLOOKUP(B25,dagsoorttabel1,2,FALSE))-catfd_1_IHV_40)/catpn_1_IHB_1+catfd_1_IHV_40/catpn_1_IHV_40),0)</f>
        <v>0</v>
      </c>
      <c r="H25" s="71">
        <f>IF(AND(catpn_1_IHB_1&gt;0,catpn_1_IHV_40&gt;0),(catdw_1_IHB_1*((dagenperjaar1*VLOOKUP(B25,dagsoorttabel1,2,FALSE))-catfd_1_IHV_40)/catpn_1_IHB_1+catdw_1_IHV_40*catfd_1_IHV_40/catpn_1_IHV_40)/(((dagenperjaar1*VLOOKUP(B25,dagsoorttabel1,2,FALSE))-catfd_1_IHV_40)/catpn_1_IHB_1+catfd_1_IHV_40/catpn_1_IHV_40),0)</f>
        <v>0</v>
      </c>
      <c r="I25" s="56" t="s">
        <v>106</v>
      </c>
      <c r="J25" s="60">
        <f>IF(AND(catpn_1_IHB_1&gt;0,catpn_1_IHV_40&gt;0),(cattf_1_IHB_1*((dagenperjaar1*VLOOKUP(B25,dagsoorttabel1,2,FALSE))-catfd_1_IHV_40)/catpn_1_IHB_1+cattf_1_IHV_40*catfd_1_IHV_40/catpn_1_IHV_40)/(((dagenperjaar1*VLOOKUP(B25,dagsoorttabel1,2,FALSE))-catfd_1_IHV_40)/catpn_1_IHB_1+catfd_1_IHV_40/catpn_1_IHV_40),0)</f>
        <v>0</v>
      </c>
      <c r="K25" s="69">
        <f>IF(OR(ISBLANK(G25),G25=0),0,F25/G25)</f>
        <v>0</v>
      </c>
      <c r="L25" s="60">
        <f>J25*K25</f>
        <v>0</v>
      </c>
      <c r="M25" s="69">
        <f>K25*dagenperjaar1</f>
        <v>0</v>
      </c>
      <c r="N25" s="60">
        <f>M25*J25</f>
        <v>0</v>
      </c>
    </row>
    <row r="26" spans="1:14" x14ac:dyDescent="0.3">
      <c r="A26" s="56" t="s">
        <v>239</v>
      </c>
      <c r="B26" s="56" t="s">
        <v>11</v>
      </c>
      <c r="C26" s="56" t="s">
        <v>219</v>
      </c>
      <c r="D26" s="56" t="s">
        <v>240</v>
      </c>
      <c r="E26" s="69">
        <v>443.65</v>
      </c>
      <c r="F26" s="69">
        <f>E26*VLOOKUP(B26,dagsoorttabel1,2,FALSE)</f>
        <v>443.65</v>
      </c>
      <c r="G26" s="70">
        <f>IF(AND(catpn_1_KHB_1&gt;0,catpn_1_KHV_40&gt;0),(dagenperjaar1*VLOOKUP(B26,dagsoorttabel1,2,FALSE))/(((dagenperjaar1*VLOOKUP(B26,dagsoorttabel1,2,FALSE))-catfd_1_KHV_40)/catpn_1_KHB_1+catfd_1_KHV_40/catpn_1_KHV_40),0)</f>
        <v>0</v>
      </c>
      <c r="H26" s="71">
        <f>IF(AND(catpn_1_KHB_1&gt;0,catpn_1_KHV_40&gt;0),(catdw_1_KHB_1*((dagenperjaar1*VLOOKUP(B26,dagsoorttabel1,2,FALSE))-catfd_1_KHV_40)/catpn_1_KHB_1+catdw_1_KHV_40*catfd_1_KHV_40/catpn_1_KHV_40)/(((dagenperjaar1*VLOOKUP(B26,dagsoorttabel1,2,FALSE))-catfd_1_KHV_40)/catpn_1_KHB_1+catfd_1_KHV_40/catpn_1_KHV_40),0)</f>
        <v>0</v>
      </c>
      <c r="I26" s="56" t="s">
        <v>106</v>
      </c>
      <c r="J26" s="60">
        <f>IF(AND(catpn_1_KHB_1&gt;0,catpn_1_KHV_40&gt;0),(cattf_1_KHB_1*((dagenperjaar1*VLOOKUP(B26,dagsoorttabel1,2,FALSE))-catfd_1_KHV_40)/catpn_1_KHB_1+cattf_1_KHV_40*catfd_1_KHV_40/catpn_1_KHV_40)/(((dagenperjaar1*VLOOKUP(B26,dagsoorttabel1,2,FALSE))-catfd_1_KHV_40)/catpn_1_KHB_1+catfd_1_KHV_40/catpn_1_KHV_40),0)</f>
        <v>0</v>
      </c>
      <c r="K26" s="69">
        <f>IF(OR(ISBLANK(G26),G26=0),0,F26/G26)</f>
        <v>0</v>
      </c>
      <c r="L26" s="60">
        <f>J26*K26</f>
        <v>0</v>
      </c>
      <c r="M26" s="69">
        <f>K26*dagenperjaar1</f>
        <v>0</v>
      </c>
      <c r="N26" s="60">
        <f>M26*J26</f>
        <v>0</v>
      </c>
    </row>
    <row r="27" spans="1:14" x14ac:dyDescent="0.3">
      <c r="A27" s="56" t="s">
        <v>239</v>
      </c>
      <c r="B27" s="56" t="s">
        <v>18</v>
      </c>
      <c r="C27" s="56" t="s">
        <v>219</v>
      </c>
      <c r="D27" s="56" t="s">
        <v>240</v>
      </c>
      <c r="E27" s="69">
        <v>49</v>
      </c>
      <c r="F27" s="69">
        <f>E27*VLOOKUP(B27,dagsoorttabel1,2,FALSE)</f>
        <v>9.8000000000000007</v>
      </c>
      <c r="G27" s="70">
        <f>IF(AND(catpn_1_KHB_1&gt;0,catpn_1_KHV_40&gt;0),(dagenperjaar1*VLOOKUP(B27,dagsoorttabel1,2,FALSE))/(((dagenperjaar1*VLOOKUP(B27,dagsoorttabel1,2,FALSE))-catfd_1_KHV_40)/catpn_1_KHB_1+catfd_1_KHV_40/catpn_1_KHV_40),0)</f>
        <v>0</v>
      </c>
      <c r="H27" s="71">
        <f>IF(AND(catpn_1_KHB_1&gt;0,catpn_1_KHV_40&gt;0),(catdw_1_KHB_1*((dagenperjaar1*VLOOKUP(B27,dagsoorttabel1,2,FALSE))-catfd_1_KHV_40)/catpn_1_KHB_1+catdw_1_KHV_40*catfd_1_KHV_40/catpn_1_KHV_40)/(((dagenperjaar1*VLOOKUP(B27,dagsoorttabel1,2,FALSE))-catfd_1_KHV_40)/catpn_1_KHB_1+catfd_1_KHV_40/catpn_1_KHV_40),0)</f>
        <v>0</v>
      </c>
      <c r="I27" s="56" t="s">
        <v>106</v>
      </c>
      <c r="J27" s="60">
        <f>IF(AND(catpn_1_KHB_1&gt;0,catpn_1_KHV_40&gt;0),(cattf_1_KHB_1*((dagenperjaar1*VLOOKUP(B27,dagsoorttabel1,2,FALSE))-catfd_1_KHV_40)/catpn_1_KHB_1+cattf_1_KHV_40*catfd_1_KHV_40/catpn_1_KHV_40)/(((dagenperjaar1*VLOOKUP(B27,dagsoorttabel1,2,FALSE))-catfd_1_KHV_40)/catpn_1_KHB_1+catfd_1_KHV_40/catpn_1_KHV_40),0)</f>
        <v>0</v>
      </c>
      <c r="K27" s="69">
        <f>IF(OR(ISBLANK(G27),G27=0),0,F27/G27)</f>
        <v>0</v>
      </c>
      <c r="L27" s="60">
        <f>J27*K27</f>
        <v>0</v>
      </c>
      <c r="M27" s="69">
        <f>K27*dagenperjaar1</f>
        <v>0</v>
      </c>
      <c r="N27" s="60">
        <f>M27*J27</f>
        <v>0</v>
      </c>
    </row>
    <row r="28" spans="1:14" x14ac:dyDescent="0.3">
      <c r="A28" s="56" t="s">
        <v>241</v>
      </c>
      <c r="B28" s="56" t="s">
        <v>11</v>
      </c>
      <c r="C28" s="56" t="s">
        <v>219</v>
      </c>
      <c r="D28" s="56" t="s">
        <v>242</v>
      </c>
      <c r="E28" s="69">
        <v>7983.99</v>
      </c>
      <c r="F28" s="69">
        <f>E28*VLOOKUP(B28,dagsoorttabel1,2,FALSE)</f>
        <v>7983.99</v>
      </c>
      <c r="G28" s="70">
        <f>IF(AND(catpn_1_LHB_1&gt;0,catpn_1_LHV_40&gt;0),(dagenperjaar1*VLOOKUP(B28,dagsoorttabel1,2,FALSE))/(((dagenperjaar1*VLOOKUP(B28,dagsoorttabel1,2,FALSE))-catfd_1_LHV_40)/catpn_1_LHB_1+catfd_1_LHV_40/catpn_1_LHV_40),0)</f>
        <v>0</v>
      </c>
      <c r="H28" s="71">
        <f>IF(AND(catpn_1_LHB_1&gt;0,catpn_1_LHV_40&gt;0),(catdw_1_LHB_1*((dagenperjaar1*VLOOKUP(B28,dagsoorttabel1,2,FALSE))-catfd_1_LHV_40)/catpn_1_LHB_1+catdw_1_LHV_40*catfd_1_LHV_40/catpn_1_LHV_40)/(((dagenperjaar1*VLOOKUP(B28,dagsoorttabel1,2,FALSE))-catfd_1_LHV_40)/catpn_1_LHB_1+catfd_1_LHV_40/catpn_1_LHV_40),0)</f>
        <v>0</v>
      </c>
      <c r="I28" s="56" t="s">
        <v>106</v>
      </c>
      <c r="J28" s="60">
        <f>IF(AND(catpn_1_LHB_1&gt;0,catpn_1_LHV_40&gt;0),(cattf_1_LHB_1*((dagenperjaar1*VLOOKUP(B28,dagsoorttabel1,2,FALSE))-catfd_1_LHV_40)/catpn_1_LHB_1+cattf_1_LHV_40*catfd_1_LHV_40/catpn_1_LHV_40)/(((dagenperjaar1*VLOOKUP(B28,dagsoorttabel1,2,FALSE))-catfd_1_LHV_40)/catpn_1_LHB_1+catfd_1_LHV_40/catpn_1_LHV_40),0)</f>
        <v>0</v>
      </c>
      <c r="K28" s="69">
        <f>IF(OR(ISBLANK(G28),G28=0),0,F28/G28)</f>
        <v>0</v>
      </c>
      <c r="L28" s="60">
        <f>J28*K28</f>
        <v>0</v>
      </c>
      <c r="M28" s="69">
        <f>K28*dagenperjaar1</f>
        <v>0</v>
      </c>
      <c r="N28" s="60">
        <f>M28*J28</f>
        <v>0</v>
      </c>
    </row>
    <row r="29" spans="1:14" x14ac:dyDescent="0.3">
      <c r="A29" s="56" t="s">
        <v>241</v>
      </c>
      <c r="B29" s="56" t="s">
        <v>18</v>
      </c>
      <c r="C29" s="56" t="s">
        <v>219</v>
      </c>
      <c r="D29" s="56" t="s">
        <v>242</v>
      </c>
      <c r="E29" s="69">
        <v>160</v>
      </c>
      <c r="F29" s="69">
        <f>E29*VLOOKUP(B29,dagsoorttabel1,2,FALSE)</f>
        <v>32</v>
      </c>
      <c r="G29" s="70">
        <f>IF(AND(catpn_1_LHB_1&gt;0,catpn_1_LHV_40&gt;0),(dagenperjaar1*VLOOKUP(B29,dagsoorttabel1,2,FALSE))/(((dagenperjaar1*VLOOKUP(B29,dagsoorttabel1,2,FALSE))-catfd_1_LHV_40)/catpn_1_LHB_1+catfd_1_LHV_40/catpn_1_LHV_40),0)</f>
        <v>0</v>
      </c>
      <c r="H29" s="71">
        <f>IF(AND(catpn_1_LHB_1&gt;0,catpn_1_LHV_40&gt;0),(catdw_1_LHB_1*((dagenperjaar1*VLOOKUP(B29,dagsoorttabel1,2,FALSE))-catfd_1_LHV_40)/catpn_1_LHB_1+catdw_1_LHV_40*catfd_1_LHV_40/catpn_1_LHV_40)/(((dagenperjaar1*VLOOKUP(B29,dagsoorttabel1,2,FALSE))-catfd_1_LHV_40)/catpn_1_LHB_1+catfd_1_LHV_40/catpn_1_LHV_40),0)</f>
        <v>0</v>
      </c>
      <c r="I29" s="56" t="s">
        <v>106</v>
      </c>
      <c r="J29" s="60">
        <f>IF(AND(catpn_1_LHB_1&gt;0,catpn_1_LHV_40&gt;0),(cattf_1_LHB_1*((dagenperjaar1*VLOOKUP(B29,dagsoorttabel1,2,FALSE))-catfd_1_LHV_40)/catpn_1_LHB_1+cattf_1_LHV_40*catfd_1_LHV_40/catpn_1_LHV_40)/(((dagenperjaar1*VLOOKUP(B29,dagsoorttabel1,2,FALSE))-catfd_1_LHV_40)/catpn_1_LHB_1+catfd_1_LHV_40/catpn_1_LHV_40),0)</f>
        <v>0</v>
      </c>
      <c r="K29" s="69">
        <f>IF(OR(ISBLANK(G29),G29=0),0,F29/G29)</f>
        <v>0</v>
      </c>
      <c r="L29" s="60">
        <f>J29*K29</f>
        <v>0</v>
      </c>
      <c r="M29" s="69">
        <f>K29*dagenperjaar1</f>
        <v>0</v>
      </c>
      <c r="N29" s="60">
        <f>M29*J29</f>
        <v>0</v>
      </c>
    </row>
    <row r="30" spans="1:14" x14ac:dyDescent="0.3">
      <c r="A30" s="56" t="s">
        <v>243</v>
      </c>
      <c r="B30" s="56" t="s">
        <v>11</v>
      </c>
      <c r="C30" s="56" t="s">
        <v>219</v>
      </c>
      <c r="D30" s="56" t="s">
        <v>244</v>
      </c>
      <c r="E30" s="69">
        <v>609</v>
      </c>
      <c r="F30" s="69">
        <f>E30*VLOOKUP(B30,dagsoorttabel1,2,FALSE)</f>
        <v>609</v>
      </c>
      <c r="G30" s="70">
        <f>IF(AND(catpn_1_LZB_1&gt;0,catpn_1_LZV_40&gt;0),(dagenperjaar1*VLOOKUP(B30,dagsoorttabel1,2,FALSE))/(((dagenperjaar1*VLOOKUP(B30,dagsoorttabel1,2,FALSE))-catfd_1_LZV_40)/catpn_1_LZB_1+catfd_1_LZV_40/catpn_1_LZV_40),0)</f>
        <v>0</v>
      </c>
      <c r="H30" s="71">
        <f>IF(AND(catpn_1_LZB_1&gt;0,catpn_1_LZV_40&gt;0),(catdw_1_LZB_1*((dagenperjaar1*VLOOKUP(B30,dagsoorttabel1,2,FALSE))-catfd_1_LZV_40)/catpn_1_LZB_1+catdw_1_LZV_40*catfd_1_LZV_40/catpn_1_LZV_40)/(((dagenperjaar1*VLOOKUP(B30,dagsoorttabel1,2,FALSE))-catfd_1_LZV_40)/catpn_1_LZB_1+catfd_1_LZV_40/catpn_1_LZV_40),0)</f>
        <v>0</v>
      </c>
      <c r="I30" s="56" t="s">
        <v>106</v>
      </c>
      <c r="J30" s="60">
        <f>IF(AND(catpn_1_LZB_1&gt;0,catpn_1_LZV_40&gt;0),(cattf_1_LZB_1*((dagenperjaar1*VLOOKUP(B30,dagsoorttabel1,2,FALSE))-catfd_1_LZV_40)/catpn_1_LZB_1+cattf_1_LZV_40*catfd_1_LZV_40/catpn_1_LZV_40)/(((dagenperjaar1*VLOOKUP(B30,dagsoorttabel1,2,FALSE))-catfd_1_LZV_40)/catpn_1_LZB_1+catfd_1_LZV_40/catpn_1_LZV_40),0)</f>
        <v>0</v>
      </c>
      <c r="K30" s="69">
        <f>IF(OR(ISBLANK(G30),G30=0),0,F30/G30)</f>
        <v>0</v>
      </c>
      <c r="L30" s="60">
        <f>J30*K30</f>
        <v>0</v>
      </c>
      <c r="M30" s="69">
        <f>K30*dagenperjaar1</f>
        <v>0</v>
      </c>
      <c r="N30" s="60">
        <f>M30*J30</f>
        <v>0</v>
      </c>
    </row>
    <row r="31" spans="1:14" x14ac:dyDescent="0.3">
      <c r="A31" s="56" t="s">
        <v>243</v>
      </c>
      <c r="B31" s="56" t="s">
        <v>16</v>
      </c>
      <c r="C31" s="56" t="s">
        <v>219</v>
      </c>
      <c r="D31" s="56" t="s">
        <v>244</v>
      </c>
      <c r="E31" s="69">
        <v>53</v>
      </c>
      <c r="F31" s="69">
        <f>E31*VLOOKUP(B31,dagsoorttabel1,2,FALSE)</f>
        <v>21.200000000000003</v>
      </c>
      <c r="G31" s="70">
        <f>IF(AND(catpn_1_LZB_1&gt;0,catpn_1_LZV_40&gt;0),(dagenperjaar1*VLOOKUP(B31,dagsoorttabel1,2,FALSE))/(((dagenperjaar1*VLOOKUP(B31,dagsoorttabel1,2,FALSE))-catfd_1_LZV_40)/catpn_1_LZB_1+catfd_1_LZV_40/catpn_1_LZV_40),0)</f>
        <v>0</v>
      </c>
      <c r="H31" s="71">
        <f>IF(AND(catpn_1_LZB_1&gt;0,catpn_1_LZV_40&gt;0),(catdw_1_LZB_1*((dagenperjaar1*VLOOKUP(B31,dagsoorttabel1,2,FALSE))-catfd_1_LZV_40)/catpn_1_LZB_1+catdw_1_LZV_40*catfd_1_LZV_40/catpn_1_LZV_40)/(((dagenperjaar1*VLOOKUP(B31,dagsoorttabel1,2,FALSE))-catfd_1_LZV_40)/catpn_1_LZB_1+catfd_1_LZV_40/catpn_1_LZV_40),0)</f>
        <v>0</v>
      </c>
      <c r="I31" s="56" t="s">
        <v>106</v>
      </c>
      <c r="J31" s="60">
        <f>IF(AND(catpn_1_LZB_1&gt;0,catpn_1_LZV_40&gt;0),(cattf_1_LZB_1*((dagenperjaar1*VLOOKUP(B31,dagsoorttabel1,2,FALSE))-catfd_1_LZV_40)/catpn_1_LZB_1+cattf_1_LZV_40*catfd_1_LZV_40/catpn_1_LZV_40)/(((dagenperjaar1*VLOOKUP(B31,dagsoorttabel1,2,FALSE))-catfd_1_LZV_40)/catpn_1_LZB_1+catfd_1_LZV_40/catpn_1_LZV_40),0)</f>
        <v>0</v>
      </c>
      <c r="K31" s="69">
        <f>IF(OR(ISBLANK(G31),G31=0),0,F31/G31)</f>
        <v>0</v>
      </c>
      <c r="L31" s="60">
        <f>J31*K31</f>
        <v>0</v>
      </c>
      <c r="M31" s="69">
        <f>K31*dagenperjaar1</f>
        <v>0</v>
      </c>
      <c r="N31" s="60">
        <f>M31*J31</f>
        <v>0</v>
      </c>
    </row>
    <row r="32" spans="1:14" x14ac:dyDescent="0.3">
      <c r="A32" s="56" t="s">
        <v>245</v>
      </c>
      <c r="B32" s="56" t="s">
        <v>11</v>
      </c>
      <c r="C32" s="56" t="s">
        <v>219</v>
      </c>
      <c r="D32" s="56" t="s">
        <v>246</v>
      </c>
      <c r="E32" s="69">
        <v>241.2</v>
      </c>
      <c r="F32" s="69">
        <f>E32*VLOOKUP(B32,dagsoorttabel1,2,FALSE)</f>
        <v>241.2</v>
      </c>
      <c r="G32" s="70">
        <f>IF(AND(catpn_1_MHB_1&gt;0,catpn_1_MHV_40&gt;0),(dagenperjaar1*VLOOKUP(B32,dagsoorttabel1,2,FALSE))/(((dagenperjaar1*VLOOKUP(B32,dagsoorttabel1,2,FALSE))-catfd_1_MHV_40)/catpn_1_MHB_1+catfd_1_MHV_40/catpn_1_MHV_40),0)</f>
        <v>0</v>
      </c>
      <c r="H32" s="71">
        <f>IF(AND(catpn_1_MHB_1&gt;0,catpn_1_MHV_40&gt;0),(catdw_1_MHB_1*((dagenperjaar1*VLOOKUP(B32,dagsoorttabel1,2,FALSE))-catfd_1_MHV_40)/catpn_1_MHB_1+catdw_1_MHV_40*catfd_1_MHV_40/catpn_1_MHV_40)/(((dagenperjaar1*VLOOKUP(B32,dagsoorttabel1,2,FALSE))-catfd_1_MHV_40)/catpn_1_MHB_1+catfd_1_MHV_40/catpn_1_MHV_40),0)</f>
        <v>0</v>
      </c>
      <c r="I32" s="56" t="s">
        <v>106</v>
      </c>
      <c r="J32" s="60">
        <f>IF(AND(catpn_1_MHB_1&gt;0,catpn_1_MHV_40&gt;0),(cattf_1_MHB_1*((dagenperjaar1*VLOOKUP(B32,dagsoorttabel1,2,FALSE))-catfd_1_MHV_40)/catpn_1_MHB_1+cattf_1_MHV_40*catfd_1_MHV_40/catpn_1_MHV_40)/(((dagenperjaar1*VLOOKUP(B32,dagsoorttabel1,2,FALSE))-catfd_1_MHV_40)/catpn_1_MHB_1+catfd_1_MHV_40/catpn_1_MHV_40),0)</f>
        <v>0</v>
      </c>
      <c r="K32" s="69">
        <f>IF(OR(ISBLANK(G32),G32=0),0,F32/G32)</f>
        <v>0</v>
      </c>
      <c r="L32" s="60">
        <f>J32*K32</f>
        <v>0</v>
      </c>
      <c r="M32" s="69">
        <f>K32*dagenperjaar1</f>
        <v>0</v>
      </c>
      <c r="N32" s="60">
        <f>M32*J32</f>
        <v>0</v>
      </c>
    </row>
    <row r="33" spans="1:14" x14ac:dyDescent="0.3">
      <c r="A33" s="56" t="s">
        <v>247</v>
      </c>
      <c r="B33" s="56" t="s">
        <v>11</v>
      </c>
      <c r="C33" s="56" t="s">
        <v>219</v>
      </c>
      <c r="D33" s="56" t="s">
        <v>248</v>
      </c>
      <c r="E33" s="69">
        <v>473.4</v>
      </c>
      <c r="F33" s="69">
        <f>E33*VLOOKUP(B33,dagsoorttabel1,2,FALSE)</f>
        <v>473.4</v>
      </c>
      <c r="G33" s="70">
        <f>IF(AND(catpn_1_MZB_1&gt;0,catpn_1_MZV_40&gt;0),(dagenperjaar1*VLOOKUP(B33,dagsoorttabel1,2,FALSE))/(((dagenperjaar1*VLOOKUP(B33,dagsoorttabel1,2,FALSE))-catfd_1_MZV_40)/catpn_1_MZB_1+catfd_1_MZV_40/catpn_1_MZV_40),0)</f>
        <v>0</v>
      </c>
      <c r="H33" s="71">
        <f>IF(AND(catpn_1_MZB_1&gt;0,catpn_1_MZV_40&gt;0),(catdw_1_MZB_1*((dagenperjaar1*VLOOKUP(B33,dagsoorttabel1,2,FALSE))-catfd_1_MZV_40)/catpn_1_MZB_1+catdw_1_MZV_40*catfd_1_MZV_40/catpn_1_MZV_40)/(((dagenperjaar1*VLOOKUP(B33,dagsoorttabel1,2,FALSE))-catfd_1_MZV_40)/catpn_1_MZB_1+catfd_1_MZV_40/catpn_1_MZV_40),0)</f>
        <v>0</v>
      </c>
      <c r="I33" s="56" t="s">
        <v>106</v>
      </c>
      <c r="J33" s="60">
        <f>IF(AND(catpn_1_MZB_1&gt;0,catpn_1_MZV_40&gt;0),(cattf_1_MZB_1*((dagenperjaar1*VLOOKUP(B33,dagsoorttabel1,2,FALSE))-catfd_1_MZV_40)/catpn_1_MZB_1+cattf_1_MZV_40*catfd_1_MZV_40/catpn_1_MZV_40)/(((dagenperjaar1*VLOOKUP(B33,dagsoorttabel1,2,FALSE))-catfd_1_MZV_40)/catpn_1_MZB_1+catfd_1_MZV_40/catpn_1_MZV_40),0)</f>
        <v>0</v>
      </c>
      <c r="K33" s="69">
        <f>IF(OR(ISBLANK(G33),G33=0),0,F33/G33)</f>
        <v>0</v>
      </c>
      <c r="L33" s="60">
        <f>J33*K33</f>
        <v>0</v>
      </c>
      <c r="M33" s="69">
        <f>K33*dagenperjaar1</f>
        <v>0</v>
      </c>
      <c r="N33" s="60">
        <f>M33*J33</f>
        <v>0</v>
      </c>
    </row>
    <row r="34" spans="1:14" x14ac:dyDescent="0.3">
      <c r="A34" s="56" t="s">
        <v>247</v>
      </c>
      <c r="B34" s="56" t="s">
        <v>18</v>
      </c>
      <c r="C34" s="56" t="s">
        <v>219</v>
      </c>
      <c r="D34" s="56" t="s">
        <v>248</v>
      </c>
      <c r="E34" s="69">
        <v>54</v>
      </c>
      <c r="F34" s="69">
        <f>E34*VLOOKUP(B34,dagsoorttabel1,2,FALSE)</f>
        <v>10.8</v>
      </c>
      <c r="G34" s="70">
        <f>IF(AND(catpn_1_MZB_1&gt;0,catpn_1_MZV_40&gt;0),(dagenperjaar1*VLOOKUP(B34,dagsoorttabel1,2,FALSE))/(((dagenperjaar1*VLOOKUP(B34,dagsoorttabel1,2,FALSE))-catfd_1_MZV_40)/catpn_1_MZB_1+catfd_1_MZV_40/catpn_1_MZV_40),0)</f>
        <v>0</v>
      </c>
      <c r="H34" s="71">
        <f>IF(AND(catpn_1_MZB_1&gt;0,catpn_1_MZV_40&gt;0),(catdw_1_MZB_1*((dagenperjaar1*VLOOKUP(B34,dagsoorttabel1,2,FALSE))-catfd_1_MZV_40)/catpn_1_MZB_1+catdw_1_MZV_40*catfd_1_MZV_40/catpn_1_MZV_40)/(((dagenperjaar1*VLOOKUP(B34,dagsoorttabel1,2,FALSE))-catfd_1_MZV_40)/catpn_1_MZB_1+catfd_1_MZV_40/catpn_1_MZV_40),0)</f>
        <v>0</v>
      </c>
      <c r="I34" s="56" t="s">
        <v>106</v>
      </c>
      <c r="J34" s="60">
        <f>IF(AND(catpn_1_MZB_1&gt;0,catpn_1_MZV_40&gt;0),(cattf_1_MZB_1*((dagenperjaar1*VLOOKUP(B34,dagsoorttabel1,2,FALSE))-catfd_1_MZV_40)/catpn_1_MZB_1+cattf_1_MZV_40*catfd_1_MZV_40/catpn_1_MZV_40)/(((dagenperjaar1*VLOOKUP(B34,dagsoorttabel1,2,FALSE))-catfd_1_MZV_40)/catpn_1_MZB_1+catfd_1_MZV_40/catpn_1_MZV_40),0)</f>
        <v>0</v>
      </c>
      <c r="K34" s="69">
        <f>IF(OR(ISBLANK(G34),G34=0),0,F34/G34)</f>
        <v>0</v>
      </c>
      <c r="L34" s="60">
        <f>J34*K34</f>
        <v>0</v>
      </c>
      <c r="M34" s="69">
        <f>K34*dagenperjaar1</f>
        <v>0</v>
      </c>
      <c r="N34" s="60">
        <f>M34*J34</f>
        <v>0</v>
      </c>
    </row>
    <row r="35" spans="1:14" x14ac:dyDescent="0.3">
      <c r="A35" s="56" t="s">
        <v>249</v>
      </c>
      <c r="B35" s="56" t="s">
        <v>21</v>
      </c>
      <c r="C35" s="56" t="s">
        <v>219</v>
      </c>
      <c r="D35" s="56" t="s">
        <v>250</v>
      </c>
      <c r="E35" s="69">
        <v>37.950000000000003</v>
      </c>
      <c r="F35" s="69">
        <f>E35*VLOOKUP(B35,dagsoorttabel1,2,FALSE)</f>
        <v>1.8975000000000002</v>
      </c>
      <c r="G35" s="70">
        <f>IF(AND(catpn_1_OHB_1&gt;0,catpn_1_OHV_10&gt;0),(dagenperjaar1*VLOOKUP(B35,dagsoorttabel1,2,FALSE))/(((dagenperjaar1*VLOOKUP(B35,dagsoorttabel1,2,FALSE))-catfd_1_OHV_10)/catpn_1_OHB_1+catfd_1_OHV_10/catpn_1_OHV_10),0)</f>
        <v>0</v>
      </c>
      <c r="H35" s="71">
        <f>IF(AND(catpn_1_OHB_1&gt;0,catpn_1_OHV_10&gt;0),(catdw_1_OHB_1*((dagenperjaar1*VLOOKUP(B35,dagsoorttabel1,2,FALSE))-catfd_1_OHV_10)/catpn_1_OHB_1+catdw_1_OHV_10*catfd_1_OHV_10/catpn_1_OHV_10)/(((dagenperjaar1*VLOOKUP(B35,dagsoorttabel1,2,FALSE))-catfd_1_OHV_10)/catpn_1_OHB_1+catfd_1_OHV_10/catpn_1_OHV_10),0)</f>
        <v>0</v>
      </c>
      <c r="I35" s="56" t="s">
        <v>106</v>
      </c>
      <c r="J35" s="60">
        <f>IF(AND(catpn_1_OHB_1&gt;0,catpn_1_OHV_10&gt;0),(cattf_1_OHB_1*((dagenperjaar1*VLOOKUP(B35,dagsoorttabel1,2,FALSE))-catfd_1_OHV_10)/catpn_1_OHB_1+cattf_1_OHV_10*catfd_1_OHV_10/catpn_1_OHV_10)/(((dagenperjaar1*VLOOKUP(B35,dagsoorttabel1,2,FALSE))-catfd_1_OHV_10)/catpn_1_OHB_1+catfd_1_OHV_10/catpn_1_OHV_10),0)</f>
        <v>0</v>
      </c>
      <c r="K35" s="69">
        <f>IF(OR(ISBLANK(G35),G35=0),0,F35/G35)</f>
        <v>0</v>
      </c>
      <c r="L35" s="60">
        <f>J35*K35</f>
        <v>0</v>
      </c>
      <c r="M35" s="69">
        <f>K35*dagenperjaar1</f>
        <v>0</v>
      </c>
      <c r="N35" s="60">
        <f>M35*J35</f>
        <v>0</v>
      </c>
    </row>
    <row r="36" spans="1:14" x14ac:dyDescent="0.3">
      <c r="A36" s="56" t="s">
        <v>249</v>
      </c>
      <c r="B36" s="56" t="s">
        <v>11</v>
      </c>
      <c r="C36" s="56" t="s">
        <v>219</v>
      </c>
      <c r="D36" s="56" t="s">
        <v>250</v>
      </c>
      <c r="E36" s="69">
        <v>2.9</v>
      </c>
      <c r="F36" s="69">
        <f>E36*VLOOKUP(B36,dagsoorttabel1,2,FALSE)</f>
        <v>2.9</v>
      </c>
      <c r="G36" s="70">
        <f>IF(AND(catpn_1_OHB_1&gt;0,catpn_1_OHV_40&gt;0),(dagenperjaar1*VLOOKUP(B36,dagsoorttabel1,2,FALSE))/(((dagenperjaar1*VLOOKUP(B36,dagsoorttabel1,2,FALSE))-catfd_1_OHV_40)/catpn_1_OHB_1+catfd_1_OHV_40/catpn_1_OHV_40),0)</f>
        <v>0</v>
      </c>
      <c r="H36" s="71">
        <f>IF(AND(catpn_1_OHB_1&gt;0,catpn_1_OHV_40&gt;0),(catdw_1_OHB_1*((dagenperjaar1*VLOOKUP(B36,dagsoorttabel1,2,FALSE))-catfd_1_OHV_40)/catpn_1_OHB_1+catdw_1_OHV_40*catfd_1_OHV_40/catpn_1_OHV_40)/(((dagenperjaar1*VLOOKUP(B36,dagsoorttabel1,2,FALSE))-catfd_1_OHV_40)/catpn_1_OHB_1+catfd_1_OHV_40/catpn_1_OHV_40),0)</f>
        <v>0</v>
      </c>
      <c r="I36" s="56" t="s">
        <v>106</v>
      </c>
      <c r="J36" s="60">
        <f>IF(AND(catpn_1_OHB_1&gt;0,catpn_1_OHV_40&gt;0),(cattf_1_OHB_1*((dagenperjaar1*VLOOKUP(B36,dagsoorttabel1,2,FALSE))-catfd_1_OHV_40)/catpn_1_OHB_1+cattf_1_OHV_40*catfd_1_OHV_40/catpn_1_OHV_40)/(((dagenperjaar1*VLOOKUP(B36,dagsoorttabel1,2,FALSE))-catfd_1_OHV_40)/catpn_1_OHB_1+catfd_1_OHV_40/catpn_1_OHV_40),0)</f>
        <v>0</v>
      </c>
      <c r="K36" s="69">
        <f>IF(OR(ISBLANK(G36),G36=0),0,F36/G36)</f>
        <v>0</v>
      </c>
      <c r="L36" s="60">
        <f>J36*K36</f>
        <v>0</v>
      </c>
      <c r="M36" s="69">
        <f>K36*dagenperjaar1</f>
        <v>0</v>
      </c>
      <c r="N36" s="60">
        <f>M36*J36</f>
        <v>0</v>
      </c>
    </row>
    <row r="37" spans="1:14" x14ac:dyDescent="0.3">
      <c r="A37" s="56" t="s">
        <v>251</v>
      </c>
      <c r="B37" s="56" t="s">
        <v>13</v>
      </c>
      <c r="C37" s="56" t="s">
        <v>219</v>
      </c>
      <c r="D37" s="56" t="s">
        <v>252</v>
      </c>
      <c r="E37" s="69">
        <v>5</v>
      </c>
      <c r="F37" s="69">
        <f>E37*VLOOKUP(B37,dagsoorttabel1,2,FALSE)</f>
        <v>3.15</v>
      </c>
      <c r="G37" s="70">
        <f>IF(AND(catpn_1_PHB_1&gt;0,catpn_1_PHV_42&gt;0),(dagenperjaar1*VLOOKUP(B37,dagsoorttabel1,2,FALSE))/(((dagenperjaar1*VLOOKUP(B37,dagsoorttabel1,2,FALSE))-catfd_1_PHV_42)/catpn_1_PHB_1+catfd_1_PHV_42/catpn_1_PHV_42),0)</f>
        <v>0</v>
      </c>
      <c r="H37" s="71">
        <f>IF(AND(catpn_1_PHB_1&gt;0,catpn_1_PHV_42&gt;0),(catdw_1_PHB_1*((dagenperjaar1*VLOOKUP(B37,dagsoorttabel1,2,FALSE))-catfd_1_PHV_42)/catpn_1_PHB_1+catdw_1_PHV_42*catfd_1_PHV_42/catpn_1_PHV_42)/(((dagenperjaar1*VLOOKUP(B37,dagsoorttabel1,2,FALSE))-catfd_1_PHV_42)/catpn_1_PHB_1+catfd_1_PHV_42/catpn_1_PHV_42),0)</f>
        <v>0</v>
      </c>
      <c r="I37" s="56" t="s">
        <v>106</v>
      </c>
      <c r="J37" s="60">
        <f>IF(AND(catpn_1_PHB_1&gt;0,catpn_1_PHV_42&gt;0),(cattf_1_PHB_1*((dagenperjaar1*VLOOKUP(B37,dagsoorttabel1,2,FALSE))-catfd_1_PHV_42)/catpn_1_PHB_1+cattf_1_PHV_42*catfd_1_PHV_42/catpn_1_PHV_42)/(((dagenperjaar1*VLOOKUP(B37,dagsoorttabel1,2,FALSE))-catfd_1_PHV_42)/catpn_1_PHB_1+catfd_1_PHV_42/catpn_1_PHV_42),0)</f>
        <v>0</v>
      </c>
      <c r="K37" s="69">
        <f>IF(OR(ISBLANK(G37),G37=0),0,F37/G37)</f>
        <v>0</v>
      </c>
      <c r="L37" s="60">
        <f>J37*K37</f>
        <v>0</v>
      </c>
      <c r="M37" s="69">
        <f>K37*dagenperjaar1</f>
        <v>0</v>
      </c>
      <c r="N37" s="60">
        <f>M37*J37</f>
        <v>0</v>
      </c>
    </row>
    <row r="38" spans="1:14" x14ac:dyDescent="0.3">
      <c r="A38" s="56" t="s">
        <v>251</v>
      </c>
      <c r="B38" s="56" t="s">
        <v>11</v>
      </c>
      <c r="C38" s="56" t="s">
        <v>219</v>
      </c>
      <c r="D38" s="56" t="s">
        <v>252</v>
      </c>
      <c r="E38" s="69">
        <v>68.650000000000006</v>
      </c>
      <c r="F38" s="69">
        <f>E38*VLOOKUP(B38,dagsoorttabel1,2,FALSE)</f>
        <v>68.650000000000006</v>
      </c>
      <c r="G38" s="70">
        <f>IF(AND(catpn_1_PHB_1&gt;0,catpn_1_PHV_40&gt;0),(dagenperjaar1*VLOOKUP(B38,dagsoorttabel1,2,FALSE))/(((dagenperjaar1*VLOOKUP(B38,dagsoorttabel1,2,FALSE))-catfd_1_PHV_40)/catpn_1_PHB_1+catfd_1_PHV_40/catpn_1_PHV_40),0)</f>
        <v>0</v>
      </c>
      <c r="H38" s="71">
        <f>IF(AND(catpn_1_PHB_1&gt;0,catpn_1_PHV_40&gt;0),(catdw_1_PHB_1*((dagenperjaar1*VLOOKUP(B38,dagsoorttabel1,2,FALSE))-catfd_1_PHV_40)/catpn_1_PHB_1+catdw_1_PHV_40*catfd_1_PHV_40/catpn_1_PHV_40)/(((dagenperjaar1*VLOOKUP(B38,dagsoorttabel1,2,FALSE))-catfd_1_PHV_40)/catpn_1_PHB_1+catfd_1_PHV_40/catpn_1_PHV_40),0)</f>
        <v>0</v>
      </c>
      <c r="I38" s="56" t="s">
        <v>106</v>
      </c>
      <c r="J38" s="60">
        <f>IF(AND(catpn_1_PHB_1&gt;0,catpn_1_PHV_40&gt;0),(cattf_1_PHB_1*((dagenperjaar1*VLOOKUP(B38,dagsoorttabel1,2,FALSE))-catfd_1_PHV_40)/catpn_1_PHB_1+cattf_1_PHV_40*catfd_1_PHV_40/catpn_1_PHV_40)/(((dagenperjaar1*VLOOKUP(B38,dagsoorttabel1,2,FALSE))-catfd_1_PHV_40)/catpn_1_PHB_1+catfd_1_PHV_40/catpn_1_PHV_40),0)</f>
        <v>0</v>
      </c>
      <c r="K38" s="69">
        <f>IF(OR(ISBLANK(G38),G38=0),0,F38/G38)</f>
        <v>0</v>
      </c>
      <c r="L38" s="60">
        <f>J38*K38</f>
        <v>0</v>
      </c>
      <c r="M38" s="69">
        <f>K38*dagenperjaar1</f>
        <v>0</v>
      </c>
      <c r="N38" s="60">
        <f>M38*J38</f>
        <v>0</v>
      </c>
    </row>
    <row r="39" spans="1:14" x14ac:dyDescent="0.3">
      <c r="A39" s="56" t="s">
        <v>253</v>
      </c>
      <c r="B39" s="56" t="s">
        <v>11</v>
      </c>
      <c r="C39" s="56" t="s">
        <v>219</v>
      </c>
      <c r="D39" s="56" t="s">
        <v>254</v>
      </c>
      <c r="E39" s="69">
        <v>1178.3499999999999</v>
      </c>
      <c r="F39" s="69">
        <f>E39*VLOOKUP(B39,dagsoorttabel1,2,FALSE)</f>
        <v>1178.3499999999999</v>
      </c>
      <c r="G39" s="70">
        <f>IF(AND(catpn_1_PMHB_1&gt;0,catpn_1_PMHV_40&gt;0),(dagenperjaar1*VLOOKUP(B39,dagsoorttabel1,2,FALSE))/(((dagenperjaar1*VLOOKUP(B39,dagsoorttabel1,2,FALSE))-catfd_1_PMHV_40)/catpn_1_PMHB_1+catfd_1_PMHV_40/catpn_1_PMHV_40),0)</f>
        <v>0</v>
      </c>
      <c r="H39" s="71">
        <f>IF(AND(catpn_1_PMHB_1&gt;0,catpn_1_PMHV_40&gt;0),(catdw_1_PMHB_1*((dagenperjaar1*VLOOKUP(B39,dagsoorttabel1,2,FALSE))-catfd_1_PMHV_40)/catpn_1_PMHB_1+catdw_1_PMHV_40*catfd_1_PMHV_40/catpn_1_PMHV_40)/(((dagenperjaar1*VLOOKUP(B39,dagsoorttabel1,2,FALSE))-catfd_1_PMHV_40)/catpn_1_PMHB_1+catfd_1_PMHV_40/catpn_1_PMHV_40),0)</f>
        <v>0</v>
      </c>
      <c r="I39" s="56" t="s">
        <v>106</v>
      </c>
      <c r="J39" s="60">
        <f>IF(AND(catpn_1_PMHB_1&gt;0,catpn_1_PMHV_40&gt;0),(cattf_1_PMHB_1*((dagenperjaar1*VLOOKUP(B39,dagsoorttabel1,2,FALSE))-catfd_1_PMHV_40)/catpn_1_PMHB_1+cattf_1_PMHV_40*catfd_1_PMHV_40/catpn_1_PMHV_40)/(((dagenperjaar1*VLOOKUP(B39,dagsoorttabel1,2,FALSE))-catfd_1_PMHV_40)/catpn_1_PMHB_1+catfd_1_PMHV_40/catpn_1_PMHV_40),0)</f>
        <v>0</v>
      </c>
      <c r="K39" s="69">
        <f>IF(OR(ISBLANK(G39),G39=0),0,F39/G39)</f>
        <v>0</v>
      </c>
      <c r="L39" s="60">
        <f>J39*K39</f>
        <v>0</v>
      </c>
      <c r="M39" s="69">
        <f>K39*dagenperjaar1</f>
        <v>0</v>
      </c>
      <c r="N39" s="60">
        <f>M39*J39</f>
        <v>0</v>
      </c>
    </row>
    <row r="40" spans="1:14" x14ac:dyDescent="0.3">
      <c r="A40" s="56" t="s">
        <v>253</v>
      </c>
      <c r="B40" s="56" t="s">
        <v>18</v>
      </c>
      <c r="C40" s="56" t="s">
        <v>219</v>
      </c>
      <c r="D40" s="56" t="s">
        <v>254</v>
      </c>
      <c r="E40" s="69">
        <v>1028.7</v>
      </c>
      <c r="F40" s="69">
        <f>E40*VLOOKUP(B40,dagsoorttabel1,2,FALSE)</f>
        <v>205.74</v>
      </c>
      <c r="G40" s="70">
        <f>IF(AND(catpn_1_PMHB_1&gt;0,catpn_1_PMHV_40&gt;0),(dagenperjaar1*VLOOKUP(B40,dagsoorttabel1,2,FALSE))/(((dagenperjaar1*VLOOKUP(B40,dagsoorttabel1,2,FALSE))-catfd_1_PMHV_40)/catpn_1_PMHB_1+catfd_1_PMHV_40/catpn_1_PMHV_40),0)</f>
        <v>0</v>
      </c>
      <c r="H40" s="71">
        <f>IF(AND(catpn_1_PMHB_1&gt;0,catpn_1_PMHV_40&gt;0),(catdw_1_PMHB_1*((dagenperjaar1*VLOOKUP(B40,dagsoorttabel1,2,FALSE))-catfd_1_PMHV_40)/catpn_1_PMHB_1+catdw_1_PMHV_40*catfd_1_PMHV_40/catpn_1_PMHV_40)/(((dagenperjaar1*VLOOKUP(B40,dagsoorttabel1,2,FALSE))-catfd_1_PMHV_40)/catpn_1_PMHB_1+catfd_1_PMHV_40/catpn_1_PMHV_40),0)</f>
        <v>0</v>
      </c>
      <c r="I40" s="56" t="s">
        <v>106</v>
      </c>
      <c r="J40" s="60">
        <f>IF(AND(catpn_1_PMHB_1&gt;0,catpn_1_PMHV_40&gt;0),(cattf_1_PMHB_1*((dagenperjaar1*VLOOKUP(B40,dagsoorttabel1,2,FALSE))-catfd_1_PMHV_40)/catpn_1_PMHB_1+cattf_1_PMHV_40*catfd_1_PMHV_40/catpn_1_PMHV_40)/(((dagenperjaar1*VLOOKUP(B40,dagsoorttabel1,2,FALSE))-catfd_1_PMHV_40)/catpn_1_PMHB_1+catfd_1_PMHV_40/catpn_1_PMHV_40),0)</f>
        <v>0</v>
      </c>
      <c r="K40" s="69">
        <f>IF(OR(ISBLANK(G40),G40=0),0,F40/G40)</f>
        <v>0</v>
      </c>
      <c r="L40" s="60">
        <f>J40*K40</f>
        <v>0</v>
      </c>
      <c r="M40" s="69">
        <f>K40*dagenperjaar1</f>
        <v>0</v>
      </c>
      <c r="N40" s="60">
        <f>M40*J40</f>
        <v>0</v>
      </c>
    </row>
    <row r="41" spans="1:14" x14ac:dyDescent="0.3">
      <c r="A41" s="56" t="s">
        <v>255</v>
      </c>
      <c r="B41" s="56" t="s">
        <v>11</v>
      </c>
      <c r="C41" s="56" t="s">
        <v>219</v>
      </c>
      <c r="D41" s="56" t="s">
        <v>256</v>
      </c>
      <c r="E41" s="69">
        <v>598</v>
      </c>
      <c r="F41" s="69">
        <f>E41*VLOOKUP(B41,dagsoorttabel1,2,FALSE)</f>
        <v>598</v>
      </c>
      <c r="G41" s="70">
        <f>IF(AND(catpn_1_PTHB_1&gt;0,catpn_1_PTHV_40&gt;0),(dagenperjaar1*VLOOKUP(B41,dagsoorttabel1,2,FALSE))/(((dagenperjaar1*VLOOKUP(B41,dagsoorttabel1,2,FALSE))-catfd_1_PTHV_40)/catpn_1_PTHB_1+catfd_1_PTHV_40/catpn_1_PTHV_40),0)</f>
        <v>0</v>
      </c>
      <c r="H41" s="71">
        <f>IF(AND(catpn_1_PTHB_1&gt;0,catpn_1_PTHV_40&gt;0),(catdw_1_PTHB_1*((dagenperjaar1*VLOOKUP(B41,dagsoorttabel1,2,FALSE))-catfd_1_PTHV_40)/catpn_1_PTHB_1+catdw_1_PTHV_40*catfd_1_PTHV_40/catpn_1_PTHV_40)/(((dagenperjaar1*VLOOKUP(B41,dagsoorttabel1,2,FALSE))-catfd_1_PTHV_40)/catpn_1_PTHB_1+catfd_1_PTHV_40/catpn_1_PTHV_40),0)</f>
        <v>0</v>
      </c>
      <c r="I41" s="56" t="s">
        <v>106</v>
      </c>
      <c r="J41" s="60">
        <f>IF(AND(catpn_1_PTHB_1&gt;0,catpn_1_PTHV_40&gt;0),(cattf_1_PTHB_1*((dagenperjaar1*VLOOKUP(B41,dagsoorttabel1,2,FALSE))-catfd_1_PTHV_40)/catpn_1_PTHB_1+cattf_1_PTHV_40*catfd_1_PTHV_40/catpn_1_PTHV_40)/(((dagenperjaar1*VLOOKUP(B41,dagsoorttabel1,2,FALSE))-catfd_1_PTHV_40)/catpn_1_PTHB_1+catfd_1_PTHV_40/catpn_1_PTHV_40),0)</f>
        <v>0</v>
      </c>
      <c r="K41" s="69">
        <f>IF(OR(ISBLANK(G41),G41=0),0,F41/G41)</f>
        <v>0</v>
      </c>
      <c r="L41" s="60">
        <f>J41*K41</f>
        <v>0</v>
      </c>
      <c r="M41" s="69">
        <f>K41*dagenperjaar1</f>
        <v>0</v>
      </c>
      <c r="N41" s="60">
        <f>M41*J41</f>
        <v>0</v>
      </c>
    </row>
    <row r="42" spans="1:14" x14ac:dyDescent="0.3">
      <c r="A42" s="56" t="s">
        <v>257</v>
      </c>
      <c r="B42" s="56" t="s">
        <v>11</v>
      </c>
      <c r="C42" s="56" t="s">
        <v>219</v>
      </c>
      <c r="D42" s="56" t="s">
        <v>258</v>
      </c>
      <c r="E42" s="69">
        <v>1172.5999999999999</v>
      </c>
      <c r="F42" s="69">
        <f>E42*VLOOKUP(B42,dagsoorttabel1,2,FALSE)</f>
        <v>1172.5999999999999</v>
      </c>
      <c r="G42" s="70">
        <f>IF(AND(catpn_1_PUHB_1&gt;0,catpn_1_PUHV_40&gt;0),(dagenperjaar1*VLOOKUP(B42,dagsoorttabel1,2,FALSE))/(((dagenperjaar1*VLOOKUP(B42,dagsoorttabel1,2,FALSE))-catfd_1_PUHV_40)/catpn_1_PUHB_1+catfd_1_PUHV_40/catpn_1_PUHV_40),0)</f>
        <v>0</v>
      </c>
      <c r="H42" s="71">
        <f>IF(AND(catpn_1_PUHB_1&gt;0,catpn_1_PUHV_40&gt;0),(catdw_1_PUHB_1*((dagenperjaar1*VLOOKUP(B42,dagsoorttabel1,2,FALSE))-catfd_1_PUHV_40)/catpn_1_PUHB_1+catdw_1_PUHV_40*catfd_1_PUHV_40/catpn_1_PUHV_40)/(((dagenperjaar1*VLOOKUP(B42,dagsoorttabel1,2,FALSE))-catfd_1_PUHV_40)/catpn_1_PUHB_1+catfd_1_PUHV_40/catpn_1_PUHV_40),0)</f>
        <v>0</v>
      </c>
      <c r="I42" s="56" t="s">
        <v>106</v>
      </c>
      <c r="J42" s="60">
        <f>IF(AND(catpn_1_PUHB_1&gt;0,catpn_1_PUHV_40&gt;0),(cattf_1_PUHB_1*((dagenperjaar1*VLOOKUP(B42,dagsoorttabel1,2,FALSE))-catfd_1_PUHV_40)/catpn_1_PUHB_1+cattf_1_PUHV_40*catfd_1_PUHV_40/catpn_1_PUHV_40)/(((dagenperjaar1*VLOOKUP(B42,dagsoorttabel1,2,FALSE))-catfd_1_PUHV_40)/catpn_1_PUHB_1+catfd_1_PUHV_40/catpn_1_PUHV_40),0)</f>
        <v>0</v>
      </c>
      <c r="K42" s="69">
        <f>IF(OR(ISBLANK(G42),G42=0),0,F42/G42)</f>
        <v>0</v>
      </c>
      <c r="L42" s="60">
        <f>J42*K42</f>
        <v>0</v>
      </c>
      <c r="M42" s="69">
        <f>K42*dagenperjaar1</f>
        <v>0</v>
      </c>
      <c r="N42" s="60">
        <f>M42*J42</f>
        <v>0</v>
      </c>
    </row>
    <row r="43" spans="1:14" x14ac:dyDescent="0.3">
      <c r="A43" s="56" t="s">
        <v>257</v>
      </c>
      <c r="B43" s="56" t="s">
        <v>18</v>
      </c>
      <c r="C43" s="56" t="s">
        <v>219</v>
      </c>
      <c r="D43" s="56" t="s">
        <v>258</v>
      </c>
      <c r="E43" s="69">
        <v>95</v>
      </c>
      <c r="F43" s="69">
        <f>E43*VLOOKUP(B43,dagsoorttabel1,2,FALSE)</f>
        <v>19</v>
      </c>
      <c r="G43" s="70">
        <f>IF(AND(catpn_1_PUHB_1&gt;0,catpn_1_PUHV_40&gt;0),(dagenperjaar1*VLOOKUP(B43,dagsoorttabel1,2,FALSE))/(((dagenperjaar1*VLOOKUP(B43,dagsoorttabel1,2,FALSE))-catfd_1_PUHV_40)/catpn_1_PUHB_1+catfd_1_PUHV_40/catpn_1_PUHV_40),0)</f>
        <v>0</v>
      </c>
      <c r="H43" s="71">
        <f>IF(AND(catpn_1_PUHB_1&gt;0,catpn_1_PUHV_40&gt;0),(catdw_1_PUHB_1*((dagenperjaar1*VLOOKUP(B43,dagsoorttabel1,2,FALSE))-catfd_1_PUHV_40)/catpn_1_PUHB_1+catdw_1_PUHV_40*catfd_1_PUHV_40/catpn_1_PUHV_40)/(((dagenperjaar1*VLOOKUP(B43,dagsoorttabel1,2,FALSE))-catfd_1_PUHV_40)/catpn_1_PUHB_1+catfd_1_PUHV_40/catpn_1_PUHV_40),0)</f>
        <v>0</v>
      </c>
      <c r="I43" s="56" t="s">
        <v>106</v>
      </c>
      <c r="J43" s="60">
        <f>IF(AND(catpn_1_PUHB_1&gt;0,catpn_1_PUHV_40&gt;0),(cattf_1_PUHB_1*((dagenperjaar1*VLOOKUP(B43,dagsoorttabel1,2,FALSE))-catfd_1_PUHV_40)/catpn_1_PUHB_1+cattf_1_PUHV_40*catfd_1_PUHV_40/catpn_1_PUHV_40)/(((dagenperjaar1*VLOOKUP(B43,dagsoorttabel1,2,FALSE))-catfd_1_PUHV_40)/catpn_1_PUHB_1+catfd_1_PUHV_40/catpn_1_PUHV_40),0)</f>
        <v>0</v>
      </c>
      <c r="K43" s="69">
        <f>IF(OR(ISBLANK(G43),G43=0),0,F43/G43)</f>
        <v>0</v>
      </c>
      <c r="L43" s="60">
        <f>J43*K43</f>
        <v>0</v>
      </c>
      <c r="M43" s="69">
        <f>K43*dagenperjaar1</f>
        <v>0</v>
      </c>
      <c r="N43" s="60">
        <f>M43*J43</f>
        <v>0</v>
      </c>
    </row>
    <row r="44" spans="1:14" x14ac:dyDescent="0.3">
      <c r="A44" s="56" t="s">
        <v>259</v>
      </c>
      <c r="B44" s="56" t="s">
        <v>11</v>
      </c>
      <c r="C44" s="56" t="s">
        <v>219</v>
      </c>
      <c r="D44" s="56" t="s">
        <v>260</v>
      </c>
      <c r="E44" s="69">
        <v>10</v>
      </c>
      <c r="F44" s="69">
        <f>E44*VLOOKUP(B44,dagsoorttabel1,2,FALSE)</f>
        <v>10</v>
      </c>
      <c r="G44" s="70">
        <f>IF(AND(catpn_1_RHB_1&gt;0,catpn_1_RHV_40&gt;0),(dagenperjaar1*VLOOKUP(B44,dagsoorttabel1,2,FALSE))/(((dagenperjaar1*VLOOKUP(B44,dagsoorttabel1,2,FALSE))-catfd_1_RHV_40)/catpn_1_RHB_1+catfd_1_RHV_40/catpn_1_RHV_40),0)</f>
        <v>0</v>
      </c>
      <c r="H44" s="71">
        <f>IF(AND(catpn_1_RHB_1&gt;0,catpn_1_RHV_40&gt;0),(catdw_1_RHB_1*((dagenperjaar1*VLOOKUP(B44,dagsoorttabel1,2,FALSE))-catfd_1_RHV_40)/catpn_1_RHB_1+catdw_1_RHV_40*catfd_1_RHV_40/catpn_1_RHV_40)/(((dagenperjaar1*VLOOKUP(B44,dagsoorttabel1,2,FALSE))-catfd_1_RHV_40)/catpn_1_RHB_1+catfd_1_RHV_40/catpn_1_RHV_40),0)</f>
        <v>0</v>
      </c>
      <c r="I44" s="56" t="s">
        <v>106</v>
      </c>
      <c r="J44" s="60">
        <f>IF(AND(catpn_1_RHB_1&gt;0,catpn_1_RHV_40&gt;0),(cattf_1_RHB_1*((dagenperjaar1*VLOOKUP(B44,dagsoorttabel1,2,FALSE))-catfd_1_RHV_40)/catpn_1_RHB_1+cattf_1_RHV_40*catfd_1_RHV_40/catpn_1_RHV_40)/(((dagenperjaar1*VLOOKUP(B44,dagsoorttabel1,2,FALSE))-catfd_1_RHV_40)/catpn_1_RHB_1+catfd_1_RHV_40/catpn_1_RHV_40),0)</f>
        <v>0</v>
      </c>
      <c r="K44" s="69">
        <f>IF(OR(ISBLANK(G44),G44=0),0,F44/G44)</f>
        <v>0</v>
      </c>
      <c r="L44" s="60">
        <f>J44*K44</f>
        <v>0</v>
      </c>
      <c r="M44" s="69">
        <f>K44*dagenperjaar1</f>
        <v>0</v>
      </c>
      <c r="N44" s="60">
        <f>M44*J44</f>
        <v>0</v>
      </c>
    </row>
    <row r="45" spans="1:14" x14ac:dyDescent="0.3">
      <c r="A45" s="56" t="s">
        <v>261</v>
      </c>
      <c r="B45" s="56" t="s">
        <v>13</v>
      </c>
      <c r="C45" s="56" t="s">
        <v>219</v>
      </c>
      <c r="D45" s="56" t="s">
        <v>262</v>
      </c>
      <c r="E45" s="69">
        <v>13.5</v>
      </c>
      <c r="F45" s="69">
        <f>E45*VLOOKUP(B45,dagsoorttabel1,2,FALSE)</f>
        <v>8.5050000000000008</v>
      </c>
      <c r="G45" s="70">
        <f>IF(AND(catpn_1_SHB_1&gt;0,catpn_1_SHV_42&gt;0),(dagenperjaar1*VLOOKUP(B45,dagsoorttabel1,2,FALSE))/(((dagenperjaar1*VLOOKUP(B45,dagsoorttabel1,2,FALSE))-catfd_1_SHV_42)/catpn_1_SHB_1+catfd_1_SHV_42/catpn_1_SHV_42),0)</f>
        <v>0</v>
      </c>
      <c r="H45" s="71">
        <f>IF(AND(catpn_1_SHB_1&gt;0,catpn_1_SHV_42&gt;0),(catdw_1_SHB_1*((dagenperjaar1*VLOOKUP(B45,dagsoorttabel1,2,FALSE))-catfd_1_SHV_42)/catpn_1_SHB_1+catdw_1_SHV_42*catfd_1_SHV_42/catpn_1_SHV_42)/(((dagenperjaar1*VLOOKUP(B45,dagsoorttabel1,2,FALSE))-catfd_1_SHV_42)/catpn_1_SHB_1+catfd_1_SHV_42/catpn_1_SHV_42),0)</f>
        <v>0</v>
      </c>
      <c r="I45" s="56" t="s">
        <v>106</v>
      </c>
      <c r="J45" s="60">
        <f>IF(AND(catpn_1_SHB_1&gt;0,catpn_1_SHV_42&gt;0),(cattf_1_SHB_1*((dagenperjaar1*VLOOKUP(B45,dagsoorttabel1,2,FALSE))-catfd_1_SHV_42)/catpn_1_SHB_1+cattf_1_SHV_42*catfd_1_SHV_42/catpn_1_SHV_42)/(((dagenperjaar1*VLOOKUP(B45,dagsoorttabel1,2,FALSE))-catfd_1_SHV_42)/catpn_1_SHB_1+catfd_1_SHV_42/catpn_1_SHV_42),0)</f>
        <v>0</v>
      </c>
      <c r="K45" s="69">
        <f>IF(OR(ISBLANK(G45),G45=0),0,F45/G45)</f>
        <v>0</v>
      </c>
      <c r="L45" s="60">
        <f>J45*K45</f>
        <v>0</v>
      </c>
      <c r="M45" s="69">
        <f>K45*dagenperjaar1</f>
        <v>0</v>
      </c>
      <c r="N45" s="60">
        <f>M45*J45</f>
        <v>0</v>
      </c>
    </row>
    <row r="46" spans="1:14" x14ac:dyDescent="0.3">
      <c r="A46" s="56" t="s">
        <v>261</v>
      </c>
      <c r="B46" s="56" t="s">
        <v>11</v>
      </c>
      <c r="C46" s="56" t="s">
        <v>219</v>
      </c>
      <c r="D46" s="56" t="s">
        <v>262</v>
      </c>
      <c r="E46" s="69">
        <v>522.1</v>
      </c>
      <c r="F46" s="69">
        <f>E46*VLOOKUP(B46,dagsoorttabel1,2,FALSE)</f>
        <v>522.1</v>
      </c>
      <c r="G46" s="70">
        <f>IF(AND(catpn_1_SHB_1&gt;0,catpn_1_SHV_40&gt;0),(dagenperjaar1*VLOOKUP(B46,dagsoorttabel1,2,FALSE))/(((dagenperjaar1*VLOOKUP(B46,dagsoorttabel1,2,FALSE))-catfd_1_SHV_40)/catpn_1_SHB_1+catfd_1_SHV_40/catpn_1_SHV_40),0)</f>
        <v>0</v>
      </c>
      <c r="H46" s="71">
        <f>IF(AND(catpn_1_SHB_1&gt;0,catpn_1_SHV_40&gt;0),(catdw_1_SHB_1*((dagenperjaar1*VLOOKUP(B46,dagsoorttabel1,2,FALSE))-catfd_1_SHV_40)/catpn_1_SHB_1+catdw_1_SHV_40*catfd_1_SHV_40/catpn_1_SHV_40)/(((dagenperjaar1*VLOOKUP(B46,dagsoorttabel1,2,FALSE))-catfd_1_SHV_40)/catpn_1_SHB_1+catfd_1_SHV_40/catpn_1_SHV_40),0)</f>
        <v>0</v>
      </c>
      <c r="I46" s="56" t="s">
        <v>106</v>
      </c>
      <c r="J46" s="60">
        <f>IF(AND(catpn_1_SHB_1&gt;0,catpn_1_SHV_40&gt;0),(cattf_1_SHB_1*((dagenperjaar1*VLOOKUP(B46,dagsoorttabel1,2,FALSE))-catfd_1_SHV_40)/catpn_1_SHB_1+cattf_1_SHV_40*catfd_1_SHV_40/catpn_1_SHV_40)/(((dagenperjaar1*VLOOKUP(B46,dagsoorttabel1,2,FALSE))-catfd_1_SHV_40)/catpn_1_SHB_1+catfd_1_SHV_40/catpn_1_SHV_40),0)</f>
        <v>0</v>
      </c>
      <c r="K46" s="69">
        <f>IF(OR(ISBLANK(G46),G46=0),0,F46/G46)</f>
        <v>0</v>
      </c>
      <c r="L46" s="60">
        <f>J46*K46</f>
        <v>0</v>
      </c>
      <c r="M46" s="69">
        <f>K46*dagenperjaar1</f>
        <v>0</v>
      </c>
      <c r="N46" s="60">
        <f>M46*J46</f>
        <v>0</v>
      </c>
    </row>
    <row r="47" spans="1:14" x14ac:dyDescent="0.3">
      <c r="A47" s="56" t="s">
        <v>261</v>
      </c>
      <c r="B47" s="56" t="s">
        <v>18</v>
      </c>
      <c r="C47" s="56" t="s">
        <v>219</v>
      </c>
      <c r="D47" s="56" t="s">
        <v>262</v>
      </c>
      <c r="E47" s="69">
        <v>10</v>
      </c>
      <c r="F47" s="69">
        <f>E47*VLOOKUP(B47,dagsoorttabel1,2,FALSE)</f>
        <v>2</v>
      </c>
      <c r="G47" s="70">
        <f>IF(AND(catpn_1_SHB_1&gt;0,catpn_1_SHV_40&gt;0),(dagenperjaar1*VLOOKUP(B47,dagsoorttabel1,2,FALSE))/(((dagenperjaar1*VLOOKUP(B47,dagsoorttabel1,2,FALSE))-catfd_1_SHV_40)/catpn_1_SHB_1+catfd_1_SHV_40/catpn_1_SHV_40),0)</f>
        <v>0</v>
      </c>
      <c r="H47" s="71">
        <f>IF(AND(catpn_1_SHB_1&gt;0,catpn_1_SHV_40&gt;0),(catdw_1_SHB_1*((dagenperjaar1*VLOOKUP(B47,dagsoorttabel1,2,FALSE))-catfd_1_SHV_40)/catpn_1_SHB_1+catdw_1_SHV_40*catfd_1_SHV_40/catpn_1_SHV_40)/(((dagenperjaar1*VLOOKUP(B47,dagsoorttabel1,2,FALSE))-catfd_1_SHV_40)/catpn_1_SHB_1+catfd_1_SHV_40/catpn_1_SHV_40),0)</f>
        <v>0</v>
      </c>
      <c r="I47" s="56" t="s">
        <v>106</v>
      </c>
      <c r="J47" s="60">
        <f>IF(AND(catpn_1_SHB_1&gt;0,catpn_1_SHV_40&gt;0),(cattf_1_SHB_1*((dagenperjaar1*VLOOKUP(B47,dagsoorttabel1,2,FALSE))-catfd_1_SHV_40)/catpn_1_SHB_1+cattf_1_SHV_40*catfd_1_SHV_40/catpn_1_SHV_40)/(((dagenperjaar1*VLOOKUP(B47,dagsoorttabel1,2,FALSE))-catfd_1_SHV_40)/catpn_1_SHB_1+catfd_1_SHV_40/catpn_1_SHV_40),0)</f>
        <v>0</v>
      </c>
      <c r="K47" s="69">
        <f>IF(OR(ISBLANK(G47),G47=0),0,F47/G47)</f>
        <v>0</v>
      </c>
      <c r="L47" s="60">
        <f>J47*K47</f>
        <v>0</v>
      </c>
      <c r="M47" s="69">
        <f>K47*dagenperjaar1</f>
        <v>0</v>
      </c>
      <c r="N47" s="60">
        <f>M47*J47</f>
        <v>0</v>
      </c>
    </row>
    <row r="48" spans="1:14" x14ac:dyDescent="0.3">
      <c r="A48" s="56" t="s">
        <v>263</v>
      </c>
      <c r="B48" s="56" t="s">
        <v>11</v>
      </c>
      <c r="C48" s="56" t="s">
        <v>219</v>
      </c>
      <c r="D48" s="56" t="s">
        <v>264</v>
      </c>
      <c r="E48" s="69">
        <v>134.9</v>
      </c>
      <c r="F48" s="69">
        <f>E48*VLOOKUP(B48,dagsoorttabel1,2,FALSE)</f>
        <v>134.9</v>
      </c>
      <c r="G48" s="70">
        <f>catpn_1_SHB_1</f>
        <v>0</v>
      </c>
      <c r="H48" s="71">
        <f>catdw_1_SHB_1</f>
        <v>0</v>
      </c>
      <c r="I48" s="56" t="s">
        <v>106</v>
      </c>
      <c r="J48" s="60">
        <f>cattf_1_SHB_1</f>
        <v>0</v>
      </c>
      <c r="K48" s="69">
        <f>IF(OR(ISBLANK(G48),G48=0),0,F48/G48)</f>
        <v>0</v>
      </c>
      <c r="L48" s="60">
        <f>J48*K48</f>
        <v>0</v>
      </c>
      <c r="M48" s="69">
        <f>K48*dagenperjaar1</f>
        <v>0</v>
      </c>
      <c r="N48" s="60">
        <f>M48*J48</f>
        <v>0</v>
      </c>
    </row>
    <row r="49" spans="1:14" x14ac:dyDescent="0.3">
      <c r="A49" s="56" t="s">
        <v>263</v>
      </c>
      <c r="B49" s="56" t="s">
        <v>9</v>
      </c>
      <c r="C49" s="56" t="s">
        <v>219</v>
      </c>
      <c r="D49" s="56" t="s">
        <v>264</v>
      </c>
      <c r="E49" s="69">
        <v>101</v>
      </c>
      <c r="F49" s="69">
        <f>E49*VLOOKUP(B49,dagsoorttabel1,2,FALSE)</f>
        <v>202</v>
      </c>
      <c r="G49" s="70">
        <f>catpn_1_SHB_1</f>
        <v>0</v>
      </c>
      <c r="H49" s="71">
        <f>catdw_1_SHB_1</f>
        <v>0</v>
      </c>
      <c r="I49" s="56" t="s">
        <v>106</v>
      </c>
      <c r="J49" s="60">
        <f>cattf_1_SHB_1</f>
        <v>0</v>
      </c>
      <c r="K49" s="69">
        <f>IF(OR(ISBLANK(G49),G49=0),0,F49/G49)</f>
        <v>0</v>
      </c>
      <c r="L49" s="60">
        <f>J49*K49</f>
        <v>0</v>
      </c>
      <c r="M49" s="69">
        <f>K49*dagenperjaar1</f>
        <v>0</v>
      </c>
      <c r="N49" s="60">
        <f>M49*J49</f>
        <v>0</v>
      </c>
    </row>
    <row r="50" spans="1:14" x14ac:dyDescent="0.3">
      <c r="A50" s="56" t="s">
        <v>265</v>
      </c>
      <c r="B50" s="56" t="s">
        <v>13</v>
      </c>
      <c r="C50" s="56" t="s">
        <v>219</v>
      </c>
      <c r="D50" s="56" t="s">
        <v>266</v>
      </c>
      <c r="E50" s="69">
        <v>16</v>
      </c>
      <c r="F50" s="69">
        <f>E50*VLOOKUP(B50,dagsoorttabel1,2,FALSE)</f>
        <v>10.08</v>
      </c>
      <c r="G50" s="70">
        <f>IF(AND(catpn_1_THB_1&gt;0,catpn_1_THV_42&gt;0),(dagenperjaar1*VLOOKUP(B50,dagsoorttabel1,2,FALSE))/(((dagenperjaar1*VLOOKUP(B50,dagsoorttabel1,2,FALSE))-catfd_1_THV_42)/catpn_1_THB_1+catfd_1_THV_42/catpn_1_THV_42),0)</f>
        <v>0</v>
      </c>
      <c r="H50" s="71">
        <f>IF(AND(catpn_1_THB_1&gt;0,catpn_1_THV_42&gt;0),(catdw_1_THB_1*((dagenperjaar1*VLOOKUP(B50,dagsoorttabel1,2,FALSE))-catfd_1_THV_42)/catpn_1_THB_1+catdw_1_THV_42*catfd_1_THV_42/catpn_1_THV_42)/(((dagenperjaar1*VLOOKUP(B50,dagsoorttabel1,2,FALSE))-catfd_1_THV_42)/catpn_1_THB_1+catfd_1_THV_42/catpn_1_THV_42),0)</f>
        <v>0</v>
      </c>
      <c r="I50" s="56" t="s">
        <v>106</v>
      </c>
      <c r="J50" s="60">
        <f>IF(AND(catpn_1_THB_1&gt;0,catpn_1_THV_42&gt;0),(cattf_1_THB_1*((dagenperjaar1*VLOOKUP(B50,dagsoorttabel1,2,FALSE))-catfd_1_THV_42)/catpn_1_THB_1+cattf_1_THV_42*catfd_1_THV_42/catpn_1_THV_42)/(((dagenperjaar1*VLOOKUP(B50,dagsoorttabel1,2,FALSE))-catfd_1_THV_42)/catpn_1_THB_1+catfd_1_THV_42/catpn_1_THV_42),0)</f>
        <v>0</v>
      </c>
      <c r="K50" s="69">
        <f>IF(OR(ISBLANK(G50),G50=0),0,F50/G50)</f>
        <v>0</v>
      </c>
      <c r="L50" s="60">
        <f>J50*K50</f>
        <v>0</v>
      </c>
      <c r="M50" s="69">
        <f>K50*dagenperjaar1</f>
        <v>0</v>
      </c>
      <c r="N50" s="60">
        <f>M50*J50</f>
        <v>0</v>
      </c>
    </row>
    <row r="51" spans="1:14" x14ac:dyDescent="0.3">
      <c r="A51" s="56" t="s">
        <v>265</v>
      </c>
      <c r="B51" s="56" t="s">
        <v>11</v>
      </c>
      <c r="C51" s="56" t="s">
        <v>219</v>
      </c>
      <c r="D51" s="56" t="s">
        <v>266</v>
      </c>
      <c r="E51" s="69">
        <v>508.55</v>
      </c>
      <c r="F51" s="69">
        <f>E51*VLOOKUP(B51,dagsoorttabel1,2,FALSE)</f>
        <v>508.55</v>
      </c>
      <c r="G51" s="70">
        <f>IF(AND(catpn_1_THB_1&gt;0,catpn_1_THV_40&gt;0),(dagenperjaar1*VLOOKUP(B51,dagsoorttabel1,2,FALSE))/(((dagenperjaar1*VLOOKUP(B51,dagsoorttabel1,2,FALSE))-catfd_1_THV_40)/catpn_1_THB_1+catfd_1_THV_40/catpn_1_THV_40),0)</f>
        <v>0</v>
      </c>
      <c r="H51" s="71">
        <f>IF(AND(catpn_1_THB_1&gt;0,catpn_1_THV_40&gt;0),(catdw_1_THB_1*((dagenperjaar1*VLOOKUP(B51,dagsoorttabel1,2,FALSE))-catfd_1_THV_40)/catpn_1_THB_1+catdw_1_THV_40*catfd_1_THV_40/catpn_1_THV_40)/(((dagenperjaar1*VLOOKUP(B51,dagsoorttabel1,2,FALSE))-catfd_1_THV_40)/catpn_1_THB_1+catfd_1_THV_40/catpn_1_THV_40),0)</f>
        <v>0</v>
      </c>
      <c r="I51" s="56" t="s">
        <v>106</v>
      </c>
      <c r="J51" s="60">
        <f>IF(AND(catpn_1_THB_1&gt;0,catpn_1_THV_40&gt;0),(cattf_1_THB_1*((dagenperjaar1*VLOOKUP(B51,dagsoorttabel1,2,FALSE))-catfd_1_THV_40)/catpn_1_THB_1+cattf_1_THV_40*catfd_1_THV_40/catpn_1_THV_40)/(((dagenperjaar1*VLOOKUP(B51,dagsoorttabel1,2,FALSE))-catfd_1_THV_40)/catpn_1_THB_1+catfd_1_THV_40/catpn_1_THV_40),0)</f>
        <v>0</v>
      </c>
      <c r="K51" s="69">
        <f>IF(OR(ISBLANK(G51),G51=0),0,F51/G51)</f>
        <v>0</v>
      </c>
      <c r="L51" s="60">
        <f>J51*K51</f>
        <v>0</v>
      </c>
      <c r="M51" s="69">
        <f>K51*dagenperjaar1</f>
        <v>0</v>
      </c>
      <c r="N51" s="60">
        <f>M51*J51</f>
        <v>0</v>
      </c>
    </row>
    <row r="52" spans="1:14" x14ac:dyDescent="0.3">
      <c r="A52" s="56" t="s">
        <v>267</v>
      </c>
      <c r="B52" s="56" t="s">
        <v>13</v>
      </c>
      <c r="C52" s="56" t="s">
        <v>219</v>
      </c>
      <c r="D52" s="56" t="s">
        <v>268</v>
      </c>
      <c r="E52" s="69">
        <v>145</v>
      </c>
      <c r="F52" s="69">
        <f>E52*VLOOKUP(B52,dagsoorttabel1,2,FALSE)</f>
        <v>91.35</v>
      </c>
      <c r="G52" s="70">
        <f>IF(AND(catpn_1_VHB_1&gt;0,catpn_1_VHV_42&gt;0),(dagenperjaar1*VLOOKUP(B52,dagsoorttabel1,2,FALSE))/(((dagenperjaar1*VLOOKUP(B52,dagsoorttabel1,2,FALSE))-catfd_1_VHV_42)/catpn_1_VHB_1+catfd_1_VHV_42/catpn_1_VHV_42),0)</f>
        <v>0</v>
      </c>
      <c r="H52" s="71">
        <f>IF(AND(catpn_1_VHB_1&gt;0,catpn_1_VHV_42&gt;0),(catdw_1_VHB_1*((dagenperjaar1*VLOOKUP(B52,dagsoorttabel1,2,FALSE))-catfd_1_VHV_42)/catpn_1_VHB_1+catdw_1_VHV_42*catfd_1_VHV_42/catpn_1_VHV_42)/(((dagenperjaar1*VLOOKUP(B52,dagsoorttabel1,2,FALSE))-catfd_1_VHV_42)/catpn_1_VHB_1+catfd_1_VHV_42/catpn_1_VHV_42),0)</f>
        <v>0</v>
      </c>
      <c r="I52" s="56" t="s">
        <v>106</v>
      </c>
      <c r="J52" s="60">
        <f>IF(AND(catpn_1_VHB_1&gt;0,catpn_1_VHV_42&gt;0),(cattf_1_VHB_1*((dagenperjaar1*VLOOKUP(B52,dagsoorttabel1,2,FALSE))-catfd_1_VHV_42)/catpn_1_VHB_1+cattf_1_VHV_42*catfd_1_VHV_42/catpn_1_VHV_42)/(((dagenperjaar1*VLOOKUP(B52,dagsoorttabel1,2,FALSE))-catfd_1_VHV_42)/catpn_1_VHB_1+catfd_1_VHV_42/catpn_1_VHV_42),0)</f>
        <v>0</v>
      </c>
      <c r="K52" s="69">
        <f>IF(OR(ISBLANK(G52),G52=0),0,F52/G52)</f>
        <v>0</v>
      </c>
      <c r="L52" s="60">
        <f>J52*K52</f>
        <v>0</v>
      </c>
      <c r="M52" s="69">
        <f>K52*dagenperjaar1</f>
        <v>0</v>
      </c>
      <c r="N52" s="60">
        <f>M52*J52</f>
        <v>0</v>
      </c>
    </row>
    <row r="53" spans="1:14" x14ac:dyDescent="0.3">
      <c r="A53" s="56" t="s">
        <v>267</v>
      </c>
      <c r="B53" s="56" t="s">
        <v>11</v>
      </c>
      <c r="C53" s="56" t="s">
        <v>219</v>
      </c>
      <c r="D53" s="56" t="s">
        <v>268</v>
      </c>
      <c r="E53" s="69">
        <v>5136.0200000000004</v>
      </c>
      <c r="F53" s="69">
        <f>E53*VLOOKUP(B53,dagsoorttabel1,2,FALSE)</f>
        <v>5136.0200000000004</v>
      </c>
      <c r="G53" s="70">
        <f>IF(AND(catpn_1_VHB_1&gt;0,catpn_1_VHV_40&gt;0),(dagenperjaar1*VLOOKUP(B53,dagsoorttabel1,2,FALSE))/(((dagenperjaar1*VLOOKUP(B53,dagsoorttabel1,2,FALSE))-catfd_1_VHV_40)/catpn_1_VHB_1+catfd_1_VHV_40/catpn_1_VHV_40),0)</f>
        <v>0</v>
      </c>
      <c r="H53" s="71">
        <f>IF(AND(catpn_1_VHB_1&gt;0,catpn_1_VHV_40&gt;0),(catdw_1_VHB_1*((dagenperjaar1*VLOOKUP(B53,dagsoorttabel1,2,FALSE))-catfd_1_VHV_40)/catpn_1_VHB_1+catdw_1_VHV_40*catfd_1_VHV_40/catpn_1_VHV_40)/(((dagenperjaar1*VLOOKUP(B53,dagsoorttabel1,2,FALSE))-catfd_1_VHV_40)/catpn_1_VHB_1+catfd_1_VHV_40/catpn_1_VHV_40),0)</f>
        <v>0</v>
      </c>
      <c r="I53" s="56" t="s">
        <v>106</v>
      </c>
      <c r="J53" s="60">
        <f>IF(AND(catpn_1_VHB_1&gt;0,catpn_1_VHV_40&gt;0),(cattf_1_VHB_1*((dagenperjaar1*VLOOKUP(B53,dagsoorttabel1,2,FALSE))-catfd_1_VHV_40)/catpn_1_VHB_1+cattf_1_VHV_40*catfd_1_VHV_40/catpn_1_VHV_40)/(((dagenperjaar1*VLOOKUP(B53,dagsoorttabel1,2,FALSE))-catfd_1_VHV_40)/catpn_1_VHB_1+catfd_1_VHV_40/catpn_1_VHV_40),0)</f>
        <v>0</v>
      </c>
      <c r="K53" s="69">
        <f>IF(OR(ISBLANK(G53),G53=0),0,F53/G53)</f>
        <v>0</v>
      </c>
      <c r="L53" s="60">
        <f>J53*K53</f>
        <v>0</v>
      </c>
      <c r="M53" s="69">
        <f>K53*dagenperjaar1</f>
        <v>0</v>
      </c>
      <c r="N53" s="60">
        <f>M53*J53</f>
        <v>0</v>
      </c>
    </row>
    <row r="54" spans="1:14" x14ac:dyDescent="0.3">
      <c r="A54" s="56" t="s">
        <v>269</v>
      </c>
      <c r="B54" s="56" t="s">
        <v>11</v>
      </c>
      <c r="C54" s="56" t="s">
        <v>219</v>
      </c>
      <c r="D54" s="56" t="s">
        <v>270</v>
      </c>
      <c r="E54" s="69">
        <v>38</v>
      </c>
      <c r="F54" s="69">
        <f>E54*VLOOKUP(B54,dagsoorttabel1,2,FALSE)</f>
        <v>38</v>
      </c>
      <c r="G54" s="70">
        <f>IF(AND(catpn_1_VZB_1&gt;0,catpn_1_VZV_40&gt;0),(dagenperjaar1*VLOOKUP(B54,dagsoorttabel1,2,FALSE))/(((dagenperjaar1*VLOOKUP(B54,dagsoorttabel1,2,FALSE))-catfd_1_VZV_40)/catpn_1_VZB_1+catfd_1_VZV_40/catpn_1_VZV_40),0)</f>
        <v>0</v>
      </c>
      <c r="H54" s="71">
        <f>IF(AND(catpn_1_VZB_1&gt;0,catpn_1_VZV_40&gt;0),(catdw_1_VZB_1*((dagenperjaar1*VLOOKUP(B54,dagsoorttabel1,2,FALSE))-catfd_1_VZV_40)/catpn_1_VZB_1+catdw_1_VZV_40*catfd_1_VZV_40/catpn_1_VZV_40)/(((dagenperjaar1*VLOOKUP(B54,dagsoorttabel1,2,FALSE))-catfd_1_VZV_40)/catpn_1_VZB_1+catfd_1_VZV_40/catpn_1_VZV_40),0)</f>
        <v>0</v>
      </c>
      <c r="I54" s="56" t="s">
        <v>106</v>
      </c>
      <c r="J54" s="60">
        <f>IF(AND(catpn_1_VZB_1&gt;0,catpn_1_VZV_40&gt;0),(cattf_1_VZB_1*((dagenperjaar1*VLOOKUP(B54,dagsoorttabel1,2,FALSE))-catfd_1_VZV_40)/catpn_1_VZB_1+cattf_1_VZV_40*catfd_1_VZV_40/catpn_1_VZV_40)/(((dagenperjaar1*VLOOKUP(B54,dagsoorttabel1,2,FALSE))-catfd_1_VZV_40)/catpn_1_VZB_1+catfd_1_VZV_40/catpn_1_VZV_40),0)</f>
        <v>0</v>
      </c>
      <c r="K54" s="69">
        <f>IF(OR(ISBLANK(G54),G54=0),0,F54/G54)</f>
        <v>0</v>
      </c>
      <c r="L54" s="60">
        <f>J54*K54</f>
        <v>0</v>
      </c>
      <c r="M54" s="69">
        <f>K54*dagenperjaar1</f>
        <v>0</v>
      </c>
      <c r="N54" s="60">
        <f>M54*J54</f>
        <v>0</v>
      </c>
    </row>
    <row r="55" spans="1:14" x14ac:dyDescent="0.3">
      <c r="A55" s="61" t="s">
        <v>271</v>
      </c>
      <c r="B55" s="61" t="s">
        <v>18</v>
      </c>
      <c r="C55" s="61" t="s">
        <v>272</v>
      </c>
      <c r="D55" s="61" t="s">
        <v>273</v>
      </c>
      <c r="E55" s="72">
        <v>1</v>
      </c>
      <c r="F55" s="72">
        <f>E55*VLOOKUP(B55,dagsoorttabel1,2,FALSE)</f>
        <v>0.2</v>
      </c>
      <c r="G55" s="73"/>
      <c r="H55" s="64"/>
      <c r="I55" s="61" t="s">
        <v>274</v>
      </c>
      <c r="J55" s="65">
        <f>Tariefopbouw1</f>
        <v>0</v>
      </c>
      <c r="K55" s="72">
        <f>F55*G55/60</f>
        <v>0</v>
      </c>
      <c r="L55" s="65">
        <f>J55*K55</f>
        <v>0</v>
      </c>
      <c r="M55" s="72">
        <f>K55*dagenperjaar1</f>
        <v>0</v>
      </c>
      <c r="N55" s="65">
        <f>M55*J55</f>
        <v>0</v>
      </c>
    </row>
    <row r="56" spans="1:14" x14ac:dyDescent="0.3">
      <c r="A56" s="75" t="s">
        <v>275</v>
      </c>
      <c r="B56" s="76"/>
      <c r="C56" s="76"/>
      <c r="D56" s="76"/>
      <c r="E56" s="76"/>
      <c r="F56" s="76"/>
      <c r="G56" s="76"/>
      <c r="H56" s="76"/>
      <c r="I56" s="76"/>
      <c r="J56" s="76"/>
      <c r="K56" s="77">
        <f>SUM(K6:K55)</f>
        <v>0</v>
      </c>
      <c r="L56" s="78">
        <f>SUM(L6:L55)</f>
        <v>0</v>
      </c>
      <c r="M56" s="77">
        <f>SUM(M6:M55)</f>
        <v>0</v>
      </c>
      <c r="N56" s="79">
        <f>SUM(N6:N55)</f>
        <v>0</v>
      </c>
    </row>
    <row r="57" spans="1:14" x14ac:dyDescent="0.3">
      <c r="A57" s="80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81"/>
    </row>
    <row r="58" spans="1:14" x14ac:dyDescent="0.3">
      <c r="A58" s="75" t="s">
        <v>276</v>
      </c>
      <c r="B58" s="76"/>
      <c r="C58" s="76"/>
      <c r="D58" s="76"/>
      <c r="E58" s="76"/>
      <c r="F58" s="76"/>
      <c r="G58" s="76"/>
      <c r="H58" s="76"/>
      <c r="I58" s="76"/>
      <c r="J58" s="78">
        <f>IF(urenjaar1&gt;0,SUMIF(M6:M55,"&gt;0",N6:N55)/urenjaar1,0)</f>
        <v>0</v>
      </c>
      <c r="K58" s="76"/>
      <c r="L58" s="76"/>
      <c r="M58" s="76"/>
      <c r="N58" s="81"/>
    </row>
    <row r="59" spans="1:14" x14ac:dyDescent="0.3">
      <c r="A59" s="80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81"/>
    </row>
    <row r="61" spans="1:14" x14ac:dyDescent="0.3">
      <c r="A61" s="75" t="s">
        <v>277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7">
        <f>urenjaar1</f>
        <v>0</v>
      </c>
      <c r="N61" s="78">
        <f>prijsjaar1</f>
        <v>0</v>
      </c>
    </row>
  </sheetData>
  <sheetProtection algorithmName="SHA-512" hashValue="63pXHoYVC5ktDO1gQIw19qrCzdxivzepyYu3/DJXpeGwKyiZgxAAu22gZiS1QZ8ddbVk+qgDQHRlCWJaLWFsfA==" saltValue="Q4IJrBnqUmtH++fiaA+Nkg==" spinCount="100000" sheet="1" objects="1" scenarios="1" autoFilter="0"/>
  <pageMargins left="0.7" right="0.7" top="0.75" bottom="0.75" header="0.3" footer="0.3"/>
  <pageSetup paperSize="9" scale="70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9329-BE07-4CED-B322-BF884A2A8C83}">
  <dimension ref="A1:U734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4" x14ac:dyDescent="0.3"/>
  <cols>
    <col min="1" max="1" width="8.77734375" customWidth="1"/>
    <col min="2" max="3" width="7.77734375" customWidth="1"/>
    <col min="4" max="4" width="10.77734375" customWidth="1"/>
    <col min="5" max="5" width="25.77734375" customWidth="1"/>
    <col min="6" max="6" width="11.77734375" customWidth="1"/>
    <col min="7" max="7" width="7.77734375" customWidth="1"/>
    <col min="8" max="8" width="6.77734375" customWidth="1"/>
    <col min="9" max="10" width="8.77734375" customWidth="1"/>
    <col min="11" max="12" width="10.77734375" customWidth="1"/>
    <col min="13" max="14" width="11.77734375" customWidth="1"/>
    <col min="15" max="15" width="9.77734375" customWidth="1"/>
    <col min="16" max="19" width="11.77734375" customWidth="1"/>
    <col min="20" max="20" width="12.77734375" customWidth="1"/>
    <col min="21" max="21" width="14.77734375" customWidth="1"/>
  </cols>
  <sheetData>
    <row r="1" spans="1:21" x14ac:dyDescent="0.3">
      <c r="A1" s="1" t="str">
        <f>CONCATENATE("Bijlage F.3: ",tabeltype," ruimten werkdag")</f>
        <v>Bijlage F.3: Invultabel ruimten werkdag</v>
      </c>
    </row>
    <row r="3" spans="1:21" ht="43.2" x14ac:dyDescent="0.3">
      <c r="A3" s="82" t="s">
        <v>278</v>
      </c>
      <c r="B3" s="44" t="s">
        <v>279</v>
      </c>
      <c r="C3" s="44" t="s">
        <v>280</v>
      </c>
      <c r="D3" s="44" t="s">
        <v>281</v>
      </c>
      <c r="E3" s="44" t="s">
        <v>282</v>
      </c>
      <c r="F3" s="44" t="s">
        <v>283</v>
      </c>
      <c r="G3" s="44" t="s">
        <v>210</v>
      </c>
      <c r="H3" s="44" t="s">
        <v>7</v>
      </c>
      <c r="I3" s="44" t="s">
        <v>284</v>
      </c>
      <c r="J3" s="44" t="s">
        <v>285</v>
      </c>
      <c r="K3" s="44" t="s">
        <v>212</v>
      </c>
      <c r="L3" s="44" t="s">
        <v>213</v>
      </c>
      <c r="M3" s="44" t="s">
        <v>98</v>
      </c>
      <c r="N3" s="44" t="s">
        <v>99</v>
      </c>
      <c r="O3" s="44" t="s">
        <v>100</v>
      </c>
      <c r="P3" s="44" t="s">
        <v>101</v>
      </c>
      <c r="Q3" s="44" t="s">
        <v>214</v>
      </c>
      <c r="R3" s="44" t="s">
        <v>286</v>
      </c>
      <c r="S3" s="44" t="s">
        <v>215</v>
      </c>
      <c r="T3" s="44" t="s">
        <v>216</v>
      </c>
      <c r="U3" s="83" t="s">
        <v>217</v>
      </c>
    </row>
    <row r="4" spans="1:21" x14ac:dyDescent="0.3">
      <c r="A4" s="84" t="s">
        <v>287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74"/>
    </row>
    <row r="5" spans="1:21" x14ac:dyDescent="0.3">
      <c r="A5" s="85" t="s">
        <v>288</v>
      </c>
      <c r="B5" s="86" t="s">
        <v>289</v>
      </c>
      <c r="C5" s="86" t="s">
        <v>290</v>
      </c>
      <c r="D5" s="86" t="s">
        <v>291</v>
      </c>
      <c r="E5" s="87" t="s">
        <v>292</v>
      </c>
      <c r="F5" s="86" t="s">
        <v>293</v>
      </c>
      <c r="G5" s="86" t="s">
        <v>231</v>
      </c>
      <c r="H5" s="86" t="s">
        <v>11</v>
      </c>
      <c r="I5" s="86" t="s">
        <v>219</v>
      </c>
      <c r="J5" s="86"/>
      <c r="K5" s="88">
        <v>10</v>
      </c>
      <c r="L5" s="88">
        <f>K5*VLOOKUP(H5,dagsoorttabel1,2,FALSE)</f>
        <v>10</v>
      </c>
      <c r="M5" s="89">
        <f>prodnorm29</f>
        <v>0</v>
      </c>
      <c r="N5" s="90">
        <f>dagwerk29</f>
        <v>0</v>
      </c>
      <c r="O5" s="86" t="s">
        <v>106</v>
      </c>
      <c r="P5" s="91">
        <f>uurtarief29</f>
        <v>0</v>
      </c>
      <c r="Q5" s="88" t="e">
        <f>IF(ISBLANK(M5),0,L5/M5)</f>
        <v>#DIV/0!</v>
      </c>
      <c r="R5" s="88" t="e">
        <f>IF(ISBLANK(M5),0,Q5*N5)</f>
        <v>#DIV/0!</v>
      </c>
      <c r="S5" s="91" t="e">
        <f>P5*Q5</f>
        <v>#DIV/0!</v>
      </c>
      <c r="T5" s="88" t="e">
        <f>Q5*dagenperjaar1</f>
        <v>#DIV/0!</v>
      </c>
      <c r="U5" s="92" t="e">
        <f>T5*P5</f>
        <v>#DIV/0!</v>
      </c>
    </row>
    <row r="6" spans="1:21" x14ac:dyDescent="0.3">
      <c r="A6" s="93" t="s">
        <v>288</v>
      </c>
      <c r="B6" s="94" t="s">
        <v>289</v>
      </c>
      <c r="C6" s="94" t="s">
        <v>290</v>
      </c>
      <c r="D6" s="94" t="s">
        <v>294</v>
      </c>
      <c r="E6" s="95" t="s">
        <v>295</v>
      </c>
      <c r="F6" s="94" t="s">
        <v>296</v>
      </c>
      <c r="G6" s="94" t="s">
        <v>241</v>
      </c>
      <c r="H6" s="94" t="s">
        <v>11</v>
      </c>
      <c r="I6" s="94" t="s">
        <v>219</v>
      </c>
      <c r="J6" s="94"/>
      <c r="K6" s="96">
        <v>56</v>
      </c>
      <c r="L6" s="96">
        <f>K6*VLOOKUP(H6,dagsoorttabel1,2,FALSE)</f>
        <v>56</v>
      </c>
      <c r="M6" s="97">
        <f>prodnorm38</f>
        <v>0</v>
      </c>
      <c r="N6" s="41">
        <f>dagwerk38</f>
        <v>0</v>
      </c>
      <c r="O6" s="94" t="s">
        <v>106</v>
      </c>
      <c r="P6" s="26">
        <f>uurtarief38</f>
        <v>0</v>
      </c>
      <c r="Q6" s="96" t="e">
        <f>IF(ISBLANK(M6),0,L6/M6)</f>
        <v>#DIV/0!</v>
      </c>
      <c r="R6" s="96" t="e">
        <f>IF(ISBLANK(M6),0,Q6*N6)</f>
        <v>#DIV/0!</v>
      </c>
      <c r="S6" s="26" t="e">
        <f>P6*Q6</f>
        <v>#DIV/0!</v>
      </c>
      <c r="T6" s="96" t="e">
        <f>Q6*dagenperjaar1</f>
        <v>#DIV/0!</v>
      </c>
      <c r="U6" s="27" t="e">
        <f>T6*P6</f>
        <v>#DIV/0!</v>
      </c>
    </row>
    <row r="7" spans="1:21" x14ac:dyDescent="0.3">
      <c r="A7" s="93" t="s">
        <v>288</v>
      </c>
      <c r="B7" s="94" t="s">
        <v>289</v>
      </c>
      <c r="C7" s="94" t="s">
        <v>290</v>
      </c>
      <c r="D7" s="94" t="s">
        <v>297</v>
      </c>
      <c r="E7" s="95" t="s">
        <v>298</v>
      </c>
      <c r="F7" s="94" t="s">
        <v>299</v>
      </c>
      <c r="G7" s="94" t="s">
        <v>223</v>
      </c>
      <c r="H7" s="94" t="s">
        <v>18</v>
      </c>
      <c r="I7" s="94" t="s">
        <v>219</v>
      </c>
      <c r="J7" s="94"/>
      <c r="K7" s="96">
        <v>20.5</v>
      </c>
      <c r="L7" s="96">
        <f>K7*VLOOKUP(H7,dagsoorttabel1,2,FALSE)</f>
        <v>4.1000000000000005</v>
      </c>
      <c r="M7" s="97">
        <f>prodnorm19</f>
        <v>0</v>
      </c>
      <c r="N7" s="41">
        <f>dagwerk19</f>
        <v>0</v>
      </c>
      <c r="O7" s="94" t="s">
        <v>106</v>
      </c>
      <c r="P7" s="26">
        <f>uurtarief19</f>
        <v>0</v>
      </c>
      <c r="Q7" s="96" t="e">
        <f>IF(ISBLANK(M7),0,L7/M7)</f>
        <v>#DIV/0!</v>
      </c>
      <c r="R7" s="96" t="e">
        <f>IF(ISBLANK(M7),0,Q7*N7)</f>
        <v>#DIV/0!</v>
      </c>
      <c r="S7" s="26" t="e">
        <f>P7*Q7</f>
        <v>#DIV/0!</v>
      </c>
      <c r="T7" s="96" t="e">
        <f>Q7*dagenperjaar1</f>
        <v>#DIV/0!</v>
      </c>
      <c r="U7" s="27" t="e">
        <f>T7*P7</f>
        <v>#DIV/0!</v>
      </c>
    </row>
    <row r="8" spans="1:21" x14ac:dyDescent="0.3">
      <c r="A8" s="93" t="s">
        <v>288</v>
      </c>
      <c r="B8" s="94" t="s">
        <v>289</v>
      </c>
      <c r="C8" s="94" t="s">
        <v>290</v>
      </c>
      <c r="D8" s="94" t="s">
        <v>300</v>
      </c>
      <c r="E8" s="95" t="s">
        <v>301</v>
      </c>
      <c r="F8" s="94" t="s">
        <v>299</v>
      </c>
      <c r="G8" s="94" t="s">
        <v>241</v>
      </c>
      <c r="H8" s="94" t="s">
        <v>11</v>
      </c>
      <c r="I8" s="94" t="s">
        <v>219</v>
      </c>
      <c r="J8" s="94"/>
      <c r="K8" s="96">
        <v>56</v>
      </c>
      <c r="L8" s="96">
        <f>K8*VLOOKUP(H8,dagsoorttabel1,2,FALSE)</f>
        <v>56</v>
      </c>
      <c r="M8" s="97">
        <f>prodnorm38</f>
        <v>0</v>
      </c>
      <c r="N8" s="41">
        <f>dagwerk38</f>
        <v>0</v>
      </c>
      <c r="O8" s="94" t="s">
        <v>106</v>
      </c>
      <c r="P8" s="26">
        <f>uurtarief38</f>
        <v>0</v>
      </c>
      <c r="Q8" s="96" t="e">
        <f>IF(ISBLANK(M8),0,L8/M8)</f>
        <v>#DIV/0!</v>
      </c>
      <c r="R8" s="96" t="e">
        <f>IF(ISBLANK(M8),0,Q8*N8)</f>
        <v>#DIV/0!</v>
      </c>
      <c r="S8" s="26" t="e">
        <f>P8*Q8</f>
        <v>#DIV/0!</v>
      </c>
      <c r="T8" s="96" t="e">
        <f>Q8*dagenperjaar1</f>
        <v>#DIV/0!</v>
      </c>
      <c r="U8" s="27" t="e">
        <f>T8*P8</f>
        <v>#DIV/0!</v>
      </c>
    </row>
    <row r="9" spans="1:21" x14ac:dyDescent="0.3">
      <c r="A9" s="93" t="s">
        <v>288</v>
      </c>
      <c r="B9" s="94" t="s">
        <v>289</v>
      </c>
      <c r="C9" s="94" t="s">
        <v>290</v>
      </c>
      <c r="D9" s="94" t="s">
        <v>302</v>
      </c>
      <c r="E9" s="95" t="s">
        <v>303</v>
      </c>
      <c r="F9" s="94" t="s">
        <v>304</v>
      </c>
      <c r="G9" s="94" t="s">
        <v>265</v>
      </c>
      <c r="H9" s="94" t="s">
        <v>11</v>
      </c>
      <c r="I9" s="94" t="s">
        <v>219</v>
      </c>
      <c r="J9" s="94"/>
      <c r="K9" s="96">
        <v>13</v>
      </c>
      <c r="L9" s="96">
        <f>K9*VLOOKUP(H9,dagsoorttabel1,2,FALSE)</f>
        <v>13</v>
      </c>
      <c r="M9" s="97">
        <f>prodnorm61</f>
        <v>0</v>
      </c>
      <c r="N9" s="41">
        <f>dagwerk61</f>
        <v>0</v>
      </c>
      <c r="O9" s="94" t="s">
        <v>106</v>
      </c>
      <c r="P9" s="26">
        <f>uurtarief61</f>
        <v>0</v>
      </c>
      <c r="Q9" s="96" t="e">
        <f>IF(ISBLANK(M9),0,L9/M9)</f>
        <v>#DIV/0!</v>
      </c>
      <c r="R9" s="96" t="e">
        <f>IF(ISBLANK(M9),0,Q9*N9)</f>
        <v>#DIV/0!</v>
      </c>
      <c r="S9" s="26" t="e">
        <f>P9*Q9</f>
        <v>#DIV/0!</v>
      </c>
      <c r="T9" s="96" t="e">
        <f>Q9*dagenperjaar1</f>
        <v>#DIV/0!</v>
      </c>
      <c r="U9" s="27" t="e">
        <f>T9*P9</f>
        <v>#DIV/0!</v>
      </c>
    </row>
    <row r="10" spans="1:21" x14ac:dyDescent="0.3">
      <c r="A10" s="93" t="s">
        <v>288</v>
      </c>
      <c r="B10" s="94" t="s">
        <v>289</v>
      </c>
      <c r="C10" s="94" t="s">
        <v>290</v>
      </c>
      <c r="D10" s="94" t="s">
        <v>305</v>
      </c>
      <c r="E10" s="95" t="s">
        <v>306</v>
      </c>
      <c r="F10" s="94" t="s">
        <v>296</v>
      </c>
      <c r="G10" s="94" t="s">
        <v>267</v>
      </c>
      <c r="H10" s="94" t="s">
        <v>11</v>
      </c>
      <c r="I10" s="94" t="s">
        <v>219</v>
      </c>
      <c r="J10" s="94"/>
      <c r="K10" s="96">
        <v>19</v>
      </c>
      <c r="L10" s="96">
        <f>K10*VLOOKUP(H10,dagsoorttabel1,2,FALSE)</f>
        <v>19</v>
      </c>
      <c r="M10" s="97">
        <f>prodnorm63</f>
        <v>0</v>
      </c>
      <c r="N10" s="41">
        <f>dagwerk63</f>
        <v>0</v>
      </c>
      <c r="O10" s="94" t="s">
        <v>106</v>
      </c>
      <c r="P10" s="26">
        <f>uurtarief63</f>
        <v>0</v>
      </c>
      <c r="Q10" s="96" t="e">
        <f>IF(ISBLANK(M10),0,L10/M10)</f>
        <v>#DIV/0!</v>
      </c>
      <c r="R10" s="96" t="e">
        <f>IF(ISBLANK(M10),0,Q10*N10)</f>
        <v>#DIV/0!</v>
      </c>
      <c r="S10" s="26" t="e">
        <f>P10*Q10</f>
        <v>#DIV/0!</v>
      </c>
      <c r="T10" s="96" t="e">
        <f>Q10*dagenperjaar1</f>
        <v>#DIV/0!</v>
      </c>
      <c r="U10" s="27" t="e">
        <f>T10*P10</f>
        <v>#DIV/0!</v>
      </c>
    </row>
    <row r="11" spans="1:21" x14ac:dyDescent="0.3">
      <c r="A11" s="93" t="s">
        <v>288</v>
      </c>
      <c r="B11" s="94" t="s">
        <v>289</v>
      </c>
      <c r="C11" s="94" t="s">
        <v>290</v>
      </c>
      <c r="D11" s="94" t="s">
        <v>307</v>
      </c>
      <c r="E11" s="95" t="s">
        <v>308</v>
      </c>
      <c r="F11" s="94" t="s">
        <v>299</v>
      </c>
      <c r="G11" s="94" t="s">
        <v>223</v>
      </c>
      <c r="H11" s="94" t="s">
        <v>18</v>
      </c>
      <c r="I11" s="94" t="s">
        <v>219</v>
      </c>
      <c r="J11" s="94"/>
      <c r="K11" s="96">
        <v>20</v>
      </c>
      <c r="L11" s="96">
        <f>K11*VLOOKUP(H11,dagsoorttabel1,2,FALSE)</f>
        <v>4</v>
      </c>
      <c r="M11" s="97">
        <f>prodnorm19</f>
        <v>0</v>
      </c>
      <c r="N11" s="41">
        <f>dagwerk19</f>
        <v>0</v>
      </c>
      <c r="O11" s="94" t="s">
        <v>106</v>
      </c>
      <c r="P11" s="26">
        <f>uurtarief19</f>
        <v>0</v>
      </c>
      <c r="Q11" s="96" t="e">
        <f>IF(ISBLANK(M11),0,L11/M11)</f>
        <v>#DIV/0!</v>
      </c>
      <c r="R11" s="96" t="e">
        <f>IF(ISBLANK(M11),0,Q11*N11)</f>
        <v>#DIV/0!</v>
      </c>
      <c r="S11" s="26" t="e">
        <f>P11*Q11</f>
        <v>#DIV/0!</v>
      </c>
      <c r="T11" s="96" t="e">
        <f>Q11*dagenperjaar1</f>
        <v>#DIV/0!</v>
      </c>
      <c r="U11" s="27" t="e">
        <f>T11*P11</f>
        <v>#DIV/0!</v>
      </c>
    </row>
    <row r="12" spans="1:21" x14ac:dyDescent="0.3">
      <c r="A12" s="93" t="s">
        <v>288</v>
      </c>
      <c r="B12" s="94" t="s">
        <v>289</v>
      </c>
      <c r="C12" s="94" t="s">
        <v>290</v>
      </c>
      <c r="D12" s="94" t="s">
        <v>309</v>
      </c>
      <c r="E12" s="95" t="s">
        <v>308</v>
      </c>
      <c r="F12" s="94" t="s">
        <v>299</v>
      </c>
      <c r="G12" s="94" t="s">
        <v>223</v>
      </c>
      <c r="H12" s="94" t="s">
        <v>18</v>
      </c>
      <c r="I12" s="94" t="s">
        <v>219</v>
      </c>
      <c r="J12" s="94"/>
      <c r="K12" s="96">
        <v>20</v>
      </c>
      <c r="L12" s="96">
        <f>K12*VLOOKUP(H12,dagsoorttabel1,2,FALSE)</f>
        <v>4</v>
      </c>
      <c r="M12" s="97">
        <f>prodnorm19</f>
        <v>0</v>
      </c>
      <c r="N12" s="41">
        <f>dagwerk19</f>
        <v>0</v>
      </c>
      <c r="O12" s="94" t="s">
        <v>106</v>
      </c>
      <c r="P12" s="26">
        <f>uurtarief19</f>
        <v>0</v>
      </c>
      <c r="Q12" s="96" t="e">
        <f>IF(ISBLANK(M12),0,L12/M12)</f>
        <v>#DIV/0!</v>
      </c>
      <c r="R12" s="96" t="e">
        <f>IF(ISBLANK(M12),0,Q12*N12)</f>
        <v>#DIV/0!</v>
      </c>
      <c r="S12" s="26" t="e">
        <f>P12*Q12</f>
        <v>#DIV/0!</v>
      </c>
      <c r="T12" s="96" t="e">
        <f>Q12*dagenperjaar1</f>
        <v>#DIV/0!</v>
      </c>
      <c r="U12" s="27" t="e">
        <f>T12*P12</f>
        <v>#DIV/0!</v>
      </c>
    </row>
    <row r="13" spans="1:21" x14ac:dyDescent="0.3">
      <c r="A13" s="93" t="s">
        <v>288</v>
      </c>
      <c r="B13" s="94" t="s">
        <v>289</v>
      </c>
      <c r="C13" s="94" t="s">
        <v>290</v>
      </c>
      <c r="D13" s="94" t="s">
        <v>310</v>
      </c>
      <c r="E13" s="95" t="s">
        <v>311</v>
      </c>
      <c r="F13" s="94" t="s">
        <v>296</v>
      </c>
      <c r="G13" s="94" t="s">
        <v>267</v>
      </c>
      <c r="H13" s="94" t="s">
        <v>11</v>
      </c>
      <c r="I13" s="94" t="s">
        <v>219</v>
      </c>
      <c r="J13" s="94"/>
      <c r="K13" s="96">
        <v>130</v>
      </c>
      <c r="L13" s="96">
        <f>K13*VLOOKUP(H13,dagsoorttabel1,2,FALSE)</f>
        <v>130</v>
      </c>
      <c r="M13" s="97">
        <f>prodnorm63</f>
        <v>0</v>
      </c>
      <c r="N13" s="41">
        <f>dagwerk63</f>
        <v>0</v>
      </c>
      <c r="O13" s="94" t="s">
        <v>106</v>
      </c>
      <c r="P13" s="26">
        <f>uurtarief63</f>
        <v>0</v>
      </c>
      <c r="Q13" s="96" t="e">
        <f>IF(ISBLANK(M13),0,L13/M13)</f>
        <v>#DIV/0!</v>
      </c>
      <c r="R13" s="96" t="e">
        <f>IF(ISBLANK(M13),0,Q13*N13)</f>
        <v>#DIV/0!</v>
      </c>
      <c r="S13" s="26" t="e">
        <f>P13*Q13</f>
        <v>#DIV/0!</v>
      </c>
      <c r="T13" s="96" t="e">
        <f>Q13*dagenperjaar1</f>
        <v>#DIV/0!</v>
      </c>
      <c r="U13" s="27" t="e">
        <f>T13*P13</f>
        <v>#DIV/0!</v>
      </c>
    </row>
    <row r="14" spans="1:21" x14ac:dyDescent="0.3">
      <c r="A14" s="93" t="s">
        <v>288</v>
      </c>
      <c r="B14" s="94" t="s">
        <v>289</v>
      </c>
      <c r="C14" s="94" t="s">
        <v>290</v>
      </c>
      <c r="D14" s="94" t="s">
        <v>312</v>
      </c>
      <c r="E14" s="95" t="s">
        <v>313</v>
      </c>
      <c r="F14" s="94" t="s">
        <v>296</v>
      </c>
      <c r="G14" s="94" t="s">
        <v>267</v>
      </c>
      <c r="H14" s="94" t="s">
        <v>11</v>
      </c>
      <c r="I14" s="94" t="s">
        <v>219</v>
      </c>
      <c r="J14" s="94"/>
      <c r="K14" s="96">
        <v>255</v>
      </c>
      <c r="L14" s="96">
        <f>K14*VLOOKUP(H14,dagsoorttabel1,2,FALSE)</f>
        <v>255</v>
      </c>
      <c r="M14" s="97">
        <f>prodnorm63</f>
        <v>0</v>
      </c>
      <c r="N14" s="41">
        <f>dagwerk63</f>
        <v>0</v>
      </c>
      <c r="O14" s="94" t="s">
        <v>106</v>
      </c>
      <c r="P14" s="26">
        <f>uurtarief63</f>
        <v>0</v>
      </c>
      <c r="Q14" s="96" t="e">
        <f>IF(ISBLANK(M14),0,L14/M14)</f>
        <v>#DIV/0!</v>
      </c>
      <c r="R14" s="96" t="e">
        <f>IF(ISBLANK(M14),0,Q14*N14)</f>
        <v>#DIV/0!</v>
      </c>
      <c r="S14" s="26" t="e">
        <f>P14*Q14</f>
        <v>#DIV/0!</v>
      </c>
      <c r="T14" s="96" t="e">
        <f>Q14*dagenperjaar1</f>
        <v>#DIV/0!</v>
      </c>
      <c r="U14" s="27" t="e">
        <f>T14*P14</f>
        <v>#DIV/0!</v>
      </c>
    </row>
    <row r="15" spans="1:21" x14ac:dyDescent="0.3">
      <c r="A15" s="93" t="s">
        <v>288</v>
      </c>
      <c r="B15" s="94" t="s">
        <v>289</v>
      </c>
      <c r="C15" s="94" t="s">
        <v>290</v>
      </c>
      <c r="D15" s="94" t="s">
        <v>314</v>
      </c>
      <c r="E15" s="95" t="s">
        <v>315</v>
      </c>
      <c r="F15" s="94" t="s">
        <v>316</v>
      </c>
      <c r="G15" s="94" t="s">
        <v>261</v>
      </c>
      <c r="H15" s="94" t="s">
        <v>11</v>
      </c>
      <c r="I15" s="94" t="s">
        <v>219</v>
      </c>
      <c r="J15" s="94"/>
      <c r="K15" s="96">
        <v>6.5</v>
      </c>
      <c r="L15" s="96">
        <f>K15*VLOOKUP(H15,dagsoorttabel1,2,FALSE)</f>
        <v>6.5</v>
      </c>
      <c r="M15" s="97">
        <f>prodnorm56</f>
        <v>0</v>
      </c>
      <c r="N15" s="41">
        <f>dagwerk56</f>
        <v>0</v>
      </c>
      <c r="O15" s="94" t="s">
        <v>106</v>
      </c>
      <c r="P15" s="26">
        <f>uurtarief56</f>
        <v>0</v>
      </c>
      <c r="Q15" s="96" t="e">
        <f>IF(ISBLANK(M15),0,L15/M15)</f>
        <v>#DIV/0!</v>
      </c>
      <c r="R15" s="96" t="e">
        <f>IF(ISBLANK(M15),0,Q15*N15)</f>
        <v>#DIV/0!</v>
      </c>
      <c r="S15" s="26" t="e">
        <f>P15*Q15</f>
        <v>#DIV/0!</v>
      </c>
      <c r="T15" s="96" t="e">
        <f>Q15*dagenperjaar1</f>
        <v>#DIV/0!</v>
      </c>
      <c r="U15" s="27" t="e">
        <f>T15*P15</f>
        <v>#DIV/0!</v>
      </c>
    </row>
    <row r="16" spans="1:21" x14ac:dyDescent="0.3">
      <c r="A16" s="93" t="s">
        <v>288</v>
      </c>
      <c r="B16" s="94" t="s">
        <v>289</v>
      </c>
      <c r="C16" s="94" t="s">
        <v>290</v>
      </c>
      <c r="D16" s="94" t="s">
        <v>314</v>
      </c>
      <c r="E16" s="95" t="s">
        <v>315</v>
      </c>
      <c r="F16" s="94" t="s">
        <v>316</v>
      </c>
      <c r="G16" s="94" t="s">
        <v>263</v>
      </c>
      <c r="H16" s="94" t="s">
        <v>11</v>
      </c>
      <c r="I16" s="94" t="s">
        <v>219</v>
      </c>
      <c r="J16" s="94"/>
      <c r="K16" s="96">
        <v>6.5</v>
      </c>
      <c r="L16" s="96">
        <f>K16*VLOOKUP(H16,dagsoorttabel1,2,FALSE)</f>
        <v>6.5</v>
      </c>
      <c r="M16" s="97">
        <f>prodnorm58</f>
        <v>0</v>
      </c>
      <c r="N16" s="41">
        <f>dagwerk58</f>
        <v>0</v>
      </c>
      <c r="O16" s="94" t="s">
        <v>106</v>
      </c>
      <c r="P16" s="26">
        <f>uurtarief58</f>
        <v>0</v>
      </c>
      <c r="Q16" s="96" t="e">
        <f>IF(ISBLANK(M16),0,L16/M16)</f>
        <v>#DIV/0!</v>
      </c>
      <c r="R16" s="96" t="e">
        <f>IF(ISBLANK(M16),0,Q16*N16)</f>
        <v>#DIV/0!</v>
      </c>
      <c r="S16" s="26" t="e">
        <f>P16*Q16</f>
        <v>#DIV/0!</v>
      </c>
      <c r="T16" s="96" t="e">
        <f>Q16*dagenperjaar1</f>
        <v>#DIV/0!</v>
      </c>
      <c r="U16" s="27" t="e">
        <f>T16*P16</f>
        <v>#DIV/0!</v>
      </c>
    </row>
    <row r="17" spans="1:21" x14ac:dyDescent="0.3">
      <c r="A17" s="93" t="s">
        <v>288</v>
      </c>
      <c r="B17" s="94" t="s">
        <v>289</v>
      </c>
      <c r="C17" s="94" t="s">
        <v>290</v>
      </c>
      <c r="D17" s="94" t="s">
        <v>317</v>
      </c>
      <c r="E17" s="95" t="s">
        <v>315</v>
      </c>
      <c r="F17" s="94" t="s">
        <v>316</v>
      </c>
      <c r="G17" s="94" t="s">
        <v>261</v>
      </c>
      <c r="H17" s="94" t="s">
        <v>11</v>
      </c>
      <c r="I17" s="94" t="s">
        <v>219</v>
      </c>
      <c r="J17" s="94"/>
      <c r="K17" s="96">
        <v>6.5</v>
      </c>
      <c r="L17" s="96">
        <f>K17*VLOOKUP(H17,dagsoorttabel1,2,FALSE)</f>
        <v>6.5</v>
      </c>
      <c r="M17" s="97">
        <f>prodnorm56</f>
        <v>0</v>
      </c>
      <c r="N17" s="41">
        <f>dagwerk56</f>
        <v>0</v>
      </c>
      <c r="O17" s="94" t="s">
        <v>106</v>
      </c>
      <c r="P17" s="26">
        <f>uurtarief56</f>
        <v>0</v>
      </c>
      <c r="Q17" s="96" t="e">
        <f>IF(ISBLANK(M17),0,L17/M17)</f>
        <v>#DIV/0!</v>
      </c>
      <c r="R17" s="96" t="e">
        <f>IF(ISBLANK(M17),0,Q17*N17)</f>
        <v>#DIV/0!</v>
      </c>
      <c r="S17" s="26" t="e">
        <f>P17*Q17</f>
        <v>#DIV/0!</v>
      </c>
      <c r="T17" s="96" t="e">
        <f>Q17*dagenperjaar1</f>
        <v>#DIV/0!</v>
      </c>
      <c r="U17" s="27" t="e">
        <f>T17*P17</f>
        <v>#DIV/0!</v>
      </c>
    </row>
    <row r="18" spans="1:21" x14ac:dyDescent="0.3">
      <c r="A18" s="93" t="s">
        <v>288</v>
      </c>
      <c r="B18" s="94" t="s">
        <v>289</v>
      </c>
      <c r="C18" s="94" t="s">
        <v>290</v>
      </c>
      <c r="D18" s="94" t="s">
        <v>317</v>
      </c>
      <c r="E18" s="95" t="s">
        <v>315</v>
      </c>
      <c r="F18" s="94" t="s">
        <v>316</v>
      </c>
      <c r="G18" s="94" t="s">
        <v>263</v>
      </c>
      <c r="H18" s="94" t="s">
        <v>11</v>
      </c>
      <c r="I18" s="94" t="s">
        <v>219</v>
      </c>
      <c r="J18" s="94"/>
      <c r="K18" s="96">
        <v>6.5</v>
      </c>
      <c r="L18" s="96">
        <f>K18*VLOOKUP(H18,dagsoorttabel1,2,FALSE)</f>
        <v>6.5</v>
      </c>
      <c r="M18" s="97">
        <f>prodnorm58</f>
        <v>0</v>
      </c>
      <c r="N18" s="41">
        <f>dagwerk58</f>
        <v>0</v>
      </c>
      <c r="O18" s="94" t="s">
        <v>106</v>
      </c>
      <c r="P18" s="26">
        <f>uurtarief58</f>
        <v>0</v>
      </c>
      <c r="Q18" s="96" t="e">
        <f>IF(ISBLANK(M18),0,L18/M18)</f>
        <v>#DIV/0!</v>
      </c>
      <c r="R18" s="96" t="e">
        <f>IF(ISBLANK(M18),0,Q18*N18)</f>
        <v>#DIV/0!</v>
      </c>
      <c r="S18" s="26" t="e">
        <f>P18*Q18</f>
        <v>#DIV/0!</v>
      </c>
      <c r="T18" s="96" t="e">
        <f>Q18*dagenperjaar1</f>
        <v>#DIV/0!</v>
      </c>
      <c r="U18" s="27" t="e">
        <f>T18*P18</f>
        <v>#DIV/0!</v>
      </c>
    </row>
    <row r="19" spans="1:21" x14ac:dyDescent="0.3">
      <c r="A19" s="93" t="s">
        <v>288</v>
      </c>
      <c r="B19" s="94" t="s">
        <v>289</v>
      </c>
      <c r="C19" s="94" t="s">
        <v>290</v>
      </c>
      <c r="D19" s="94" t="s">
        <v>318</v>
      </c>
      <c r="E19" s="95" t="s">
        <v>319</v>
      </c>
      <c r="F19" s="94" t="s">
        <v>320</v>
      </c>
      <c r="G19" s="94" t="s">
        <v>253</v>
      </c>
      <c r="H19" s="94" t="s">
        <v>11</v>
      </c>
      <c r="I19" s="94" t="s">
        <v>219</v>
      </c>
      <c r="J19" s="94"/>
      <c r="K19" s="96">
        <v>81.75</v>
      </c>
      <c r="L19" s="96">
        <f>K19*VLOOKUP(H19,dagsoorttabel1,2,FALSE)</f>
        <v>81.75</v>
      </c>
      <c r="M19" s="97">
        <f>prodnorm49</f>
        <v>0</v>
      </c>
      <c r="N19" s="41">
        <f>dagwerk49</f>
        <v>0</v>
      </c>
      <c r="O19" s="94" t="s">
        <v>106</v>
      </c>
      <c r="P19" s="26">
        <f>uurtarief49</f>
        <v>0</v>
      </c>
      <c r="Q19" s="96" t="e">
        <f>IF(ISBLANK(M19),0,L19/M19)</f>
        <v>#DIV/0!</v>
      </c>
      <c r="R19" s="96" t="e">
        <f>IF(ISBLANK(M19),0,Q19*N19)</f>
        <v>#DIV/0!</v>
      </c>
      <c r="S19" s="26" t="e">
        <f>P19*Q19</f>
        <v>#DIV/0!</v>
      </c>
      <c r="T19" s="96" t="e">
        <f>Q19*dagenperjaar1</f>
        <v>#DIV/0!</v>
      </c>
      <c r="U19" s="27" t="e">
        <f>T19*P19</f>
        <v>#DIV/0!</v>
      </c>
    </row>
    <row r="20" spans="1:21" x14ac:dyDescent="0.3">
      <c r="A20" s="93" t="s">
        <v>288</v>
      </c>
      <c r="B20" s="94" t="s">
        <v>289</v>
      </c>
      <c r="C20" s="94" t="s">
        <v>290</v>
      </c>
      <c r="D20" s="94" t="s">
        <v>321</v>
      </c>
      <c r="E20" s="95" t="s">
        <v>322</v>
      </c>
      <c r="F20" s="94" t="s">
        <v>320</v>
      </c>
      <c r="G20" s="94" t="s">
        <v>241</v>
      </c>
      <c r="H20" s="94" t="s">
        <v>11</v>
      </c>
      <c r="I20" s="94" t="s">
        <v>219</v>
      </c>
      <c r="J20" s="94"/>
      <c r="K20" s="96">
        <v>63.5</v>
      </c>
      <c r="L20" s="96">
        <f>K20*VLOOKUP(H20,dagsoorttabel1,2,FALSE)</f>
        <v>63.5</v>
      </c>
      <c r="M20" s="97">
        <f>prodnorm38</f>
        <v>0</v>
      </c>
      <c r="N20" s="41">
        <f>dagwerk38</f>
        <v>0</v>
      </c>
      <c r="O20" s="94" t="s">
        <v>106</v>
      </c>
      <c r="P20" s="26">
        <f>uurtarief38</f>
        <v>0</v>
      </c>
      <c r="Q20" s="96" t="e">
        <f>IF(ISBLANK(M20),0,L20/M20)</f>
        <v>#DIV/0!</v>
      </c>
      <c r="R20" s="96" t="e">
        <f>IF(ISBLANK(M20),0,Q20*N20)</f>
        <v>#DIV/0!</v>
      </c>
      <c r="S20" s="26" t="e">
        <f>P20*Q20</f>
        <v>#DIV/0!</v>
      </c>
      <c r="T20" s="96" t="e">
        <f>Q20*dagenperjaar1</f>
        <v>#DIV/0!</v>
      </c>
      <c r="U20" s="27" t="e">
        <f>T20*P20</f>
        <v>#DIV/0!</v>
      </c>
    </row>
    <row r="21" spans="1:21" x14ac:dyDescent="0.3">
      <c r="A21" s="93" t="s">
        <v>288</v>
      </c>
      <c r="B21" s="94" t="s">
        <v>289</v>
      </c>
      <c r="C21" s="94" t="s">
        <v>290</v>
      </c>
      <c r="D21" s="94" t="s">
        <v>323</v>
      </c>
      <c r="E21" s="95" t="s">
        <v>324</v>
      </c>
      <c r="F21" s="94" t="s">
        <v>296</v>
      </c>
      <c r="G21" s="94" t="s">
        <v>241</v>
      </c>
      <c r="H21" s="94" t="s">
        <v>11</v>
      </c>
      <c r="I21" s="94" t="s">
        <v>219</v>
      </c>
      <c r="J21" s="94"/>
      <c r="K21" s="96">
        <v>89</v>
      </c>
      <c r="L21" s="96">
        <f>K21*VLOOKUP(H21,dagsoorttabel1,2,FALSE)</f>
        <v>89</v>
      </c>
      <c r="M21" s="97">
        <f>prodnorm38</f>
        <v>0</v>
      </c>
      <c r="N21" s="41">
        <f>dagwerk38</f>
        <v>0</v>
      </c>
      <c r="O21" s="94" t="s">
        <v>106</v>
      </c>
      <c r="P21" s="26">
        <f>uurtarief38</f>
        <v>0</v>
      </c>
      <c r="Q21" s="96" t="e">
        <f>IF(ISBLANK(M21),0,L21/M21)</f>
        <v>#DIV/0!</v>
      </c>
      <c r="R21" s="96" t="e">
        <f>IF(ISBLANK(M21),0,Q21*N21)</f>
        <v>#DIV/0!</v>
      </c>
      <c r="S21" s="26" t="e">
        <f>P21*Q21</f>
        <v>#DIV/0!</v>
      </c>
      <c r="T21" s="96" t="e">
        <f>Q21*dagenperjaar1</f>
        <v>#DIV/0!</v>
      </c>
      <c r="U21" s="27" t="e">
        <f>T21*P21</f>
        <v>#DIV/0!</v>
      </c>
    </row>
    <row r="22" spans="1:21" x14ac:dyDescent="0.3">
      <c r="A22" s="93" t="s">
        <v>288</v>
      </c>
      <c r="B22" s="94" t="s">
        <v>289</v>
      </c>
      <c r="C22" s="94" t="s">
        <v>290</v>
      </c>
      <c r="D22" s="94" t="s">
        <v>325</v>
      </c>
      <c r="E22" s="95" t="s">
        <v>326</v>
      </c>
      <c r="F22" s="94" t="s">
        <v>296</v>
      </c>
      <c r="G22" s="94" t="s">
        <v>241</v>
      </c>
      <c r="H22" s="94" t="s">
        <v>11</v>
      </c>
      <c r="I22" s="94" t="s">
        <v>219</v>
      </c>
      <c r="J22" s="94"/>
      <c r="K22" s="96">
        <v>4.5999999999999996</v>
      </c>
      <c r="L22" s="96">
        <f>K22*VLOOKUP(H22,dagsoorttabel1,2,FALSE)</f>
        <v>4.5999999999999996</v>
      </c>
      <c r="M22" s="97">
        <f>prodnorm38</f>
        <v>0</v>
      </c>
      <c r="N22" s="41">
        <f>dagwerk38</f>
        <v>0</v>
      </c>
      <c r="O22" s="94" t="s">
        <v>106</v>
      </c>
      <c r="P22" s="26">
        <f>uurtarief38</f>
        <v>0</v>
      </c>
      <c r="Q22" s="96" t="e">
        <f>IF(ISBLANK(M22),0,L22/M22)</f>
        <v>#DIV/0!</v>
      </c>
      <c r="R22" s="96" t="e">
        <f>IF(ISBLANK(M22),0,Q22*N22)</f>
        <v>#DIV/0!</v>
      </c>
      <c r="S22" s="26" t="e">
        <f>P22*Q22</f>
        <v>#DIV/0!</v>
      </c>
      <c r="T22" s="96" t="e">
        <f>Q22*dagenperjaar1</f>
        <v>#DIV/0!</v>
      </c>
      <c r="U22" s="27" t="e">
        <f>T22*P22</f>
        <v>#DIV/0!</v>
      </c>
    </row>
    <row r="23" spans="1:21" x14ac:dyDescent="0.3">
      <c r="A23" s="93" t="s">
        <v>288</v>
      </c>
      <c r="B23" s="94" t="s">
        <v>289</v>
      </c>
      <c r="C23" s="94" t="s">
        <v>290</v>
      </c>
      <c r="D23" s="94" t="s">
        <v>327</v>
      </c>
      <c r="E23" s="95" t="s">
        <v>324</v>
      </c>
      <c r="F23" s="94" t="s">
        <v>296</v>
      </c>
      <c r="G23" s="94" t="s">
        <v>241</v>
      </c>
      <c r="H23" s="94" t="s">
        <v>11</v>
      </c>
      <c r="I23" s="94" t="s">
        <v>219</v>
      </c>
      <c r="J23" s="94"/>
      <c r="K23" s="96">
        <v>6.4</v>
      </c>
      <c r="L23" s="96">
        <f>K23*VLOOKUP(H23,dagsoorttabel1,2,FALSE)</f>
        <v>6.4</v>
      </c>
      <c r="M23" s="97">
        <f>prodnorm38</f>
        <v>0</v>
      </c>
      <c r="N23" s="41">
        <f>dagwerk38</f>
        <v>0</v>
      </c>
      <c r="O23" s="94" t="s">
        <v>106</v>
      </c>
      <c r="P23" s="26">
        <f>uurtarief38</f>
        <v>0</v>
      </c>
      <c r="Q23" s="96" t="e">
        <f>IF(ISBLANK(M23),0,L23/M23)</f>
        <v>#DIV/0!</v>
      </c>
      <c r="R23" s="96" t="e">
        <f>IF(ISBLANK(M23),0,Q23*N23)</f>
        <v>#DIV/0!</v>
      </c>
      <c r="S23" s="26" t="e">
        <f>P23*Q23</f>
        <v>#DIV/0!</v>
      </c>
      <c r="T23" s="96" t="e">
        <f>Q23*dagenperjaar1</f>
        <v>#DIV/0!</v>
      </c>
      <c r="U23" s="27" t="e">
        <f>T23*P23</f>
        <v>#DIV/0!</v>
      </c>
    </row>
    <row r="24" spans="1:21" x14ac:dyDescent="0.3">
      <c r="A24" s="93" t="s">
        <v>288</v>
      </c>
      <c r="B24" s="94" t="s">
        <v>289</v>
      </c>
      <c r="C24" s="94" t="s">
        <v>290</v>
      </c>
      <c r="D24" s="94" t="s">
        <v>328</v>
      </c>
      <c r="E24" s="95" t="s">
        <v>329</v>
      </c>
      <c r="F24" s="94" t="s">
        <v>330</v>
      </c>
      <c r="G24" s="94" t="s">
        <v>218</v>
      </c>
      <c r="H24" s="94" t="s">
        <v>11</v>
      </c>
      <c r="I24" s="94" t="s">
        <v>219</v>
      </c>
      <c r="J24" s="94"/>
      <c r="K24" s="96">
        <v>428.48999999999995</v>
      </c>
      <c r="L24" s="96">
        <f>K24*VLOOKUP(H24,dagsoorttabel1,2,FALSE)</f>
        <v>428.48999999999995</v>
      </c>
      <c r="M24" s="97">
        <f>prodnorm16</f>
        <v>0</v>
      </c>
      <c r="N24" s="41">
        <f>dagwerk16</f>
        <v>0</v>
      </c>
      <c r="O24" s="94" t="s">
        <v>106</v>
      </c>
      <c r="P24" s="26">
        <f>uurtarief16</f>
        <v>0</v>
      </c>
      <c r="Q24" s="96" t="e">
        <f>IF(ISBLANK(M24),0,L24/M24)</f>
        <v>#DIV/0!</v>
      </c>
      <c r="R24" s="96" t="e">
        <f>IF(ISBLANK(M24),0,Q24*N24)</f>
        <v>#DIV/0!</v>
      </c>
      <c r="S24" s="26" t="e">
        <f>P24*Q24</f>
        <v>#DIV/0!</v>
      </c>
      <c r="T24" s="96" t="e">
        <f>Q24*dagenperjaar1</f>
        <v>#DIV/0!</v>
      </c>
      <c r="U24" s="27" t="e">
        <f>T24*P24</f>
        <v>#DIV/0!</v>
      </c>
    </row>
    <row r="25" spans="1:21" x14ac:dyDescent="0.3">
      <c r="A25" s="93" t="s">
        <v>288</v>
      </c>
      <c r="B25" s="94" t="s">
        <v>289</v>
      </c>
      <c r="C25" s="94" t="s">
        <v>290</v>
      </c>
      <c r="D25" s="94" t="s">
        <v>331</v>
      </c>
      <c r="E25" s="95" t="s">
        <v>332</v>
      </c>
      <c r="F25" s="94" t="s">
        <v>330</v>
      </c>
      <c r="G25" s="94" t="s">
        <v>218</v>
      </c>
      <c r="H25" s="94" t="s">
        <v>11</v>
      </c>
      <c r="I25" s="94" t="s">
        <v>219</v>
      </c>
      <c r="J25" s="94"/>
      <c r="K25" s="96">
        <v>67</v>
      </c>
      <c r="L25" s="96">
        <f>K25*VLOOKUP(H25,dagsoorttabel1,2,FALSE)</f>
        <v>67</v>
      </c>
      <c r="M25" s="97">
        <f>prodnorm16</f>
        <v>0</v>
      </c>
      <c r="N25" s="41">
        <f>dagwerk16</f>
        <v>0</v>
      </c>
      <c r="O25" s="94" t="s">
        <v>106</v>
      </c>
      <c r="P25" s="26">
        <f>uurtarief16</f>
        <v>0</v>
      </c>
      <c r="Q25" s="96" t="e">
        <f>IF(ISBLANK(M25),0,L25/M25)</f>
        <v>#DIV/0!</v>
      </c>
      <c r="R25" s="96" t="e">
        <f>IF(ISBLANK(M25),0,Q25*N25)</f>
        <v>#DIV/0!</v>
      </c>
      <c r="S25" s="26" t="e">
        <f>P25*Q25</f>
        <v>#DIV/0!</v>
      </c>
      <c r="T25" s="96" t="e">
        <f>Q25*dagenperjaar1</f>
        <v>#DIV/0!</v>
      </c>
      <c r="U25" s="27" t="e">
        <f>T25*P25</f>
        <v>#DIV/0!</v>
      </c>
    </row>
    <row r="26" spans="1:21" x14ac:dyDescent="0.3">
      <c r="A26" s="93" t="s">
        <v>288</v>
      </c>
      <c r="B26" s="94" t="s">
        <v>289</v>
      </c>
      <c r="C26" s="94" t="s">
        <v>290</v>
      </c>
      <c r="D26" s="94" t="s">
        <v>333</v>
      </c>
      <c r="E26" s="95" t="s">
        <v>334</v>
      </c>
      <c r="F26" s="94" t="s">
        <v>330</v>
      </c>
      <c r="G26" s="94" t="s">
        <v>218</v>
      </c>
      <c r="H26" s="94" t="s">
        <v>11</v>
      </c>
      <c r="I26" s="94" t="s">
        <v>219</v>
      </c>
      <c r="J26" s="94"/>
      <c r="K26" s="96">
        <v>102</v>
      </c>
      <c r="L26" s="96">
        <f>K26*VLOOKUP(H26,dagsoorttabel1,2,FALSE)</f>
        <v>102</v>
      </c>
      <c r="M26" s="97">
        <f>prodnorm16</f>
        <v>0</v>
      </c>
      <c r="N26" s="41">
        <f>dagwerk16</f>
        <v>0</v>
      </c>
      <c r="O26" s="94" t="s">
        <v>106</v>
      </c>
      <c r="P26" s="26">
        <f>uurtarief16</f>
        <v>0</v>
      </c>
      <c r="Q26" s="96" t="e">
        <f>IF(ISBLANK(M26),0,L26/M26)</f>
        <v>#DIV/0!</v>
      </c>
      <c r="R26" s="96" t="e">
        <f>IF(ISBLANK(M26),0,Q26*N26)</f>
        <v>#DIV/0!</v>
      </c>
      <c r="S26" s="26" t="e">
        <f>P26*Q26</f>
        <v>#DIV/0!</v>
      </c>
      <c r="T26" s="96" t="e">
        <f>Q26*dagenperjaar1</f>
        <v>#DIV/0!</v>
      </c>
      <c r="U26" s="27" t="e">
        <f>T26*P26</f>
        <v>#DIV/0!</v>
      </c>
    </row>
    <row r="27" spans="1:21" x14ac:dyDescent="0.3">
      <c r="A27" s="93" t="s">
        <v>288</v>
      </c>
      <c r="B27" s="94" t="s">
        <v>289</v>
      </c>
      <c r="C27" s="94" t="s">
        <v>290</v>
      </c>
      <c r="D27" s="94" t="s">
        <v>335</v>
      </c>
      <c r="E27" s="95" t="s">
        <v>336</v>
      </c>
      <c r="F27" s="94" t="s">
        <v>293</v>
      </c>
      <c r="G27" s="94" t="s">
        <v>269</v>
      </c>
      <c r="H27" s="94" t="s">
        <v>11</v>
      </c>
      <c r="I27" s="94" t="s">
        <v>219</v>
      </c>
      <c r="J27" s="94"/>
      <c r="K27" s="96">
        <v>14</v>
      </c>
      <c r="L27" s="96">
        <f>K27*VLOOKUP(H27,dagsoorttabel1,2,FALSE)</f>
        <v>14</v>
      </c>
      <c r="M27" s="97">
        <f>prodnorm64</f>
        <v>0</v>
      </c>
      <c r="N27" s="41">
        <f>dagwerk64</f>
        <v>0</v>
      </c>
      <c r="O27" s="94" t="s">
        <v>106</v>
      </c>
      <c r="P27" s="26">
        <f>uurtarief64</f>
        <v>0</v>
      </c>
      <c r="Q27" s="96" t="e">
        <f>IF(ISBLANK(M27),0,L27/M27)</f>
        <v>#DIV/0!</v>
      </c>
      <c r="R27" s="96" t="e">
        <f>IF(ISBLANK(M27),0,Q27*N27)</f>
        <v>#DIV/0!</v>
      </c>
      <c r="S27" s="26" t="e">
        <f>P27*Q27</f>
        <v>#DIV/0!</v>
      </c>
      <c r="T27" s="96" t="e">
        <f>Q27*dagenperjaar1</f>
        <v>#DIV/0!</v>
      </c>
      <c r="U27" s="27" t="e">
        <f>T27*P27</f>
        <v>#DIV/0!</v>
      </c>
    </row>
    <row r="28" spans="1:21" x14ac:dyDescent="0.3">
      <c r="A28" s="93" t="s">
        <v>288</v>
      </c>
      <c r="B28" s="94" t="s">
        <v>289</v>
      </c>
      <c r="C28" s="94" t="s">
        <v>290</v>
      </c>
      <c r="D28" s="94" t="s">
        <v>337</v>
      </c>
      <c r="E28" s="95" t="s">
        <v>338</v>
      </c>
      <c r="F28" s="94" t="s">
        <v>296</v>
      </c>
      <c r="G28" s="94" t="s">
        <v>267</v>
      </c>
      <c r="H28" s="94" t="s">
        <v>11</v>
      </c>
      <c r="I28" s="94" t="s">
        <v>219</v>
      </c>
      <c r="J28" s="94"/>
      <c r="K28" s="96">
        <v>62</v>
      </c>
      <c r="L28" s="96">
        <f>K28*VLOOKUP(H28,dagsoorttabel1,2,FALSE)</f>
        <v>62</v>
      </c>
      <c r="M28" s="97">
        <f>prodnorm63</f>
        <v>0</v>
      </c>
      <c r="N28" s="41">
        <f>dagwerk63</f>
        <v>0</v>
      </c>
      <c r="O28" s="94" t="s">
        <v>106</v>
      </c>
      <c r="P28" s="26">
        <f>uurtarief63</f>
        <v>0</v>
      </c>
      <c r="Q28" s="96" t="e">
        <f>IF(ISBLANK(M28),0,L28/M28)</f>
        <v>#DIV/0!</v>
      </c>
      <c r="R28" s="96" t="e">
        <f>IF(ISBLANK(M28),0,Q28*N28)</f>
        <v>#DIV/0!</v>
      </c>
      <c r="S28" s="26" t="e">
        <f>P28*Q28</f>
        <v>#DIV/0!</v>
      </c>
      <c r="T28" s="96" t="e">
        <f>Q28*dagenperjaar1</f>
        <v>#DIV/0!</v>
      </c>
      <c r="U28" s="27" t="e">
        <f>T28*P28</f>
        <v>#DIV/0!</v>
      </c>
    </row>
    <row r="29" spans="1:21" x14ac:dyDescent="0.3">
      <c r="A29" s="93" t="s">
        <v>288</v>
      </c>
      <c r="B29" s="94" t="s">
        <v>289</v>
      </c>
      <c r="C29" s="94" t="s">
        <v>290</v>
      </c>
      <c r="D29" s="94" t="s">
        <v>339</v>
      </c>
      <c r="E29" s="95" t="s">
        <v>315</v>
      </c>
      <c r="F29" s="94" t="s">
        <v>316</v>
      </c>
      <c r="G29" s="94" t="s">
        <v>261</v>
      </c>
      <c r="H29" s="94" t="s">
        <v>11</v>
      </c>
      <c r="I29" s="94" t="s">
        <v>219</v>
      </c>
      <c r="J29" s="94"/>
      <c r="K29" s="96">
        <v>12</v>
      </c>
      <c r="L29" s="96">
        <f>K29*VLOOKUP(H29,dagsoorttabel1,2,FALSE)</f>
        <v>12</v>
      </c>
      <c r="M29" s="97">
        <f>prodnorm56</f>
        <v>0</v>
      </c>
      <c r="N29" s="41">
        <f>dagwerk56</f>
        <v>0</v>
      </c>
      <c r="O29" s="94" t="s">
        <v>106</v>
      </c>
      <c r="P29" s="26">
        <f>uurtarief56</f>
        <v>0</v>
      </c>
      <c r="Q29" s="96" t="e">
        <f>IF(ISBLANK(M29),0,L29/M29)</f>
        <v>#DIV/0!</v>
      </c>
      <c r="R29" s="96" t="e">
        <f>IF(ISBLANK(M29),0,Q29*N29)</f>
        <v>#DIV/0!</v>
      </c>
      <c r="S29" s="26" t="e">
        <f>P29*Q29</f>
        <v>#DIV/0!</v>
      </c>
      <c r="T29" s="96" t="e">
        <f>Q29*dagenperjaar1</f>
        <v>#DIV/0!</v>
      </c>
      <c r="U29" s="27" t="e">
        <f>T29*P29</f>
        <v>#DIV/0!</v>
      </c>
    </row>
    <row r="30" spans="1:21" x14ac:dyDescent="0.3">
      <c r="A30" s="93" t="s">
        <v>288</v>
      </c>
      <c r="B30" s="94" t="s">
        <v>289</v>
      </c>
      <c r="C30" s="94" t="s">
        <v>290</v>
      </c>
      <c r="D30" s="94" t="s">
        <v>339</v>
      </c>
      <c r="E30" s="95" t="s">
        <v>315</v>
      </c>
      <c r="F30" s="94" t="s">
        <v>316</v>
      </c>
      <c r="G30" s="94" t="s">
        <v>263</v>
      </c>
      <c r="H30" s="94" t="s">
        <v>11</v>
      </c>
      <c r="I30" s="94" t="s">
        <v>219</v>
      </c>
      <c r="J30" s="94"/>
      <c r="K30" s="96">
        <v>12</v>
      </c>
      <c r="L30" s="96">
        <f>K30*VLOOKUP(H30,dagsoorttabel1,2,FALSE)</f>
        <v>12</v>
      </c>
      <c r="M30" s="97">
        <f>prodnorm58</f>
        <v>0</v>
      </c>
      <c r="N30" s="41">
        <f>dagwerk58</f>
        <v>0</v>
      </c>
      <c r="O30" s="94" t="s">
        <v>106</v>
      </c>
      <c r="P30" s="26">
        <f>uurtarief58</f>
        <v>0</v>
      </c>
      <c r="Q30" s="96" t="e">
        <f>IF(ISBLANK(M30),0,L30/M30)</f>
        <v>#DIV/0!</v>
      </c>
      <c r="R30" s="96" t="e">
        <f>IF(ISBLANK(M30),0,Q30*N30)</f>
        <v>#DIV/0!</v>
      </c>
      <c r="S30" s="26" t="e">
        <f>P30*Q30</f>
        <v>#DIV/0!</v>
      </c>
      <c r="T30" s="96" t="e">
        <f>Q30*dagenperjaar1</f>
        <v>#DIV/0!</v>
      </c>
      <c r="U30" s="27" t="e">
        <f>T30*P30</f>
        <v>#DIV/0!</v>
      </c>
    </row>
    <row r="31" spans="1:21" x14ac:dyDescent="0.3">
      <c r="A31" s="93" t="s">
        <v>288</v>
      </c>
      <c r="B31" s="94" t="s">
        <v>289</v>
      </c>
      <c r="C31" s="94" t="s">
        <v>290</v>
      </c>
      <c r="D31" s="94" t="s">
        <v>340</v>
      </c>
      <c r="E31" s="95" t="s">
        <v>315</v>
      </c>
      <c r="F31" s="94" t="s">
        <v>316</v>
      </c>
      <c r="G31" s="94" t="s">
        <v>261</v>
      </c>
      <c r="H31" s="94" t="s">
        <v>11</v>
      </c>
      <c r="I31" s="94" t="s">
        <v>219</v>
      </c>
      <c r="J31" s="94"/>
      <c r="K31" s="96">
        <v>13</v>
      </c>
      <c r="L31" s="96">
        <f>K31*VLOOKUP(H31,dagsoorttabel1,2,FALSE)</f>
        <v>13</v>
      </c>
      <c r="M31" s="97">
        <f>prodnorm56</f>
        <v>0</v>
      </c>
      <c r="N31" s="41">
        <f>dagwerk56</f>
        <v>0</v>
      </c>
      <c r="O31" s="94" t="s">
        <v>106</v>
      </c>
      <c r="P31" s="26">
        <f>uurtarief56</f>
        <v>0</v>
      </c>
      <c r="Q31" s="96" t="e">
        <f>IF(ISBLANK(M31),0,L31/M31)</f>
        <v>#DIV/0!</v>
      </c>
      <c r="R31" s="96" t="e">
        <f>IF(ISBLANK(M31),0,Q31*N31)</f>
        <v>#DIV/0!</v>
      </c>
      <c r="S31" s="26" t="e">
        <f>P31*Q31</f>
        <v>#DIV/0!</v>
      </c>
      <c r="T31" s="96" t="e">
        <f>Q31*dagenperjaar1</f>
        <v>#DIV/0!</v>
      </c>
      <c r="U31" s="27" t="e">
        <f>T31*P31</f>
        <v>#DIV/0!</v>
      </c>
    </row>
    <row r="32" spans="1:21" x14ac:dyDescent="0.3">
      <c r="A32" s="93" t="s">
        <v>288</v>
      </c>
      <c r="B32" s="94" t="s">
        <v>289</v>
      </c>
      <c r="C32" s="94" t="s">
        <v>290</v>
      </c>
      <c r="D32" s="94" t="s">
        <v>340</v>
      </c>
      <c r="E32" s="95" t="s">
        <v>315</v>
      </c>
      <c r="F32" s="94" t="s">
        <v>316</v>
      </c>
      <c r="G32" s="94" t="s">
        <v>263</v>
      </c>
      <c r="H32" s="94" t="s">
        <v>11</v>
      </c>
      <c r="I32" s="94" t="s">
        <v>219</v>
      </c>
      <c r="J32" s="94"/>
      <c r="K32" s="96">
        <v>13</v>
      </c>
      <c r="L32" s="96">
        <f>K32*VLOOKUP(H32,dagsoorttabel1,2,FALSE)</f>
        <v>13</v>
      </c>
      <c r="M32" s="97">
        <f>prodnorm58</f>
        <v>0</v>
      </c>
      <c r="N32" s="41">
        <f>dagwerk58</f>
        <v>0</v>
      </c>
      <c r="O32" s="94" t="s">
        <v>106</v>
      </c>
      <c r="P32" s="26">
        <f>uurtarief58</f>
        <v>0</v>
      </c>
      <c r="Q32" s="96" t="e">
        <f>IF(ISBLANK(M32),0,L32/M32)</f>
        <v>#DIV/0!</v>
      </c>
      <c r="R32" s="96" t="e">
        <f>IF(ISBLANK(M32),0,Q32*N32)</f>
        <v>#DIV/0!</v>
      </c>
      <c r="S32" s="26" t="e">
        <f>P32*Q32</f>
        <v>#DIV/0!</v>
      </c>
      <c r="T32" s="96" t="e">
        <f>Q32*dagenperjaar1</f>
        <v>#DIV/0!</v>
      </c>
      <c r="U32" s="27" t="e">
        <f>T32*P32</f>
        <v>#DIV/0!</v>
      </c>
    </row>
    <row r="33" spans="1:21" x14ac:dyDescent="0.3">
      <c r="A33" s="93" t="s">
        <v>288</v>
      </c>
      <c r="B33" s="94" t="s">
        <v>289</v>
      </c>
      <c r="C33" s="94" t="s">
        <v>290</v>
      </c>
      <c r="D33" s="94" t="s">
        <v>341</v>
      </c>
      <c r="E33" s="95" t="s">
        <v>342</v>
      </c>
      <c r="F33" s="94" t="s">
        <v>316</v>
      </c>
      <c r="G33" s="94" t="s">
        <v>261</v>
      </c>
      <c r="H33" s="94" t="s">
        <v>11</v>
      </c>
      <c r="I33" s="94" t="s">
        <v>219</v>
      </c>
      <c r="J33" s="94"/>
      <c r="K33" s="96">
        <v>7</v>
      </c>
      <c r="L33" s="96">
        <f>K33*VLOOKUP(H33,dagsoorttabel1,2,FALSE)</f>
        <v>7</v>
      </c>
      <c r="M33" s="97">
        <f>prodnorm56</f>
        <v>0</v>
      </c>
      <c r="N33" s="41">
        <f>dagwerk56</f>
        <v>0</v>
      </c>
      <c r="O33" s="94" t="s">
        <v>106</v>
      </c>
      <c r="P33" s="26">
        <f>uurtarief56</f>
        <v>0</v>
      </c>
      <c r="Q33" s="96" t="e">
        <f>IF(ISBLANK(M33),0,L33/M33)</f>
        <v>#DIV/0!</v>
      </c>
      <c r="R33" s="96" t="e">
        <f>IF(ISBLANK(M33),0,Q33*N33)</f>
        <v>#DIV/0!</v>
      </c>
      <c r="S33" s="26" t="e">
        <f>P33*Q33</f>
        <v>#DIV/0!</v>
      </c>
      <c r="T33" s="96" t="e">
        <f>Q33*dagenperjaar1</f>
        <v>#DIV/0!</v>
      </c>
      <c r="U33" s="27" t="e">
        <f>T33*P33</f>
        <v>#DIV/0!</v>
      </c>
    </row>
    <row r="34" spans="1:21" x14ac:dyDescent="0.3">
      <c r="A34" s="93" t="s">
        <v>288</v>
      </c>
      <c r="B34" s="94" t="s">
        <v>289</v>
      </c>
      <c r="C34" s="94" t="s">
        <v>290</v>
      </c>
      <c r="D34" s="94" t="s">
        <v>341</v>
      </c>
      <c r="E34" s="95" t="s">
        <v>342</v>
      </c>
      <c r="F34" s="94" t="s">
        <v>316</v>
      </c>
      <c r="G34" s="94" t="s">
        <v>263</v>
      </c>
      <c r="H34" s="94" t="s">
        <v>11</v>
      </c>
      <c r="I34" s="94" t="s">
        <v>219</v>
      </c>
      <c r="J34" s="94"/>
      <c r="K34" s="96">
        <v>7</v>
      </c>
      <c r="L34" s="96">
        <f>K34*VLOOKUP(H34,dagsoorttabel1,2,FALSE)</f>
        <v>7</v>
      </c>
      <c r="M34" s="97">
        <f>prodnorm58</f>
        <v>0</v>
      </c>
      <c r="N34" s="41">
        <f>dagwerk58</f>
        <v>0</v>
      </c>
      <c r="O34" s="94" t="s">
        <v>106</v>
      </c>
      <c r="P34" s="26">
        <f>uurtarief58</f>
        <v>0</v>
      </c>
      <c r="Q34" s="96" t="e">
        <f>IF(ISBLANK(M34),0,L34/M34)</f>
        <v>#DIV/0!</v>
      </c>
      <c r="R34" s="96" t="e">
        <f>IF(ISBLANK(M34),0,Q34*N34)</f>
        <v>#DIV/0!</v>
      </c>
      <c r="S34" s="26" t="e">
        <f>P34*Q34</f>
        <v>#DIV/0!</v>
      </c>
      <c r="T34" s="96" t="e">
        <f>Q34*dagenperjaar1</f>
        <v>#DIV/0!</v>
      </c>
      <c r="U34" s="27" t="e">
        <f>T34*P34</f>
        <v>#DIV/0!</v>
      </c>
    </row>
    <row r="35" spans="1:21" x14ac:dyDescent="0.3">
      <c r="A35" s="93" t="s">
        <v>288</v>
      </c>
      <c r="B35" s="94" t="s">
        <v>289</v>
      </c>
      <c r="C35" s="94" t="s">
        <v>290</v>
      </c>
      <c r="D35" s="94" t="s">
        <v>343</v>
      </c>
      <c r="E35" s="95" t="s">
        <v>344</v>
      </c>
      <c r="F35" s="94" t="s">
        <v>316</v>
      </c>
      <c r="G35" s="94" t="s">
        <v>261</v>
      </c>
      <c r="H35" s="94" t="s">
        <v>11</v>
      </c>
      <c r="I35" s="94" t="s">
        <v>219</v>
      </c>
      <c r="J35" s="94"/>
      <c r="K35" s="96">
        <v>7</v>
      </c>
      <c r="L35" s="96">
        <f>K35*VLOOKUP(H35,dagsoorttabel1,2,FALSE)</f>
        <v>7</v>
      </c>
      <c r="M35" s="97">
        <f>prodnorm56</f>
        <v>0</v>
      </c>
      <c r="N35" s="41">
        <f>dagwerk56</f>
        <v>0</v>
      </c>
      <c r="O35" s="94" t="s">
        <v>106</v>
      </c>
      <c r="P35" s="26">
        <f>uurtarief56</f>
        <v>0</v>
      </c>
      <c r="Q35" s="96" t="e">
        <f>IF(ISBLANK(M35),0,L35/M35)</f>
        <v>#DIV/0!</v>
      </c>
      <c r="R35" s="96" t="e">
        <f>IF(ISBLANK(M35),0,Q35*N35)</f>
        <v>#DIV/0!</v>
      </c>
      <c r="S35" s="26" t="e">
        <f>P35*Q35</f>
        <v>#DIV/0!</v>
      </c>
      <c r="T35" s="96" t="e">
        <f>Q35*dagenperjaar1</f>
        <v>#DIV/0!</v>
      </c>
      <c r="U35" s="27" t="e">
        <f>T35*P35</f>
        <v>#DIV/0!</v>
      </c>
    </row>
    <row r="36" spans="1:21" x14ac:dyDescent="0.3">
      <c r="A36" s="93" t="s">
        <v>288</v>
      </c>
      <c r="B36" s="94" t="s">
        <v>289</v>
      </c>
      <c r="C36" s="94" t="s">
        <v>290</v>
      </c>
      <c r="D36" s="94" t="s">
        <v>343</v>
      </c>
      <c r="E36" s="95" t="s">
        <v>344</v>
      </c>
      <c r="F36" s="94" t="s">
        <v>316</v>
      </c>
      <c r="G36" s="94" t="s">
        <v>263</v>
      </c>
      <c r="H36" s="94" t="s">
        <v>11</v>
      </c>
      <c r="I36" s="94" t="s">
        <v>219</v>
      </c>
      <c r="J36" s="94"/>
      <c r="K36" s="96">
        <v>7</v>
      </c>
      <c r="L36" s="96">
        <f>K36*VLOOKUP(H36,dagsoorttabel1,2,FALSE)</f>
        <v>7</v>
      </c>
      <c r="M36" s="97">
        <f>prodnorm58</f>
        <v>0</v>
      </c>
      <c r="N36" s="41">
        <f>dagwerk58</f>
        <v>0</v>
      </c>
      <c r="O36" s="94" t="s">
        <v>106</v>
      </c>
      <c r="P36" s="26">
        <f>uurtarief58</f>
        <v>0</v>
      </c>
      <c r="Q36" s="96" t="e">
        <f>IF(ISBLANK(M36),0,L36/M36)</f>
        <v>#DIV/0!</v>
      </c>
      <c r="R36" s="96" t="e">
        <f>IF(ISBLANK(M36),0,Q36*N36)</f>
        <v>#DIV/0!</v>
      </c>
      <c r="S36" s="26" t="e">
        <f>P36*Q36</f>
        <v>#DIV/0!</v>
      </c>
      <c r="T36" s="96" t="e">
        <f>Q36*dagenperjaar1</f>
        <v>#DIV/0!</v>
      </c>
      <c r="U36" s="27" t="e">
        <f>T36*P36</f>
        <v>#DIV/0!</v>
      </c>
    </row>
    <row r="37" spans="1:21" x14ac:dyDescent="0.3">
      <c r="A37" s="93" t="s">
        <v>288</v>
      </c>
      <c r="B37" s="94" t="s">
        <v>289</v>
      </c>
      <c r="C37" s="94" t="s">
        <v>290</v>
      </c>
      <c r="D37" s="94" t="s">
        <v>345</v>
      </c>
      <c r="E37" s="95" t="s">
        <v>346</v>
      </c>
      <c r="F37" s="94" t="s">
        <v>347</v>
      </c>
      <c r="G37" s="94" t="s">
        <v>235</v>
      </c>
      <c r="H37" s="94" t="s">
        <v>11</v>
      </c>
      <c r="I37" s="94" t="s">
        <v>219</v>
      </c>
      <c r="J37" s="94"/>
      <c r="K37" s="96">
        <v>252</v>
      </c>
      <c r="L37" s="96">
        <f>K37*VLOOKUP(H37,dagsoorttabel1,2,FALSE)</f>
        <v>252</v>
      </c>
      <c r="M37" s="97">
        <f>prodnorm33</f>
        <v>0</v>
      </c>
      <c r="N37" s="41">
        <f>dagwerk33</f>
        <v>0</v>
      </c>
      <c r="O37" s="94" t="s">
        <v>106</v>
      </c>
      <c r="P37" s="26">
        <f>uurtarief33</f>
        <v>0</v>
      </c>
      <c r="Q37" s="96" t="e">
        <f>IF(ISBLANK(M37),0,L37/M37)</f>
        <v>#DIV/0!</v>
      </c>
      <c r="R37" s="96" t="e">
        <f>IF(ISBLANK(M37),0,Q37*N37)</f>
        <v>#DIV/0!</v>
      </c>
      <c r="S37" s="26" t="e">
        <f>P37*Q37</f>
        <v>#DIV/0!</v>
      </c>
      <c r="T37" s="96" t="e">
        <f>Q37*dagenperjaar1</f>
        <v>#DIV/0!</v>
      </c>
      <c r="U37" s="27" t="e">
        <f>T37*P37</f>
        <v>#DIV/0!</v>
      </c>
    </row>
    <row r="38" spans="1:21" x14ac:dyDescent="0.3">
      <c r="A38" s="93" t="s">
        <v>288</v>
      </c>
      <c r="B38" s="94" t="s">
        <v>289</v>
      </c>
      <c r="C38" s="94" t="s">
        <v>290</v>
      </c>
      <c r="D38" s="94" t="s">
        <v>348</v>
      </c>
      <c r="E38" s="95" t="s">
        <v>349</v>
      </c>
      <c r="F38" s="94" t="s">
        <v>347</v>
      </c>
      <c r="G38" s="94" t="s">
        <v>235</v>
      </c>
      <c r="H38" s="94" t="s">
        <v>18</v>
      </c>
      <c r="I38" s="94" t="s">
        <v>219</v>
      </c>
      <c r="J38" s="94"/>
      <c r="K38" s="96">
        <v>16</v>
      </c>
      <c r="L38" s="96">
        <f>K38*VLOOKUP(H38,dagsoorttabel1,2,FALSE)</f>
        <v>3.2</v>
      </c>
      <c r="M38" s="97">
        <f>prodnorm34</f>
        <v>0</v>
      </c>
      <c r="N38" s="41">
        <f>dagwerk34</f>
        <v>0</v>
      </c>
      <c r="O38" s="94" t="s">
        <v>106</v>
      </c>
      <c r="P38" s="26">
        <f>uurtarief34</f>
        <v>0</v>
      </c>
      <c r="Q38" s="96" t="e">
        <f>IF(ISBLANK(M38),0,L38/M38)</f>
        <v>#DIV/0!</v>
      </c>
      <c r="R38" s="96" t="e">
        <f>IF(ISBLANK(M38),0,Q38*N38)</f>
        <v>#DIV/0!</v>
      </c>
      <c r="S38" s="26" t="e">
        <f>P38*Q38</f>
        <v>#DIV/0!</v>
      </c>
      <c r="T38" s="96" t="e">
        <f>Q38*dagenperjaar1</f>
        <v>#DIV/0!</v>
      </c>
      <c r="U38" s="27" t="e">
        <f>T38*P38</f>
        <v>#DIV/0!</v>
      </c>
    </row>
    <row r="39" spans="1:21" x14ac:dyDescent="0.3">
      <c r="A39" s="93" t="s">
        <v>288</v>
      </c>
      <c r="B39" s="94" t="s">
        <v>289</v>
      </c>
      <c r="C39" s="94" t="s">
        <v>290</v>
      </c>
      <c r="D39" s="94" t="s">
        <v>350</v>
      </c>
      <c r="E39" s="95" t="s">
        <v>351</v>
      </c>
      <c r="F39" s="94" t="s">
        <v>304</v>
      </c>
      <c r="G39" s="94" t="s">
        <v>239</v>
      </c>
      <c r="H39" s="94" t="s">
        <v>11</v>
      </c>
      <c r="I39" s="94" t="s">
        <v>219</v>
      </c>
      <c r="J39" s="94"/>
      <c r="K39" s="96">
        <v>44</v>
      </c>
      <c r="L39" s="96">
        <f>K39*VLOOKUP(H39,dagsoorttabel1,2,FALSE)</f>
        <v>44</v>
      </c>
      <c r="M39" s="97">
        <f>prodnorm36</f>
        <v>0</v>
      </c>
      <c r="N39" s="41">
        <f>dagwerk36</f>
        <v>0</v>
      </c>
      <c r="O39" s="94" t="s">
        <v>106</v>
      </c>
      <c r="P39" s="26">
        <f>uurtarief36</f>
        <v>0</v>
      </c>
      <c r="Q39" s="96" t="e">
        <f>IF(ISBLANK(M39),0,L39/M39)</f>
        <v>#DIV/0!</v>
      </c>
      <c r="R39" s="96" t="e">
        <f>IF(ISBLANK(M39),0,Q39*N39)</f>
        <v>#DIV/0!</v>
      </c>
      <c r="S39" s="26" t="e">
        <f>P39*Q39</f>
        <v>#DIV/0!</v>
      </c>
      <c r="T39" s="96" t="e">
        <f>Q39*dagenperjaar1</f>
        <v>#DIV/0!</v>
      </c>
      <c r="U39" s="27" t="e">
        <f>T39*P39</f>
        <v>#DIV/0!</v>
      </c>
    </row>
    <row r="40" spans="1:21" x14ac:dyDescent="0.3">
      <c r="A40" s="93" t="s">
        <v>288</v>
      </c>
      <c r="B40" s="94" t="s">
        <v>289</v>
      </c>
      <c r="C40" s="94" t="s">
        <v>290</v>
      </c>
      <c r="D40" s="94" t="s">
        <v>352</v>
      </c>
      <c r="E40" s="95" t="s">
        <v>353</v>
      </c>
      <c r="F40" s="94" t="s">
        <v>296</v>
      </c>
      <c r="G40" s="94" t="s">
        <v>239</v>
      </c>
      <c r="H40" s="94" t="s">
        <v>11</v>
      </c>
      <c r="I40" s="94" t="s">
        <v>219</v>
      </c>
      <c r="J40" s="94"/>
      <c r="K40" s="96">
        <v>24</v>
      </c>
      <c r="L40" s="96">
        <f>K40*VLOOKUP(H40,dagsoorttabel1,2,FALSE)</f>
        <v>24</v>
      </c>
      <c r="M40" s="97">
        <f>prodnorm36</f>
        <v>0</v>
      </c>
      <c r="N40" s="41">
        <f>dagwerk36</f>
        <v>0</v>
      </c>
      <c r="O40" s="94" t="s">
        <v>106</v>
      </c>
      <c r="P40" s="26">
        <f>uurtarief36</f>
        <v>0</v>
      </c>
      <c r="Q40" s="96" t="e">
        <f>IF(ISBLANK(M40),0,L40/M40)</f>
        <v>#DIV/0!</v>
      </c>
      <c r="R40" s="96" t="e">
        <f>IF(ISBLANK(M40),0,Q40*N40)</f>
        <v>#DIV/0!</v>
      </c>
      <c r="S40" s="26" t="e">
        <f>P40*Q40</f>
        <v>#DIV/0!</v>
      </c>
      <c r="T40" s="96" t="e">
        <f>Q40*dagenperjaar1</f>
        <v>#DIV/0!</v>
      </c>
      <c r="U40" s="27" t="e">
        <f>T40*P40</f>
        <v>#DIV/0!</v>
      </c>
    </row>
    <row r="41" spans="1:21" x14ac:dyDescent="0.3">
      <c r="A41" s="93" t="s">
        <v>288</v>
      </c>
      <c r="B41" s="94" t="s">
        <v>289</v>
      </c>
      <c r="C41" s="94" t="s">
        <v>290</v>
      </c>
      <c r="D41" s="94" t="s">
        <v>354</v>
      </c>
      <c r="E41" s="95" t="s">
        <v>346</v>
      </c>
      <c r="F41" s="94" t="s">
        <v>347</v>
      </c>
      <c r="G41" s="94" t="s">
        <v>235</v>
      </c>
      <c r="H41" s="94" t="s">
        <v>11</v>
      </c>
      <c r="I41" s="94" t="s">
        <v>219</v>
      </c>
      <c r="J41" s="94"/>
      <c r="K41" s="96">
        <v>252</v>
      </c>
      <c r="L41" s="96">
        <f>K41*VLOOKUP(H41,dagsoorttabel1,2,FALSE)</f>
        <v>252</v>
      </c>
      <c r="M41" s="97">
        <f>prodnorm33</f>
        <v>0</v>
      </c>
      <c r="N41" s="41">
        <f>dagwerk33</f>
        <v>0</v>
      </c>
      <c r="O41" s="94" t="s">
        <v>106</v>
      </c>
      <c r="P41" s="26">
        <f>uurtarief33</f>
        <v>0</v>
      </c>
      <c r="Q41" s="96" t="e">
        <f>IF(ISBLANK(M41),0,L41/M41)</f>
        <v>#DIV/0!</v>
      </c>
      <c r="R41" s="96" t="e">
        <f>IF(ISBLANK(M41),0,Q41*N41)</f>
        <v>#DIV/0!</v>
      </c>
      <c r="S41" s="26" t="e">
        <f>P41*Q41</f>
        <v>#DIV/0!</v>
      </c>
      <c r="T41" s="96" t="e">
        <f>Q41*dagenperjaar1</f>
        <v>#DIV/0!</v>
      </c>
      <c r="U41" s="27" t="e">
        <f>T41*P41</f>
        <v>#DIV/0!</v>
      </c>
    </row>
    <row r="42" spans="1:21" x14ac:dyDescent="0.3">
      <c r="A42" s="93" t="s">
        <v>288</v>
      </c>
      <c r="B42" s="94" t="s">
        <v>289</v>
      </c>
      <c r="C42" s="94" t="s">
        <v>290</v>
      </c>
      <c r="D42" s="94" t="s">
        <v>355</v>
      </c>
      <c r="E42" s="95" t="s">
        <v>349</v>
      </c>
      <c r="F42" s="94" t="s">
        <v>347</v>
      </c>
      <c r="G42" s="94" t="s">
        <v>235</v>
      </c>
      <c r="H42" s="94" t="s">
        <v>18</v>
      </c>
      <c r="I42" s="94" t="s">
        <v>219</v>
      </c>
      <c r="J42" s="94"/>
      <c r="K42" s="96">
        <v>16</v>
      </c>
      <c r="L42" s="96">
        <f>K42*VLOOKUP(H42,dagsoorttabel1,2,FALSE)</f>
        <v>3.2</v>
      </c>
      <c r="M42" s="97">
        <f>prodnorm34</f>
        <v>0</v>
      </c>
      <c r="N42" s="41">
        <f>dagwerk34</f>
        <v>0</v>
      </c>
      <c r="O42" s="94" t="s">
        <v>106</v>
      </c>
      <c r="P42" s="26">
        <f>uurtarief34</f>
        <v>0</v>
      </c>
      <c r="Q42" s="96" t="e">
        <f>IF(ISBLANK(M42),0,L42/M42)</f>
        <v>#DIV/0!</v>
      </c>
      <c r="R42" s="96" t="e">
        <f>IF(ISBLANK(M42),0,Q42*N42)</f>
        <v>#DIV/0!</v>
      </c>
      <c r="S42" s="26" t="e">
        <f>P42*Q42</f>
        <v>#DIV/0!</v>
      </c>
      <c r="T42" s="96" t="e">
        <f>Q42*dagenperjaar1</f>
        <v>#DIV/0!</v>
      </c>
      <c r="U42" s="27" t="e">
        <f>T42*P42</f>
        <v>#DIV/0!</v>
      </c>
    </row>
    <row r="43" spans="1:21" x14ac:dyDescent="0.3">
      <c r="A43" s="93" t="s">
        <v>288</v>
      </c>
      <c r="B43" s="94" t="s">
        <v>289</v>
      </c>
      <c r="C43" s="94" t="s">
        <v>290</v>
      </c>
      <c r="D43" s="94" t="s">
        <v>356</v>
      </c>
      <c r="E43" s="95" t="s">
        <v>351</v>
      </c>
      <c r="F43" s="94" t="s">
        <v>304</v>
      </c>
      <c r="G43" s="94" t="s">
        <v>239</v>
      </c>
      <c r="H43" s="94" t="s">
        <v>11</v>
      </c>
      <c r="I43" s="94" t="s">
        <v>219</v>
      </c>
      <c r="J43" s="94"/>
      <c r="K43" s="96">
        <v>56</v>
      </c>
      <c r="L43" s="96">
        <f>K43*VLOOKUP(H43,dagsoorttabel1,2,FALSE)</f>
        <v>56</v>
      </c>
      <c r="M43" s="97">
        <f>prodnorm36</f>
        <v>0</v>
      </c>
      <c r="N43" s="41">
        <f>dagwerk36</f>
        <v>0</v>
      </c>
      <c r="O43" s="94" t="s">
        <v>106</v>
      </c>
      <c r="P43" s="26">
        <f>uurtarief36</f>
        <v>0</v>
      </c>
      <c r="Q43" s="96" t="e">
        <f>IF(ISBLANK(M43),0,L43/M43)</f>
        <v>#DIV/0!</v>
      </c>
      <c r="R43" s="96" t="e">
        <f>IF(ISBLANK(M43),0,Q43*N43)</f>
        <v>#DIV/0!</v>
      </c>
      <c r="S43" s="26" t="e">
        <f>P43*Q43</f>
        <v>#DIV/0!</v>
      </c>
      <c r="T43" s="96" t="e">
        <f>Q43*dagenperjaar1</f>
        <v>#DIV/0!</v>
      </c>
      <c r="U43" s="27" t="e">
        <f>T43*P43</f>
        <v>#DIV/0!</v>
      </c>
    </row>
    <row r="44" spans="1:21" x14ac:dyDescent="0.3">
      <c r="A44" s="93" t="s">
        <v>288</v>
      </c>
      <c r="B44" s="94" t="s">
        <v>289</v>
      </c>
      <c r="C44" s="94" t="s">
        <v>290</v>
      </c>
      <c r="D44" s="94" t="s">
        <v>357</v>
      </c>
      <c r="E44" s="95" t="s">
        <v>315</v>
      </c>
      <c r="F44" s="94" t="s">
        <v>316</v>
      </c>
      <c r="G44" s="94" t="s">
        <v>261</v>
      </c>
      <c r="H44" s="94" t="s">
        <v>11</v>
      </c>
      <c r="I44" s="94" t="s">
        <v>219</v>
      </c>
      <c r="J44" s="94"/>
      <c r="K44" s="96">
        <v>1.3</v>
      </c>
      <c r="L44" s="96">
        <f>K44*VLOOKUP(H44,dagsoorttabel1,2,FALSE)</f>
        <v>1.3</v>
      </c>
      <c r="M44" s="97">
        <f>prodnorm56</f>
        <v>0</v>
      </c>
      <c r="N44" s="41">
        <f>dagwerk56</f>
        <v>0</v>
      </c>
      <c r="O44" s="94" t="s">
        <v>106</v>
      </c>
      <c r="P44" s="26">
        <f>uurtarief56</f>
        <v>0</v>
      </c>
      <c r="Q44" s="96" t="e">
        <f>IF(ISBLANK(M44),0,L44/M44)</f>
        <v>#DIV/0!</v>
      </c>
      <c r="R44" s="96" t="e">
        <f>IF(ISBLANK(M44),0,Q44*N44)</f>
        <v>#DIV/0!</v>
      </c>
      <c r="S44" s="26" t="e">
        <f>P44*Q44</f>
        <v>#DIV/0!</v>
      </c>
      <c r="T44" s="96" t="e">
        <f>Q44*dagenperjaar1</f>
        <v>#DIV/0!</v>
      </c>
      <c r="U44" s="27" t="e">
        <f>T44*P44</f>
        <v>#DIV/0!</v>
      </c>
    </row>
    <row r="45" spans="1:21" x14ac:dyDescent="0.3">
      <c r="A45" s="93" t="s">
        <v>288</v>
      </c>
      <c r="B45" s="94" t="s">
        <v>289</v>
      </c>
      <c r="C45" s="94" t="s">
        <v>290</v>
      </c>
      <c r="D45" s="94" t="s">
        <v>357</v>
      </c>
      <c r="E45" s="95" t="s">
        <v>315</v>
      </c>
      <c r="F45" s="94" t="s">
        <v>316</v>
      </c>
      <c r="G45" s="94" t="s">
        <v>263</v>
      </c>
      <c r="H45" s="94" t="s">
        <v>11</v>
      </c>
      <c r="I45" s="94" t="s">
        <v>219</v>
      </c>
      <c r="J45" s="94"/>
      <c r="K45" s="96">
        <v>1.3</v>
      </c>
      <c r="L45" s="96">
        <f>K45*VLOOKUP(H45,dagsoorttabel1,2,FALSE)</f>
        <v>1.3</v>
      </c>
      <c r="M45" s="97">
        <f>prodnorm58</f>
        <v>0</v>
      </c>
      <c r="N45" s="41">
        <f>dagwerk58</f>
        <v>0</v>
      </c>
      <c r="O45" s="94" t="s">
        <v>106</v>
      </c>
      <c r="P45" s="26">
        <f>uurtarief58</f>
        <v>0</v>
      </c>
      <c r="Q45" s="96" t="e">
        <f>IF(ISBLANK(M45),0,L45/M45)</f>
        <v>#DIV/0!</v>
      </c>
      <c r="R45" s="96" t="e">
        <f>IF(ISBLANK(M45),0,Q45*N45)</f>
        <v>#DIV/0!</v>
      </c>
      <c r="S45" s="26" t="e">
        <f>P45*Q45</f>
        <v>#DIV/0!</v>
      </c>
      <c r="T45" s="96" t="e">
        <f>Q45*dagenperjaar1</f>
        <v>#DIV/0!</v>
      </c>
      <c r="U45" s="27" t="e">
        <f>T45*P45</f>
        <v>#DIV/0!</v>
      </c>
    </row>
    <row r="46" spans="1:21" x14ac:dyDescent="0.3">
      <c r="A46" s="93" t="s">
        <v>288</v>
      </c>
      <c r="B46" s="94" t="s">
        <v>289</v>
      </c>
      <c r="C46" s="94" t="s">
        <v>290</v>
      </c>
      <c r="D46" s="94" t="s">
        <v>358</v>
      </c>
      <c r="E46" s="95" t="s">
        <v>338</v>
      </c>
      <c r="F46" s="94" t="s">
        <v>359</v>
      </c>
      <c r="G46" s="94" t="s">
        <v>267</v>
      </c>
      <c r="H46" s="94" t="s">
        <v>11</v>
      </c>
      <c r="I46" s="94" t="s">
        <v>219</v>
      </c>
      <c r="J46" s="94"/>
      <c r="K46" s="96">
        <v>44</v>
      </c>
      <c r="L46" s="96">
        <f>K46*VLOOKUP(H46,dagsoorttabel1,2,FALSE)</f>
        <v>44</v>
      </c>
      <c r="M46" s="97">
        <f>prodnorm63</f>
        <v>0</v>
      </c>
      <c r="N46" s="41">
        <f>dagwerk63</f>
        <v>0</v>
      </c>
      <c r="O46" s="94" t="s">
        <v>106</v>
      </c>
      <c r="P46" s="26">
        <f>uurtarief63</f>
        <v>0</v>
      </c>
      <c r="Q46" s="96" t="e">
        <f>IF(ISBLANK(M46),0,L46/M46)</f>
        <v>#DIV/0!</v>
      </c>
      <c r="R46" s="96" t="e">
        <f>IF(ISBLANK(M46),0,Q46*N46)</f>
        <v>#DIV/0!</v>
      </c>
      <c r="S46" s="26" t="e">
        <f>P46*Q46</f>
        <v>#DIV/0!</v>
      </c>
      <c r="T46" s="96" t="e">
        <f>Q46*dagenperjaar1</f>
        <v>#DIV/0!</v>
      </c>
      <c r="U46" s="27" t="e">
        <f>T46*P46</f>
        <v>#DIV/0!</v>
      </c>
    </row>
    <row r="47" spans="1:21" x14ac:dyDescent="0.3">
      <c r="A47" s="93" t="s">
        <v>288</v>
      </c>
      <c r="B47" s="94" t="s">
        <v>289</v>
      </c>
      <c r="C47" s="94" t="s">
        <v>290</v>
      </c>
      <c r="D47" s="94" t="s">
        <v>360</v>
      </c>
      <c r="E47" s="95" t="s">
        <v>338</v>
      </c>
      <c r="F47" s="94" t="s">
        <v>296</v>
      </c>
      <c r="G47" s="94" t="s">
        <v>267</v>
      </c>
      <c r="H47" s="94" t="s">
        <v>11</v>
      </c>
      <c r="I47" s="94" t="s">
        <v>219</v>
      </c>
      <c r="J47" s="94"/>
      <c r="K47" s="96">
        <v>46</v>
      </c>
      <c r="L47" s="96">
        <f>K47*VLOOKUP(H47,dagsoorttabel1,2,FALSE)</f>
        <v>46</v>
      </c>
      <c r="M47" s="97">
        <f>prodnorm63</f>
        <v>0</v>
      </c>
      <c r="N47" s="41">
        <f>dagwerk63</f>
        <v>0</v>
      </c>
      <c r="O47" s="94" t="s">
        <v>106</v>
      </c>
      <c r="P47" s="26">
        <f>uurtarief63</f>
        <v>0</v>
      </c>
      <c r="Q47" s="96" t="e">
        <f>IF(ISBLANK(M47),0,L47/M47)</f>
        <v>#DIV/0!</v>
      </c>
      <c r="R47" s="96" t="e">
        <f>IF(ISBLANK(M47),0,Q47*N47)</f>
        <v>#DIV/0!</v>
      </c>
      <c r="S47" s="26" t="e">
        <f>P47*Q47</f>
        <v>#DIV/0!</v>
      </c>
      <c r="T47" s="96" t="e">
        <f>Q47*dagenperjaar1</f>
        <v>#DIV/0!</v>
      </c>
      <c r="U47" s="27" t="e">
        <f>T47*P47</f>
        <v>#DIV/0!</v>
      </c>
    </row>
    <row r="48" spans="1:21" x14ac:dyDescent="0.3">
      <c r="A48" s="93" t="s">
        <v>288</v>
      </c>
      <c r="B48" s="94" t="s">
        <v>289</v>
      </c>
      <c r="C48" s="94" t="s">
        <v>290</v>
      </c>
      <c r="D48" s="94" t="s">
        <v>361</v>
      </c>
      <c r="E48" s="95" t="s">
        <v>362</v>
      </c>
      <c r="F48" s="94" t="s">
        <v>320</v>
      </c>
      <c r="G48" s="94" t="s">
        <v>253</v>
      </c>
      <c r="H48" s="94" t="s">
        <v>11</v>
      </c>
      <c r="I48" s="94" t="s">
        <v>219</v>
      </c>
      <c r="J48" s="94"/>
      <c r="K48" s="96">
        <v>100</v>
      </c>
      <c r="L48" s="96">
        <f>K48*VLOOKUP(H48,dagsoorttabel1,2,FALSE)</f>
        <v>100</v>
      </c>
      <c r="M48" s="97">
        <f>prodnorm49</f>
        <v>0</v>
      </c>
      <c r="N48" s="41">
        <f>dagwerk49</f>
        <v>0</v>
      </c>
      <c r="O48" s="94" t="s">
        <v>106</v>
      </c>
      <c r="P48" s="26">
        <f>uurtarief49</f>
        <v>0</v>
      </c>
      <c r="Q48" s="96" t="e">
        <f>IF(ISBLANK(M48),0,L48/M48)</f>
        <v>#DIV/0!</v>
      </c>
      <c r="R48" s="96" t="e">
        <f>IF(ISBLANK(M48),0,Q48*N48)</f>
        <v>#DIV/0!</v>
      </c>
      <c r="S48" s="26" t="e">
        <f>P48*Q48</f>
        <v>#DIV/0!</v>
      </c>
      <c r="T48" s="96" t="e">
        <f>Q48*dagenperjaar1</f>
        <v>#DIV/0!</v>
      </c>
      <c r="U48" s="27" t="e">
        <f>T48*P48</f>
        <v>#DIV/0!</v>
      </c>
    </row>
    <row r="49" spans="1:21" x14ac:dyDescent="0.3">
      <c r="A49" s="93" t="s">
        <v>288</v>
      </c>
      <c r="B49" s="94" t="s">
        <v>289</v>
      </c>
      <c r="C49" s="94" t="s">
        <v>290</v>
      </c>
      <c r="D49" s="94" t="s">
        <v>363</v>
      </c>
      <c r="E49" s="95" t="s">
        <v>364</v>
      </c>
      <c r="F49" s="94" t="s">
        <v>296</v>
      </c>
      <c r="G49" s="94" t="s">
        <v>253</v>
      </c>
      <c r="H49" s="94" t="s">
        <v>11</v>
      </c>
      <c r="I49" s="94" t="s">
        <v>219</v>
      </c>
      <c r="J49" s="94"/>
      <c r="K49" s="96">
        <v>79.8</v>
      </c>
      <c r="L49" s="96">
        <f>K49*VLOOKUP(H49,dagsoorttabel1,2,FALSE)</f>
        <v>79.8</v>
      </c>
      <c r="M49" s="97">
        <f>prodnorm49</f>
        <v>0</v>
      </c>
      <c r="N49" s="41">
        <f>dagwerk49</f>
        <v>0</v>
      </c>
      <c r="O49" s="94" t="s">
        <v>106</v>
      </c>
      <c r="P49" s="26">
        <f>uurtarief49</f>
        <v>0</v>
      </c>
      <c r="Q49" s="96" t="e">
        <f>IF(ISBLANK(M49),0,L49/M49)</f>
        <v>#DIV/0!</v>
      </c>
      <c r="R49" s="96" t="e">
        <f>IF(ISBLANK(M49),0,Q49*N49)</f>
        <v>#DIV/0!</v>
      </c>
      <c r="S49" s="26" t="e">
        <f>P49*Q49</f>
        <v>#DIV/0!</v>
      </c>
      <c r="T49" s="96" t="e">
        <f>Q49*dagenperjaar1</f>
        <v>#DIV/0!</v>
      </c>
      <c r="U49" s="27" t="e">
        <f>T49*P49</f>
        <v>#DIV/0!</v>
      </c>
    </row>
    <row r="50" spans="1:21" x14ac:dyDescent="0.3">
      <c r="A50" s="93" t="s">
        <v>288</v>
      </c>
      <c r="B50" s="94" t="s">
        <v>289</v>
      </c>
      <c r="C50" s="94" t="s">
        <v>290</v>
      </c>
      <c r="D50" s="94" t="s">
        <v>365</v>
      </c>
      <c r="E50" s="95" t="s">
        <v>364</v>
      </c>
      <c r="F50" s="94" t="s">
        <v>296</v>
      </c>
      <c r="G50" s="94" t="s">
        <v>253</v>
      </c>
      <c r="H50" s="94" t="s">
        <v>11</v>
      </c>
      <c r="I50" s="94" t="s">
        <v>219</v>
      </c>
      <c r="J50" s="94"/>
      <c r="K50" s="96">
        <v>79.8</v>
      </c>
      <c r="L50" s="96">
        <f>K50*VLOOKUP(H50,dagsoorttabel1,2,FALSE)</f>
        <v>79.8</v>
      </c>
      <c r="M50" s="97">
        <f>prodnorm49</f>
        <v>0</v>
      </c>
      <c r="N50" s="41">
        <f>dagwerk49</f>
        <v>0</v>
      </c>
      <c r="O50" s="94" t="s">
        <v>106</v>
      </c>
      <c r="P50" s="26">
        <f>uurtarief49</f>
        <v>0</v>
      </c>
      <c r="Q50" s="96" t="e">
        <f>IF(ISBLANK(M50),0,L50/M50)</f>
        <v>#DIV/0!</v>
      </c>
      <c r="R50" s="96" t="e">
        <f>IF(ISBLANK(M50),0,Q50*N50)</f>
        <v>#DIV/0!</v>
      </c>
      <c r="S50" s="26" t="e">
        <f>P50*Q50</f>
        <v>#DIV/0!</v>
      </c>
      <c r="T50" s="96" t="e">
        <f>Q50*dagenperjaar1</f>
        <v>#DIV/0!</v>
      </c>
      <c r="U50" s="27" t="e">
        <f>T50*P50</f>
        <v>#DIV/0!</v>
      </c>
    </row>
    <row r="51" spans="1:21" x14ac:dyDescent="0.3">
      <c r="A51" s="93" t="s">
        <v>288</v>
      </c>
      <c r="B51" s="94" t="s">
        <v>289</v>
      </c>
      <c r="C51" s="94" t="s">
        <v>290</v>
      </c>
      <c r="D51" s="94" t="s">
        <v>366</v>
      </c>
      <c r="E51" s="95" t="s">
        <v>338</v>
      </c>
      <c r="F51" s="94" t="s">
        <v>296</v>
      </c>
      <c r="G51" s="94" t="s">
        <v>267</v>
      </c>
      <c r="H51" s="94" t="s">
        <v>11</v>
      </c>
      <c r="I51" s="94" t="s">
        <v>219</v>
      </c>
      <c r="J51" s="94"/>
      <c r="K51" s="96">
        <v>128</v>
      </c>
      <c r="L51" s="96">
        <f>K51*VLOOKUP(H51,dagsoorttabel1,2,FALSE)</f>
        <v>128</v>
      </c>
      <c r="M51" s="97">
        <f>prodnorm63</f>
        <v>0</v>
      </c>
      <c r="N51" s="41">
        <f>dagwerk63</f>
        <v>0</v>
      </c>
      <c r="O51" s="94" t="s">
        <v>106</v>
      </c>
      <c r="P51" s="26">
        <f>uurtarief63</f>
        <v>0</v>
      </c>
      <c r="Q51" s="96" t="e">
        <f>IF(ISBLANK(M51),0,L51/M51)</f>
        <v>#DIV/0!</v>
      </c>
      <c r="R51" s="96" t="e">
        <f>IF(ISBLANK(M51),0,Q51*N51)</f>
        <v>#DIV/0!</v>
      </c>
      <c r="S51" s="26" t="e">
        <f>P51*Q51</f>
        <v>#DIV/0!</v>
      </c>
      <c r="T51" s="96" t="e">
        <f>Q51*dagenperjaar1</f>
        <v>#DIV/0!</v>
      </c>
      <c r="U51" s="27" t="e">
        <f>T51*P51</f>
        <v>#DIV/0!</v>
      </c>
    </row>
    <row r="52" spans="1:21" x14ac:dyDescent="0.3">
      <c r="A52" s="93" t="s">
        <v>288</v>
      </c>
      <c r="B52" s="94" t="s">
        <v>289</v>
      </c>
      <c r="C52" s="94" t="s">
        <v>290</v>
      </c>
      <c r="D52" s="94" t="s">
        <v>367</v>
      </c>
      <c r="E52" s="95" t="s">
        <v>308</v>
      </c>
      <c r="F52" s="94" t="s">
        <v>299</v>
      </c>
      <c r="G52" s="94" t="s">
        <v>223</v>
      </c>
      <c r="H52" s="94" t="s">
        <v>18</v>
      </c>
      <c r="I52" s="94" t="s">
        <v>219</v>
      </c>
      <c r="J52" s="94"/>
      <c r="K52" s="96">
        <v>18.3</v>
      </c>
      <c r="L52" s="96">
        <f>K52*VLOOKUP(H52,dagsoorttabel1,2,FALSE)</f>
        <v>3.66</v>
      </c>
      <c r="M52" s="97">
        <f>prodnorm19</f>
        <v>0</v>
      </c>
      <c r="N52" s="41">
        <f>dagwerk19</f>
        <v>0</v>
      </c>
      <c r="O52" s="94" t="s">
        <v>106</v>
      </c>
      <c r="P52" s="26">
        <f>uurtarief19</f>
        <v>0</v>
      </c>
      <c r="Q52" s="96" t="e">
        <f>IF(ISBLANK(M52),0,L52/M52)</f>
        <v>#DIV/0!</v>
      </c>
      <c r="R52" s="96" t="e">
        <f>IF(ISBLANK(M52),0,Q52*N52)</f>
        <v>#DIV/0!</v>
      </c>
      <c r="S52" s="26" t="e">
        <f>P52*Q52</f>
        <v>#DIV/0!</v>
      </c>
      <c r="T52" s="96" t="e">
        <f>Q52*dagenperjaar1</f>
        <v>#DIV/0!</v>
      </c>
      <c r="U52" s="27" t="e">
        <f>T52*P52</f>
        <v>#DIV/0!</v>
      </c>
    </row>
    <row r="53" spans="1:21" x14ac:dyDescent="0.3">
      <c r="A53" s="93" t="s">
        <v>288</v>
      </c>
      <c r="B53" s="94" t="s">
        <v>289</v>
      </c>
      <c r="C53" s="94" t="s">
        <v>290</v>
      </c>
      <c r="D53" s="94" t="s">
        <v>368</v>
      </c>
      <c r="E53" s="95" t="s">
        <v>338</v>
      </c>
      <c r="F53" s="94" t="s">
        <v>299</v>
      </c>
      <c r="G53" s="94" t="s">
        <v>267</v>
      </c>
      <c r="H53" s="94" t="s">
        <v>11</v>
      </c>
      <c r="I53" s="94" t="s">
        <v>219</v>
      </c>
      <c r="J53" s="94"/>
      <c r="K53" s="96">
        <v>14</v>
      </c>
      <c r="L53" s="96">
        <f>K53*VLOOKUP(H53,dagsoorttabel1,2,FALSE)</f>
        <v>14</v>
      </c>
      <c r="M53" s="97">
        <f>prodnorm63</f>
        <v>0</v>
      </c>
      <c r="N53" s="41">
        <f>dagwerk63</f>
        <v>0</v>
      </c>
      <c r="O53" s="94" t="s">
        <v>106</v>
      </c>
      <c r="P53" s="26">
        <f>uurtarief63</f>
        <v>0</v>
      </c>
      <c r="Q53" s="96" t="e">
        <f>IF(ISBLANK(M53),0,L53/M53)</f>
        <v>#DIV/0!</v>
      </c>
      <c r="R53" s="96" t="e">
        <f>IF(ISBLANK(M53),0,Q53*N53)</f>
        <v>#DIV/0!</v>
      </c>
      <c r="S53" s="26" t="e">
        <f>P53*Q53</f>
        <v>#DIV/0!</v>
      </c>
      <c r="T53" s="96" t="e">
        <f>Q53*dagenperjaar1</f>
        <v>#DIV/0!</v>
      </c>
      <c r="U53" s="27" t="e">
        <f>T53*P53</f>
        <v>#DIV/0!</v>
      </c>
    </row>
    <row r="54" spans="1:21" x14ac:dyDescent="0.3">
      <c r="A54" s="93" t="s">
        <v>288</v>
      </c>
      <c r="B54" s="94" t="s">
        <v>289</v>
      </c>
      <c r="C54" s="94" t="s">
        <v>290</v>
      </c>
      <c r="D54" s="94" t="s">
        <v>369</v>
      </c>
      <c r="E54" s="95" t="s">
        <v>306</v>
      </c>
      <c r="F54" s="94" t="s">
        <v>296</v>
      </c>
      <c r="G54" s="94" t="s">
        <v>267</v>
      </c>
      <c r="H54" s="94" t="s">
        <v>11</v>
      </c>
      <c r="I54" s="94" t="s">
        <v>219</v>
      </c>
      <c r="J54" s="94"/>
      <c r="K54" s="96">
        <v>19</v>
      </c>
      <c r="L54" s="96">
        <f>K54*VLOOKUP(H54,dagsoorttabel1,2,FALSE)</f>
        <v>19</v>
      </c>
      <c r="M54" s="97">
        <f>prodnorm63</f>
        <v>0</v>
      </c>
      <c r="N54" s="41">
        <f>dagwerk63</f>
        <v>0</v>
      </c>
      <c r="O54" s="94" t="s">
        <v>106</v>
      </c>
      <c r="P54" s="26">
        <f>uurtarief63</f>
        <v>0</v>
      </c>
      <c r="Q54" s="96" t="e">
        <f>IF(ISBLANK(M54),0,L54/M54)</f>
        <v>#DIV/0!</v>
      </c>
      <c r="R54" s="96" t="e">
        <f>IF(ISBLANK(M54),0,Q54*N54)</f>
        <v>#DIV/0!</v>
      </c>
      <c r="S54" s="26" t="e">
        <f>P54*Q54</f>
        <v>#DIV/0!</v>
      </c>
      <c r="T54" s="96" t="e">
        <f>Q54*dagenperjaar1</f>
        <v>#DIV/0!</v>
      </c>
      <c r="U54" s="27" t="e">
        <f>T54*P54</f>
        <v>#DIV/0!</v>
      </c>
    </row>
    <row r="55" spans="1:21" x14ac:dyDescent="0.3">
      <c r="A55" s="93" t="s">
        <v>288</v>
      </c>
      <c r="B55" s="94" t="s">
        <v>289</v>
      </c>
      <c r="C55" s="94" t="s">
        <v>290</v>
      </c>
      <c r="D55" s="94" t="s">
        <v>370</v>
      </c>
      <c r="E55" s="95" t="s">
        <v>303</v>
      </c>
      <c r="F55" s="94" t="s">
        <v>304</v>
      </c>
      <c r="G55" s="94" t="s">
        <v>265</v>
      </c>
      <c r="H55" s="94" t="s">
        <v>11</v>
      </c>
      <c r="I55" s="94" t="s">
        <v>219</v>
      </c>
      <c r="J55" s="94"/>
      <c r="K55" s="96">
        <v>13</v>
      </c>
      <c r="L55" s="96">
        <f>K55*VLOOKUP(H55,dagsoorttabel1,2,FALSE)</f>
        <v>13</v>
      </c>
      <c r="M55" s="97">
        <f>prodnorm61</f>
        <v>0</v>
      </c>
      <c r="N55" s="41">
        <f>dagwerk61</f>
        <v>0</v>
      </c>
      <c r="O55" s="94" t="s">
        <v>106</v>
      </c>
      <c r="P55" s="26">
        <f>uurtarief61</f>
        <v>0</v>
      </c>
      <c r="Q55" s="96" t="e">
        <f>IF(ISBLANK(M55),0,L55/M55)</f>
        <v>#DIV/0!</v>
      </c>
      <c r="R55" s="96" t="e">
        <f>IF(ISBLANK(M55),0,Q55*N55)</f>
        <v>#DIV/0!</v>
      </c>
      <c r="S55" s="26" t="e">
        <f>P55*Q55</f>
        <v>#DIV/0!</v>
      </c>
      <c r="T55" s="96" t="e">
        <f>Q55*dagenperjaar1</f>
        <v>#DIV/0!</v>
      </c>
      <c r="U55" s="27" t="e">
        <f>T55*P55</f>
        <v>#DIV/0!</v>
      </c>
    </row>
    <row r="56" spans="1:21" x14ac:dyDescent="0.3">
      <c r="A56" s="93" t="s">
        <v>288</v>
      </c>
      <c r="B56" s="94" t="s">
        <v>289</v>
      </c>
      <c r="C56" s="94" t="s">
        <v>290</v>
      </c>
      <c r="D56" s="94" t="s">
        <v>371</v>
      </c>
      <c r="E56" s="95" t="s">
        <v>295</v>
      </c>
      <c r="F56" s="94" t="s">
        <v>296</v>
      </c>
      <c r="G56" s="94" t="s">
        <v>241</v>
      </c>
      <c r="H56" s="94" t="s">
        <v>11</v>
      </c>
      <c r="I56" s="94" t="s">
        <v>219</v>
      </c>
      <c r="J56" s="94"/>
      <c r="K56" s="96">
        <v>60</v>
      </c>
      <c r="L56" s="96">
        <f>K56*VLOOKUP(H56,dagsoorttabel1,2,FALSE)</f>
        <v>60</v>
      </c>
      <c r="M56" s="97">
        <f>prodnorm38</f>
        <v>0</v>
      </c>
      <c r="N56" s="41">
        <f>dagwerk38</f>
        <v>0</v>
      </c>
      <c r="O56" s="94" t="s">
        <v>106</v>
      </c>
      <c r="P56" s="26">
        <f>uurtarief38</f>
        <v>0</v>
      </c>
      <c r="Q56" s="96" t="e">
        <f>IF(ISBLANK(M56),0,L56/M56)</f>
        <v>#DIV/0!</v>
      </c>
      <c r="R56" s="96" t="e">
        <f>IF(ISBLANK(M56),0,Q56*N56)</f>
        <v>#DIV/0!</v>
      </c>
      <c r="S56" s="26" t="e">
        <f>P56*Q56</f>
        <v>#DIV/0!</v>
      </c>
      <c r="T56" s="96" t="e">
        <f>Q56*dagenperjaar1</f>
        <v>#DIV/0!</v>
      </c>
      <c r="U56" s="27" t="e">
        <f>T56*P56</f>
        <v>#DIV/0!</v>
      </c>
    </row>
    <row r="57" spans="1:21" x14ac:dyDescent="0.3">
      <c r="A57" s="93" t="s">
        <v>288</v>
      </c>
      <c r="B57" s="94" t="s">
        <v>289</v>
      </c>
      <c r="C57" s="94" t="s">
        <v>290</v>
      </c>
      <c r="D57" s="94" t="s">
        <v>372</v>
      </c>
      <c r="E57" s="95" t="s">
        <v>295</v>
      </c>
      <c r="F57" s="94" t="s">
        <v>296</v>
      </c>
      <c r="G57" s="94" t="s">
        <v>241</v>
      </c>
      <c r="H57" s="94" t="s">
        <v>11</v>
      </c>
      <c r="I57" s="94" t="s">
        <v>219</v>
      </c>
      <c r="J57" s="94"/>
      <c r="K57" s="96">
        <v>56</v>
      </c>
      <c r="L57" s="96">
        <f>K57*VLOOKUP(H57,dagsoorttabel1,2,FALSE)</f>
        <v>56</v>
      </c>
      <c r="M57" s="97">
        <f>prodnorm38</f>
        <v>0</v>
      </c>
      <c r="N57" s="41">
        <f>dagwerk38</f>
        <v>0</v>
      </c>
      <c r="O57" s="94" t="s">
        <v>106</v>
      </c>
      <c r="P57" s="26">
        <f>uurtarief38</f>
        <v>0</v>
      </c>
      <c r="Q57" s="96" t="e">
        <f>IF(ISBLANK(M57),0,L57/M57)</f>
        <v>#DIV/0!</v>
      </c>
      <c r="R57" s="96" t="e">
        <f>IF(ISBLANK(M57),0,Q57*N57)</f>
        <v>#DIV/0!</v>
      </c>
      <c r="S57" s="26" t="e">
        <f>P57*Q57</f>
        <v>#DIV/0!</v>
      </c>
      <c r="T57" s="96" t="e">
        <f>Q57*dagenperjaar1</f>
        <v>#DIV/0!</v>
      </c>
      <c r="U57" s="27" t="e">
        <f>T57*P57</f>
        <v>#DIV/0!</v>
      </c>
    </row>
    <row r="58" spans="1:21" x14ac:dyDescent="0.3">
      <c r="A58" s="93" t="s">
        <v>288</v>
      </c>
      <c r="B58" s="94" t="s">
        <v>289</v>
      </c>
      <c r="C58" s="94" t="s">
        <v>290</v>
      </c>
      <c r="D58" s="94" t="s">
        <v>373</v>
      </c>
      <c r="E58" s="95" t="s">
        <v>295</v>
      </c>
      <c r="F58" s="94" t="s">
        <v>296</v>
      </c>
      <c r="G58" s="94" t="s">
        <v>241</v>
      </c>
      <c r="H58" s="94" t="s">
        <v>11</v>
      </c>
      <c r="I58" s="94" t="s">
        <v>219</v>
      </c>
      <c r="J58" s="94"/>
      <c r="K58" s="96">
        <v>56</v>
      </c>
      <c r="L58" s="96">
        <f>K58*VLOOKUP(H58,dagsoorttabel1,2,FALSE)</f>
        <v>56</v>
      </c>
      <c r="M58" s="97">
        <f>prodnorm38</f>
        <v>0</v>
      </c>
      <c r="N58" s="41">
        <f>dagwerk38</f>
        <v>0</v>
      </c>
      <c r="O58" s="94" t="s">
        <v>106</v>
      </c>
      <c r="P58" s="26">
        <f>uurtarief38</f>
        <v>0</v>
      </c>
      <c r="Q58" s="96" t="e">
        <f>IF(ISBLANK(M58),0,L58/M58)</f>
        <v>#DIV/0!</v>
      </c>
      <c r="R58" s="96" t="e">
        <f>IF(ISBLANK(M58),0,Q58*N58)</f>
        <v>#DIV/0!</v>
      </c>
      <c r="S58" s="26" t="e">
        <f>P58*Q58</f>
        <v>#DIV/0!</v>
      </c>
      <c r="T58" s="96" t="e">
        <f>Q58*dagenperjaar1</f>
        <v>#DIV/0!</v>
      </c>
      <c r="U58" s="27" t="e">
        <f>T58*P58</f>
        <v>#DIV/0!</v>
      </c>
    </row>
    <row r="59" spans="1:21" x14ac:dyDescent="0.3">
      <c r="A59" s="93" t="s">
        <v>288</v>
      </c>
      <c r="B59" s="94" t="s">
        <v>289</v>
      </c>
      <c r="C59" s="94" t="s">
        <v>290</v>
      </c>
      <c r="D59" s="94" t="s">
        <v>374</v>
      </c>
      <c r="E59" s="95" t="s">
        <v>295</v>
      </c>
      <c r="F59" s="94" t="s">
        <v>296</v>
      </c>
      <c r="G59" s="94" t="s">
        <v>241</v>
      </c>
      <c r="H59" s="94" t="s">
        <v>11</v>
      </c>
      <c r="I59" s="94" t="s">
        <v>219</v>
      </c>
      <c r="J59" s="94"/>
      <c r="K59" s="96">
        <v>66</v>
      </c>
      <c r="L59" s="96">
        <f>K59*VLOOKUP(H59,dagsoorttabel1,2,FALSE)</f>
        <v>66</v>
      </c>
      <c r="M59" s="97">
        <f>prodnorm38</f>
        <v>0</v>
      </c>
      <c r="N59" s="41">
        <f>dagwerk38</f>
        <v>0</v>
      </c>
      <c r="O59" s="94" t="s">
        <v>106</v>
      </c>
      <c r="P59" s="26">
        <f>uurtarief38</f>
        <v>0</v>
      </c>
      <c r="Q59" s="96" t="e">
        <f>IF(ISBLANK(M59),0,L59/M59)</f>
        <v>#DIV/0!</v>
      </c>
      <c r="R59" s="96" t="e">
        <f>IF(ISBLANK(M59),0,Q59*N59)</f>
        <v>#DIV/0!</v>
      </c>
      <c r="S59" s="26" t="e">
        <f>P59*Q59</f>
        <v>#DIV/0!</v>
      </c>
      <c r="T59" s="96" t="e">
        <f>Q59*dagenperjaar1</f>
        <v>#DIV/0!</v>
      </c>
      <c r="U59" s="27" t="e">
        <f>T59*P59</f>
        <v>#DIV/0!</v>
      </c>
    </row>
    <row r="60" spans="1:21" x14ac:dyDescent="0.3">
      <c r="A60" s="93" t="s">
        <v>288</v>
      </c>
      <c r="B60" s="94" t="s">
        <v>289</v>
      </c>
      <c r="C60" s="94" t="s">
        <v>290</v>
      </c>
      <c r="D60" s="94" t="s">
        <v>375</v>
      </c>
      <c r="E60" s="95" t="s">
        <v>308</v>
      </c>
      <c r="F60" s="94" t="s">
        <v>296</v>
      </c>
      <c r="G60" s="94" t="s">
        <v>223</v>
      </c>
      <c r="H60" s="94" t="s">
        <v>18</v>
      </c>
      <c r="I60" s="94" t="s">
        <v>219</v>
      </c>
      <c r="J60" s="94"/>
      <c r="K60" s="96">
        <v>18.7</v>
      </c>
      <c r="L60" s="96">
        <f>K60*VLOOKUP(H60,dagsoorttabel1,2,FALSE)</f>
        <v>3.74</v>
      </c>
      <c r="M60" s="97">
        <f>prodnorm19</f>
        <v>0</v>
      </c>
      <c r="N60" s="41">
        <f>dagwerk19</f>
        <v>0</v>
      </c>
      <c r="O60" s="94" t="s">
        <v>106</v>
      </c>
      <c r="P60" s="26">
        <f>uurtarief19</f>
        <v>0</v>
      </c>
      <c r="Q60" s="96" t="e">
        <f>IF(ISBLANK(M60),0,L60/M60)</f>
        <v>#DIV/0!</v>
      </c>
      <c r="R60" s="96" t="e">
        <f>IF(ISBLANK(M60),0,Q60*N60)</f>
        <v>#DIV/0!</v>
      </c>
      <c r="S60" s="26" t="e">
        <f>P60*Q60</f>
        <v>#DIV/0!</v>
      </c>
      <c r="T60" s="96" t="e">
        <f>Q60*dagenperjaar1</f>
        <v>#DIV/0!</v>
      </c>
      <c r="U60" s="27" t="e">
        <f>T60*P60</f>
        <v>#DIV/0!</v>
      </c>
    </row>
    <row r="61" spans="1:21" x14ac:dyDescent="0.3">
      <c r="A61" s="93" t="s">
        <v>288</v>
      </c>
      <c r="B61" s="94" t="s">
        <v>289</v>
      </c>
      <c r="C61" s="94" t="s">
        <v>290</v>
      </c>
      <c r="D61" s="94" t="s">
        <v>376</v>
      </c>
      <c r="E61" s="95" t="s">
        <v>377</v>
      </c>
      <c r="F61" s="94" t="s">
        <v>296</v>
      </c>
      <c r="G61" s="94" t="s">
        <v>267</v>
      </c>
      <c r="H61" s="94" t="s">
        <v>11</v>
      </c>
      <c r="I61" s="94" t="s">
        <v>219</v>
      </c>
      <c r="J61" s="94"/>
      <c r="K61" s="96">
        <v>7.8</v>
      </c>
      <c r="L61" s="96">
        <f>K61*VLOOKUP(H61,dagsoorttabel1,2,FALSE)</f>
        <v>7.8</v>
      </c>
      <c r="M61" s="97">
        <f>prodnorm63</f>
        <v>0</v>
      </c>
      <c r="N61" s="41">
        <f>dagwerk63</f>
        <v>0</v>
      </c>
      <c r="O61" s="94" t="s">
        <v>106</v>
      </c>
      <c r="P61" s="26">
        <f>uurtarief63</f>
        <v>0</v>
      </c>
      <c r="Q61" s="96" t="e">
        <f>IF(ISBLANK(M61),0,L61/M61)</f>
        <v>#DIV/0!</v>
      </c>
      <c r="R61" s="96" t="e">
        <f>IF(ISBLANK(M61),0,Q61*N61)</f>
        <v>#DIV/0!</v>
      </c>
      <c r="S61" s="26" t="e">
        <f>P61*Q61</f>
        <v>#DIV/0!</v>
      </c>
      <c r="T61" s="96" t="e">
        <f>Q61*dagenperjaar1</f>
        <v>#DIV/0!</v>
      </c>
      <c r="U61" s="27" t="e">
        <f>T61*P61</f>
        <v>#DIV/0!</v>
      </c>
    </row>
    <row r="62" spans="1:21" x14ac:dyDescent="0.3">
      <c r="A62" s="93" t="s">
        <v>288</v>
      </c>
      <c r="B62" s="94" t="s">
        <v>289</v>
      </c>
      <c r="C62" s="94" t="s">
        <v>290</v>
      </c>
      <c r="D62" s="94" t="s">
        <v>378</v>
      </c>
      <c r="E62" s="95" t="s">
        <v>295</v>
      </c>
      <c r="F62" s="94" t="s">
        <v>296</v>
      </c>
      <c r="G62" s="94" t="s">
        <v>241</v>
      </c>
      <c r="H62" s="94" t="s">
        <v>11</v>
      </c>
      <c r="I62" s="94" t="s">
        <v>219</v>
      </c>
      <c r="J62" s="94"/>
      <c r="K62" s="96">
        <v>68</v>
      </c>
      <c r="L62" s="96">
        <f>K62*VLOOKUP(H62,dagsoorttabel1,2,FALSE)</f>
        <v>68</v>
      </c>
      <c r="M62" s="97">
        <f>prodnorm38</f>
        <v>0</v>
      </c>
      <c r="N62" s="41">
        <f>dagwerk38</f>
        <v>0</v>
      </c>
      <c r="O62" s="94" t="s">
        <v>106</v>
      </c>
      <c r="P62" s="26">
        <f>uurtarief38</f>
        <v>0</v>
      </c>
      <c r="Q62" s="96" t="e">
        <f>IF(ISBLANK(M62),0,L62/M62)</f>
        <v>#DIV/0!</v>
      </c>
      <c r="R62" s="96" t="e">
        <f>IF(ISBLANK(M62),0,Q62*N62)</f>
        <v>#DIV/0!</v>
      </c>
      <c r="S62" s="26" t="e">
        <f>P62*Q62</f>
        <v>#DIV/0!</v>
      </c>
      <c r="T62" s="96" t="e">
        <f>Q62*dagenperjaar1</f>
        <v>#DIV/0!</v>
      </c>
      <c r="U62" s="27" t="e">
        <f>T62*P62</f>
        <v>#DIV/0!</v>
      </c>
    </row>
    <row r="63" spans="1:21" x14ac:dyDescent="0.3">
      <c r="A63" s="93" t="s">
        <v>288</v>
      </c>
      <c r="B63" s="94" t="s">
        <v>289</v>
      </c>
      <c r="C63" s="94" t="s">
        <v>290</v>
      </c>
      <c r="D63" s="94" t="s">
        <v>379</v>
      </c>
      <c r="E63" s="95" t="s">
        <v>380</v>
      </c>
      <c r="F63" s="94" t="s">
        <v>296</v>
      </c>
      <c r="G63" s="94" t="s">
        <v>237</v>
      </c>
      <c r="H63" s="94" t="s">
        <v>11</v>
      </c>
      <c r="I63" s="94" t="s">
        <v>219</v>
      </c>
      <c r="J63" s="94"/>
      <c r="K63" s="96">
        <v>2</v>
      </c>
      <c r="L63" s="96">
        <f>K63*VLOOKUP(H63,dagsoorttabel1,2,FALSE)</f>
        <v>2</v>
      </c>
      <c r="M63" s="97">
        <f>prodnorm35</f>
        <v>0</v>
      </c>
      <c r="N63" s="41">
        <f>dagwerk35</f>
        <v>0</v>
      </c>
      <c r="O63" s="94" t="s">
        <v>106</v>
      </c>
      <c r="P63" s="26">
        <f>uurtarief35</f>
        <v>0</v>
      </c>
      <c r="Q63" s="96" t="e">
        <f>IF(ISBLANK(M63),0,L63/M63)</f>
        <v>#DIV/0!</v>
      </c>
      <c r="R63" s="96" t="e">
        <f>IF(ISBLANK(M63),0,Q63*N63)</f>
        <v>#DIV/0!</v>
      </c>
      <c r="S63" s="26" t="e">
        <f>P63*Q63</f>
        <v>#DIV/0!</v>
      </c>
      <c r="T63" s="96" t="e">
        <f>Q63*dagenperjaar1</f>
        <v>#DIV/0!</v>
      </c>
      <c r="U63" s="27" t="e">
        <f>T63*P63</f>
        <v>#DIV/0!</v>
      </c>
    </row>
    <row r="64" spans="1:21" x14ac:dyDescent="0.3">
      <c r="A64" s="93" t="s">
        <v>288</v>
      </c>
      <c r="B64" s="94" t="s">
        <v>289</v>
      </c>
      <c r="C64" s="94" t="s">
        <v>290</v>
      </c>
      <c r="D64" s="94" t="s">
        <v>381</v>
      </c>
      <c r="E64" s="95" t="s">
        <v>306</v>
      </c>
      <c r="F64" s="94" t="s">
        <v>296</v>
      </c>
      <c r="G64" s="94" t="s">
        <v>267</v>
      </c>
      <c r="H64" s="94" t="s">
        <v>11</v>
      </c>
      <c r="I64" s="94" t="s">
        <v>219</v>
      </c>
      <c r="J64" s="94"/>
      <c r="K64" s="96">
        <v>19</v>
      </c>
      <c r="L64" s="96">
        <f>K64*VLOOKUP(H64,dagsoorttabel1,2,FALSE)</f>
        <v>19</v>
      </c>
      <c r="M64" s="97">
        <f>prodnorm63</f>
        <v>0</v>
      </c>
      <c r="N64" s="41">
        <f>dagwerk63</f>
        <v>0</v>
      </c>
      <c r="O64" s="94" t="s">
        <v>106</v>
      </c>
      <c r="P64" s="26">
        <f>uurtarief63</f>
        <v>0</v>
      </c>
      <c r="Q64" s="96" t="e">
        <f>IF(ISBLANK(M64),0,L64/M64)</f>
        <v>#DIV/0!</v>
      </c>
      <c r="R64" s="96" t="e">
        <f>IF(ISBLANK(M64),0,Q64*N64)</f>
        <v>#DIV/0!</v>
      </c>
      <c r="S64" s="26" t="e">
        <f>P64*Q64</f>
        <v>#DIV/0!</v>
      </c>
      <c r="T64" s="96" t="e">
        <f>Q64*dagenperjaar1</f>
        <v>#DIV/0!</v>
      </c>
      <c r="U64" s="27" t="e">
        <f>T64*P64</f>
        <v>#DIV/0!</v>
      </c>
    </row>
    <row r="65" spans="1:21" x14ac:dyDescent="0.3">
      <c r="A65" s="93" t="s">
        <v>288</v>
      </c>
      <c r="B65" s="94" t="s">
        <v>289</v>
      </c>
      <c r="C65" s="94" t="s">
        <v>290</v>
      </c>
      <c r="D65" s="94" t="s">
        <v>382</v>
      </c>
      <c r="E65" s="95" t="s">
        <v>303</v>
      </c>
      <c r="F65" s="94" t="s">
        <v>383</v>
      </c>
      <c r="G65" s="94" t="s">
        <v>265</v>
      </c>
      <c r="H65" s="94" t="s">
        <v>11</v>
      </c>
      <c r="I65" s="94" t="s">
        <v>219</v>
      </c>
      <c r="J65" s="94"/>
      <c r="K65" s="96">
        <v>13</v>
      </c>
      <c r="L65" s="96">
        <f>K65*VLOOKUP(H65,dagsoorttabel1,2,FALSE)</f>
        <v>13</v>
      </c>
      <c r="M65" s="97">
        <f>prodnorm61</f>
        <v>0</v>
      </c>
      <c r="N65" s="41">
        <f>dagwerk61</f>
        <v>0</v>
      </c>
      <c r="O65" s="94" t="s">
        <v>106</v>
      </c>
      <c r="P65" s="26">
        <f>uurtarief61</f>
        <v>0</v>
      </c>
      <c r="Q65" s="96" t="e">
        <f>IF(ISBLANK(M65),0,L65/M65)</f>
        <v>#DIV/0!</v>
      </c>
      <c r="R65" s="96" t="e">
        <f>IF(ISBLANK(M65),0,Q65*N65)</f>
        <v>#DIV/0!</v>
      </c>
      <c r="S65" s="26" t="e">
        <f>P65*Q65</f>
        <v>#DIV/0!</v>
      </c>
      <c r="T65" s="96" t="e">
        <f>Q65*dagenperjaar1</f>
        <v>#DIV/0!</v>
      </c>
      <c r="U65" s="27" t="e">
        <f>T65*P65</f>
        <v>#DIV/0!</v>
      </c>
    </row>
    <row r="66" spans="1:21" x14ac:dyDescent="0.3">
      <c r="A66" s="93" t="s">
        <v>288</v>
      </c>
      <c r="B66" s="94" t="s">
        <v>289</v>
      </c>
      <c r="C66" s="94" t="s">
        <v>290</v>
      </c>
      <c r="D66" s="94" t="s">
        <v>384</v>
      </c>
      <c r="E66" s="95" t="s">
        <v>338</v>
      </c>
      <c r="F66" s="94" t="s">
        <v>296</v>
      </c>
      <c r="G66" s="94" t="s">
        <v>267</v>
      </c>
      <c r="H66" s="94" t="s">
        <v>11</v>
      </c>
      <c r="I66" s="94" t="s">
        <v>219</v>
      </c>
      <c r="J66" s="94"/>
      <c r="K66" s="96">
        <v>28</v>
      </c>
      <c r="L66" s="96">
        <f>K66*VLOOKUP(H66,dagsoorttabel1,2,FALSE)</f>
        <v>28</v>
      </c>
      <c r="M66" s="97">
        <f>prodnorm63</f>
        <v>0</v>
      </c>
      <c r="N66" s="41">
        <f>dagwerk63</f>
        <v>0</v>
      </c>
      <c r="O66" s="94" t="s">
        <v>106</v>
      </c>
      <c r="P66" s="26">
        <f>uurtarief63</f>
        <v>0</v>
      </c>
      <c r="Q66" s="96" t="e">
        <f>IF(ISBLANK(M66),0,L66/M66)</f>
        <v>#DIV/0!</v>
      </c>
      <c r="R66" s="96" t="e">
        <f>IF(ISBLANK(M66),0,Q66*N66)</f>
        <v>#DIV/0!</v>
      </c>
      <c r="S66" s="26" t="e">
        <f>P66*Q66</f>
        <v>#DIV/0!</v>
      </c>
      <c r="T66" s="96" t="e">
        <f>Q66*dagenperjaar1</f>
        <v>#DIV/0!</v>
      </c>
      <c r="U66" s="27" t="e">
        <f>T66*P66</f>
        <v>#DIV/0!</v>
      </c>
    </row>
    <row r="67" spans="1:21" x14ac:dyDescent="0.3">
      <c r="A67" s="93" t="s">
        <v>288</v>
      </c>
      <c r="B67" s="94" t="s">
        <v>289</v>
      </c>
      <c r="C67" s="94" t="s">
        <v>290</v>
      </c>
      <c r="D67" s="94" t="s">
        <v>385</v>
      </c>
      <c r="E67" s="95" t="s">
        <v>386</v>
      </c>
      <c r="F67" s="94" t="s">
        <v>299</v>
      </c>
      <c r="G67" s="94" t="s">
        <v>223</v>
      </c>
      <c r="H67" s="94" t="s">
        <v>18</v>
      </c>
      <c r="I67" s="94" t="s">
        <v>219</v>
      </c>
      <c r="J67" s="94"/>
      <c r="K67" s="96">
        <v>15</v>
      </c>
      <c r="L67" s="96">
        <f>K67*VLOOKUP(H67,dagsoorttabel1,2,FALSE)</f>
        <v>3</v>
      </c>
      <c r="M67" s="97">
        <f>prodnorm19</f>
        <v>0</v>
      </c>
      <c r="N67" s="41">
        <f>dagwerk19</f>
        <v>0</v>
      </c>
      <c r="O67" s="94" t="s">
        <v>106</v>
      </c>
      <c r="P67" s="26">
        <f>uurtarief19</f>
        <v>0</v>
      </c>
      <c r="Q67" s="96" t="e">
        <f>IF(ISBLANK(M67),0,L67/M67)</f>
        <v>#DIV/0!</v>
      </c>
      <c r="R67" s="96" t="e">
        <f>IF(ISBLANK(M67),0,Q67*N67)</f>
        <v>#DIV/0!</v>
      </c>
      <c r="S67" s="26" t="e">
        <f>P67*Q67</f>
        <v>#DIV/0!</v>
      </c>
      <c r="T67" s="96" t="e">
        <f>Q67*dagenperjaar1</f>
        <v>#DIV/0!</v>
      </c>
      <c r="U67" s="27" t="e">
        <f>T67*P67</f>
        <v>#DIV/0!</v>
      </c>
    </row>
    <row r="68" spans="1:21" x14ac:dyDescent="0.3">
      <c r="A68" s="93" t="s">
        <v>288</v>
      </c>
      <c r="B68" s="94" t="s">
        <v>289</v>
      </c>
      <c r="C68" s="94" t="s">
        <v>290</v>
      </c>
      <c r="D68" s="94" t="s">
        <v>387</v>
      </c>
      <c r="E68" s="95" t="s">
        <v>388</v>
      </c>
      <c r="F68" s="94" t="s">
        <v>296</v>
      </c>
      <c r="G68" s="94" t="s">
        <v>267</v>
      </c>
      <c r="H68" s="94" t="s">
        <v>11</v>
      </c>
      <c r="I68" s="94" t="s">
        <v>219</v>
      </c>
      <c r="J68" s="94"/>
      <c r="K68" s="96">
        <v>8</v>
      </c>
      <c r="L68" s="96">
        <f>K68*VLOOKUP(H68,dagsoorttabel1,2,FALSE)</f>
        <v>8</v>
      </c>
      <c r="M68" s="97">
        <f>prodnorm63</f>
        <v>0</v>
      </c>
      <c r="N68" s="41">
        <f>dagwerk63</f>
        <v>0</v>
      </c>
      <c r="O68" s="94" t="s">
        <v>106</v>
      </c>
      <c r="P68" s="26">
        <f>uurtarief63</f>
        <v>0</v>
      </c>
      <c r="Q68" s="96" t="e">
        <f>IF(ISBLANK(M68),0,L68/M68)</f>
        <v>#DIV/0!</v>
      </c>
      <c r="R68" s="96" t="e">
        <f>IF(ISBLANK(M68),0,Q68*N68)</f>
        <v>#DIV/0!</v>
      </c>
      <c r="S68" s="26" t="e">
        <f>P68*Q68</f>
        <v>#DIV/0!</v>
      </c>
      <c r="T68" s="96" t="e">
        <f>Q68*dagenperjaar1</f>
        <v>#DIV/0!</v>
      </c>
      <c r="U68" s="27" t="e">
        <f>T68*P68</f>
        <v>#DIV/0!</v>
      </c>
    </row>
    <row r="69" spans="1:21" x14ac:dyDescent="0.3">
      <c r="A69" s="93" t="s">
        <v>288</v>
      </c>
      <c r="B69" s="94" t="s">
        <v>289</v>
      </c>
      <c r="C69" s="94" t="s">
        <v>290</v>
      </c>
      <c r="D69" s="94" t="s">
        <v>389</v>
      </c>
      <c r="E69" s="95" t="s">
        <v>390</v>
      </c>
      <c r="F69" s="94" t="s">
        <v>296</v>
      </c>
      <c r="G69" s="94" t="s">
        <v>223</v>
      </c>
      <c r="H69" s="94" t="s">
        <v>18</v>
      </c>
      <c r="I69" s="94" t="s">
        <v>219</v>
      </c>
      <c r="J69" s="94"/>
      <c r="K69" s="96">
        <v>13</v>
      </c>
      <c r="L69" s="96">
        <f>K69*VLOOKUP(H69,dagsoorttabel1,2,FALSE)</f>
        <v>2.6</v>
      </c>
      <c r="M69" s="97">
        <f>prodnorm19</f>
        <v>0</v>
      </c>
      <c r="N69" s="41">
        <f>dagwerk19</f>
        <v>0</v>
      </c>
      <c r="O69" s="94" t="s">
        <v>106</v>
      </c>
      <c r="P69" s="26">
        <f>uurtarief19</f>
        <v>0</v>
      </c>
      <c r="Q69" s="96" t="e">
        <f>IF(ISBLANK(M69),0,L69/M69)</f>
        <v>#DIV/0!</v>
      </c>
      <c r="R69" s="96" t="e">
        <f>IF(ISBLANK(M69),0,Q69*N69)</f>
        <v>#DIV/0!</v>
      </c>
      <c r="S69" s="26" t="e">
        <f>P69*Q69</f>
        <v>#DIV/0!</v>
      </c>
      <c r="T69" s="96" t="e">
        <f>Q69*dagenperjaar1</f>
        <v>#DIV/0!</v>
      </c>
      <c r="U69" s="27" t="e">
        <f>T69*P69</f>
        <v>#DIV/0!</v>
      </c>
    </row>
    <row r="70" spans="1:21" x14ac:dyDescent="0.3">
      <c r="A70" s="93" t="s">
        <v>288</v>
      </c>
      <c r="B70" s="94" t="s">
        <v>289</v>
      </c>
      <c r="C70" s="94" t="s">
        <v>290</v>
      </c>
      <c r="D70" s="94" t="s">
        <v>391</v>
      </c>
      <c r="E70" s="95" t="s">
        <v>392</v>
      </c>
      <c r="F70" s="94" t="s">
        <v>316</v>
      </c>
      <c r="G70" s="94" t="s">
        <v>261</v>
      </c>
      <c r="H70" s="94" t="s">
        <v>11</v>
      </c>
      <c r="I70" s="94" t="s">
        <v>219</v>
      </c>
      <c r="J70" s="94"/>
      <c r="K70" s="96">
        <v>8</v>
      </c>
      <c r="L70" s="96">
        <f>K70*VLOOKUP(H70,dagsoorttabel1,2,FALSE)</f>
        <v>8</v>
      </c>
      <c r="M70" s="97">
        <f>prodnorm56</f>
        <v>0</v>
      </c>
      <c r="N70" s="41">
        <f>dagwerk56</f>
        <v>0</v>
      </c>
      <c r="O70" s="94" t="s">
        <v>106</v>
      </c>
      <c r="P70" s="26">
        <f>uurtarief56</f>
        <v>0</v>
      </c>
      <c r="Q70" s="96" t="e">
        <f>IF(ISBLANK(M70),0,L70/M70)</f>
        <v>#DIV/0!</v>
      </c>
      <c r="R70" s="96" t="e">
        <f>IF(ISBLANK(M70),0,Q70*N70)</f>
        <v>#DIV/0!</v>
      </c>
      <c r="S70" s="26" t="e">
        <f>P70*Q70</f>
        <v>#DIV/0!</v>
      </c>
      <c r="T70" s="96" t="e">
        <f>Q70*dagenperjaar1</f>
        <v>#DIV/0!</v>
      </c>
      <c r="U70" s="27" t="e">
        <f>T70*P70</f>
        <v>#DIV/0!</v>
      </c>
    </row>
    <row r="71" spans="1:21" x14ac:dyDescent="0.3">
      <c r="A71" s="93" t="s">
        <v>288</v>
      </c>
      <c r="B71" s="94" t="s">
        <v>289</v>
      </c>
      <c r="C71" s="94" t="s">
        <v>290</v>
      </c>
      <c r="D71" s="94" t="s">
        <v>391</v>
      </c>
      <c r="E71" s="95" t="s">
        <v>392</v>
      </c>
      <c r="F71" s="94" t="s">
        <v>316</v>
      </c>
      <c r="G71" s="94" t="s">
        <v>263</v>
      </c>
      <c r="H71" s="94" t="s">
        <v>11</v>
      </c>
      <c r="I71" s="94" t="s">
        <v>219</v>
      </c>
      <c r="J71" s="94"/>
      <c r="K71" s="96">
        <v>8</v>
      </c>
      <c r="L71" s="96">
        <f>K71*VLOOKUP(H71,dagsoorttabel1,2,FALSE)</f>
        <v>8</v>
      </c>
      <c r="M71" s="97">
        <f>prodnorm58</f>
        <v>0</v>
      </c>
      <c r="N71" s="41">
        <f>dagwerk58</f>
        <v>0</v>
      </c>
      <c r="O71" s="94" t="s">
        <v>106</v>
      </c>
      <c r="P71" s="26">
        <f>uurtarief58</f>
        <v>0</v>
      </c>
      <c r="Q71" s="96" t="e">
        <f>IF(ISBLANK(M71),0,L71/M71)</f>
        <v>#DIV/0!</v>
      </c>
      <c r="R71" s="96" t="e">
        <f>IF(ISBLANK(M71),0,Q71*N71)</f>
        <v>#DIV/0!</v>
      </c>
      <c r="S71" s="26" t="e">
        <f>P71*Q71</f>
        <v>#DIV/0!</v>
      </c>
      <c r="T71" s="96" t="e">
        <f>Q71*dagenperjaar1</f>
        <v>#DIV/0!</v>
      </c>
      <c r="U71" s="27" t="e">
        <f>T71*P71</f>
        <v>#DIV/0!</v>
      </c>
    </row>
    <row r="72" spans="1:21" x14ac:dyDescent="0.3">
      <c r="A72" s="93" t="s">
        <v>288</v>
      </c>
      <c r="B72" s="94" t="s">
        <v>289</v>
      </c>
      <c r="C72" s="94" t="s">
        <v>290</v>
      </c>
      <c r="D72" s="94" t="s">
        <v>393</v>
      </c>
      <c r="E72" s="95" t="s">
        <v>394</v>
      </c>
      <c r="F72" s="94" t="s">
        <v>316</v>
      </c>
      <c r="G72" s="94" t="s">
        <v>261</v>
      </c>
      <c r="H72" s="94" t="s">
        <v>11</v>
      </c>
      <c r="I72" s="94" t="s">
        <v>219</v>
      </c>
      <c r="J72" s="94"/>
      <c r="K72" s="96">
        <v>4.5</v>
      </c>
      <c r="L72" s="96">
        <f>K72*VLOOKUP(H72,dagsoorttabel1,2,FALSE)</f>
        <v>4.5</v>
      </c>
      <c r="M72" s="97">
        <f>prodnorm56</f>
        <v>0</v>
      </c>
      <c r="N72" s="41">
        <f>dagwerk56</f>
        <v>0</v>
      </c>
      <c r="O72" s="94" t="s">
        <v>106</v>
      </c>
      <c r="P72" s="26">
        <f>uurtarief56</f>
        <v>0</v>
      </c>
      <c r="Q72" s="96" t="e">
        <f>IF(ISBLANK(M72),0,L72/M72)</f>
        <v>#DIV/0!</v>
      </c>
      <c r="R72" s="96" t="e">
        <f>IF(ISBLANK(M72),0,Q72*N72)</f>
        <v>#DIV/0!</v>
      </c>
      <c r="S72" s="26" t="e">
        <f>P72*Q72</f>
        <v>#DIV/0!</v>
      </c>
      <c r="T72" s="96" t="e">
        <f>Q72*dagenperjaar1</f>
        <v>#DIV/0!</v>
      </c>
      <c r="U72" s="27" t="e">
        <f>T72*P72</f>
        <v>#DIV/0!</v>
      </c>
    </row>
    <row r="73" spans="1:21" x14ac:dyDescent="0.3">
      <c r="A73" s="93" t="s">
        <v>288</v>
      </c>
      <c r="B73" s="94" t="s">
        <v>289</v>
      </c>
      <c r="C73" s="94" t="s">
        <v>290</v>
      </c>
      <c r="D73" s="94" t="s">
        <v>393</v>
      </c>
      <c r="E73" s="95" t="s">
        <v>394</v>
      </c>
      <c r="F73" s="94" t="s">
        <v>316</v>
      </c>
      <c r="G73" s="94" t="s">
        <v>263</v>
      </c>
      <c r="H73" s="94" t="s">
        <v>11</v>
      </c>
      <c r="I73" s="94" t="s">
        <v>219</v>
      </c>
      <c r="J73" s="94"/>
      <c r="K73" s="96">
        <v>4.5</v>
      </c>
      <c r="L73" s="96">
        <f>K73*VLOOKUP(H73,dagsoorttabel1,2,FALSE)</f>
        <v>4.5</v>
      </c>
      <c r="M73" s="97">
        <f>prodnorm58</f>
        <v>0</v>
      </c>
      <c r="N73" s="41">
        <f>dagwerk58</f>
        <v>0</v>
      </c>
      <c r="O73" s="94" t="s">
        <v>106</v>
      </c>
      <c r="P73" s="26">
        <f>uurtarief58</f>
        <v>0</v>
      </c>
      <c r="Q73" s="96" t="e">
        <f>IF(ISBLANK(M73),0,L73/M73)</f>
        <v>#DIV/0!</v>
      </c>
      <c r="R73" s="96" t="e">
        <f>IF(ISBLANK(M73),0,Q73*N73)</f>
        <v>#DIV/0!</v>
      </c>
      <c r="S73" s="26" t="e">
        <f>P73*Q73</f>
        <v>#DIV/0!</v>
      </c>
      <c r="T73" s="96" t="e">
        <f>Q73*dagenperjaar1</f>
        <v>#DIV/0!</v>
      </c>
      <c r="U73" s="27" t="e">
        <f>T73*P73</f>
        <v>#DIV/0!</v>
      </c>
    </row>
    <row r="74" spans="1:21" x14ac:dyDescent="0.3">
      <c r="A74" s="93" t="s">
        <v>288</v>
      </c>
      <c r="B74" s="94" t="s">
        <v>289</v>
      </c>
      <c r="C74" s="94" t="s">
        <v>290</v>
      </c>
      <c r="D74" s="94" t="s">
        <v>395</v>
      </c>
      <c r="E74" s="95" t="s">
        <v>396</v>
      </c>
      <c r="F74" s="94" t="s">
        <v>316</v>
      </c>
      <c r="G74" s="94" t="s">
        <v>261</v>
      </c>
      <c r="H74" s="94" t="s">
        <v>11</v>
      </c>
      <c r="I74" s="94" t="s">
        <v>219</v>
      </c>
      <c r="J74" s="94"/>
      <c r="K74" s="96">
        <v>8</v>
      </c>
      <c r="L74" s="96">
        <f>K74*VLOOKUP(H74,dagsoorttabel1,2,FALSE)</f>
        <v>8</v>
      </c>
      <c r="M74" s="97">
        <f>prodnorm56</f>
        <v>0</v>
      </c>
      <c r="N74" s="41">
        <f>dagwerk56</f>
        <v>0</v>
      </c>
      <c r="O74" s="94" t="s">
        <v>106</v>
      </c>
      <c r="P74" s="26">
        <f>uurtarief56</f>
        <v>0</v>
      </c>
      <c r="Q74" s="96" t="e">
        <f>IF(ISBLANK(M74),0,L74/M74)</f>
        <v>#DIV/0!</v>
      </c>
      <c r="R74" s="96" t="e">
        <f>IF(ISBLANK(M74),0,Q74*N74)</f>
        <v>#DIV/0!</v>
      </c>
      <c r="S74" s="26" t="e">
        <f>P74*Q74</f>
        <v>#DIV/0!</v>
      </c>
      <c r="T74" s="96" t="e">
        <f>Q74*dagenperjaar1</f>
        <v>#DIV/0!</v>
      </c>
      <c r="U74" s="27" t="e">
        <f>T74*P74</f>
        <v>#DIV/0!</v>
      </c>
    </row>
    <row r="75" spans="1:21" x14ac:dyDescent="0.3">
      <c r="A75" s="93" t="s">
        <v>288</v>
      </c>
      <c r="B75" s="94" t="s">
        <v>289</v>
      </c>
      <c r="C75" s="94" t="s">
        <v>290</v>
      </c>
      <c r="D75" s="94" t="s">
        <v>395</v>
      </c>
      <c r="E75" s="95" t="s">
        <v>396</v>
      </c>
      <c r="F75" s="94" t="s">
        <v>316</v>
      </c>
      <c r="G75" s="94" t="s">
        <v>263</v>
      </c>
      <c r="H75" s="94" t="s">
        <v>11</v>
      </c>
      <c r="I75" s="94" t="s">
        <v>219</v>
      </c>
      <c r="J75" s="94"/>
      <c r="K75" s="96">
        <v>8</v>
      </c>
      <c r="L75" s="96">
        <f>K75*VLOOKUP(H75,dagsoorttabel1,2,FALSE)</f>
        <v>8</v>
      </c>
      <c r="M75" s="97">
        <f>prodnorm58</f>
        <v>0</v>
      </c>
      <c r="N75" s="41">
        <f>dagwerk58</f>
        <v>0</v>
      </c>
      <c r="O75" s="94" t="s">
        <v>106</v>
      </c>
      <c r="P75" s="26">
        <f>uurtarief58</f>
        <v>0</v>
      </c>
      <c r="Q75" s="96" t="e">
        <f>IF(ISBLANK(M75),0,L75/M75)</f>
        <v>#DIV/0!</v>
      </c>
      <c r="R75" s="96" t="e">
        <f>IF(ISBLANK(M75),0,Q75*N75)</f>
        <v>#DIV/0!</v>
      </c>
      <c r="S75" s="26" t="e">
        <f>P75*Q75</f>
        <v>#DIV/0!</v>
      </c>
      <c r="T75" s="96" t="e">
        <f>Q75*dagenperjaar1</f>
        <v>#DIV/0!</v>
      </c>
      <c r="U75" s="27" t="e">
        <f>T75*P75</f>
        <v>#DIV/0!</v>
      </c>
    </row>
    <row r="76" spans="1:21" x14ac:dyDescent="0.3">
      <c r="A76" s="93" t="s">
        <v>288</v>
      </c>
      <c r="B76" s="94" t="s">
        <v>289</v>
      </c>
      <c r="C76" s="94" t="s">
        <v>290</v>
      </c>
      <c r="D76" s="94" t="s">
        <v>397</v>
      </c>
      <c r="E76" s="95" t="s">
        <v>308</v>
      </c>
      <c r="F76" s="94" t="s">
        <v>299</v>
      </c>
      <c r="G76" s="94" t="s">
        <v>223</v>
      </c>
      <c r="H76" s="94" t="s">
        <v>18</v>
      </c>
      <c r="I76" s="94" t="s">
        <v>219</v>
      </c>
      <c r="J76" s="94"/>
      <c r="K76" s="96">
        <v>10.5</v>
      </c>
      <c r="L76" s="96">
        <f>K76*VLOOKUP(H76,dagsoorttabel1,2,FALSE)</f>
        <v>2.1</v>
      </c>
      <c r="M76" s="97">
        <f>prodnorm19</f>
        <v>0</v>
      </c>
      <c r="N76" s="41">
        <f>dagwerk19</f>
        <v>0</v>
      </c>
      <c r="O76" s="94" t="s">
        <v>106</v>
      </c>
      <c r="P76" s="26">
        <f>uurtarief19</f>
        <v>0</v>
      </c>
      <c r="Q76" s="96" t="e">
        <f>IF(ISBLANK(M76),0,L76/M76)</f>
        <v>#DIV/0!</v>
      </c>
      <c r="R76" s="96" t="e">
        <f>IF(ISBLANK(M76),0,Q76*N76)</f>
        <v>#DIV/0!</v>
      </c>
      <c r="S76" s="26" t="e">
        <f>P76*Q76</f>
        <v>#DIV/0!</v>
      </c>
      <c r="T76" s="96" t="e">
        <f>Q76*dagenperjaar1</f>
        <v>#DIV/0!</v>
      </c>
      <c r="U76" s="27" t="e">
        <f>T76*P76</f>
        <v>#DIV/0!</v>
      </c>
    </row>
    <row r="77" spans="1:21" x14ac:dyDescent="0.3">
      <c r="A77" s="93" t="s">
        <v>288</v>
      </c>
      <c r="B77" s="94" t="s">
        <v>289</v>
      </c>
      <c r="C77" s="94" t="s">
        <v>290</v>
      </c>
      <c r="D77" s="94" t="s">
        <v>398</v>
      </c>
      <c r="E77" s="95" t="s">
        <v>399</v>
      </c>
      <c r="F77" s="94" t="s">
        <v>299</v>
      </c>
      <c r="G77" s="94" t="s">
        <v>223</v>
      </c>
      <c r="H77" s="94" t="s">
        <v>18</v>
      </c>
      <c r="I77" s="94" t="s">
        <v>219</v>
      </c>
      <c r="J77" s="94"/>
      <c r="K77" s="96">
        <v>36</v>
      </c>
      <c r="L77" s="96">
        <f>K77*VLOOKUP(H77,dagsoorttabel1,2,FALSE)</f>
        <v>7.2</v>
      </c>
      <c r="M77" s="97">
        <f>prodnorm19</f>
        <v>0</v>
      </c>
      <c r="N77" s="41">
        <f>dagwerk19</f>
        <v>0</v>
      </c>
      <c r="O77" s="94" t="s">
        <v>106</v>
      </c>
      <c r="P77" s="26">
        <f>uurtarief19</f>
        <v>0</v>
      </c>
      <c r="Q77" s="96" t="e">
        <f>IF(ISBLANK(M77),0,L77/M77)</f>
        <v>#DIV/0!</v>
      </c>
      <c r="R77" s="96" t="e">
        <f>IF(ISBLANK(M77),0,Q77*N77)</f>
        <v>#DIV/0!</v>
      </c>
      <c r="S77" s="26" t="e">
        <f>P77*Q77</f>
        <v>#DIV/0!</v>
      </c>
      <c r="T77" s="96" t="e">
        <f>Q77*dagenperjaar1</f>
        <v>#DIV/0!</v>
      </c>
      <c r="U77" s="27" t="e">
        <f>T77*P77</f>
        <v>#DIV/0!</v>
      </c>
    </row>
    <row r="78" spans="1:21" x14ac:dyDescent="0.3">
      <c r="A78" s="93" t="s">
        <v>288</v>
      </c>
      <c r="B78" s="94" t="s">
        <v>289</v>
      </c>
      <c r="C78" s="94" t="s">
        <v>290</v>
      </c>
      <c r="D78" s="94" t="s">
        <v>400</v>
      </c>
      <c r="E78" s="95" t="s">
        <v>308</v>
      </c>
      <c r="F78" s="94" t="s">
        <v>299</v>
      </c>
      <c r="G78" s="94" t="s">
        <v>223</v>
      </c>
      <c r="H78" s="94" t="s">
        <v>18</v>
      </c>
      <c r="I78" s="94" t="s">
        <v>219</v>
      </c>
      <c r="J78" s="94"/>
      <c r="K78" s="96">
        <v>37.479999999999997</v>
      </c>
      <c r="L78" s="96">
        <f>K78*VLOOKUP(H78,dagsoorttabel1,2,FALSE)</f>
        <v>7.4959999999999996</v>
      </c>
      <c r="M78" s="97">
        <f>prodnorm19</f>
        <v>0</v>
      </c>
      <c r="N78" s="41">
        <f>dagwerk19</f>
        <v>0</v>
      </c>
      <c r="O78" s="94" t="s">
        <v>106</v>
      </c>
      <c r="P78" s="26">
        <f>uurtarief19</f>
        <v>0</v>
      </c>
      <c r="Q78" s="96" t="e">
        <f>IF(ISBLANK(M78),0,L78/M78)</f>
        <v>#DIV/0!</v>
      </c>
      <c r="R78" s="96" t="e">
        <f>IF(ISBLANK(M78),0,Q78*N78)</f>
        <v>#DIV/0!</v>
      </c>
      <c r="S78" s="26" t="e">
        <f>P78*Q78</f>
        <v>#DIV/0!</v>
      </c>
      <c r="T78" s="96" t="e">
        <f>Q78*dagenperjaar1</f>
        <v>#DIV/0!</v>
      </c>
      <c r="U78" s="27" t="e">
        <f>T78*P78</f>
        <v>#DIV/0!</v>
      </c>
    </row>
    <row r="79" spans="1:21" x14ac:dyDescent="0.3">
      <c r="A79" s="93" t="s">
        <v>288</v>
      </c>
      <c r="B79" s="94" t="s">
        <v>289</v>
      </c>
      <c r="C79" s="94" t="s">
        <v>290</v>
      </c>
      <c r="D79" s="94" t="s">
        <v>401</v>
      </c>
      <c r="E79" s="95" t="s">
        <v>402</v>
      </c>
      <c r="F79" s="94" t="s">
        <v>299</v>
      </c>
      <c r="G79" s="94" t="s">
        <v>267</v>
      </c>
      <c r="H79" s="94" t="s">
        <v>11</v>
      </c>
      <c r="I79" s="94" t="s">
        <v>219</v>
      </c>
      <c r="J79" s="94"/>
      <c r="K79" s="96">
        <v>49</v>
      </c>
      <c r="L79" s="96">
        <f>K79*VLOOKUP(H79,dagsoorttabel1,2,FALSE)</f>
        <v>49</v>
      </c>
      <c r="M79" s="97">
        <f>prodnorm63</f>
        <v>0</v>
      </c>
      <c r="N79" s="41">
        <f>dagwerk63</f>
        <v>0</v>
      </c>
      <c r="O79" s="94" t="s">
        <v>106</v>
      </c>
      <c r="P79" s="26">
        <f>uurtarief63</f>
        <v>0</v>
      </c>
      <c r="Q79" s="96" t="e">
        <f>IF(ISBLANK(M79),0,L79/M79)</f>
        <v>#DIV/0!</v>
      </c>
      <c r="R79" s="96" t="e">
        <f>IF(ISBLANK(M79),0,Q79*N79)</f>
        <v>#DIV/0!</v>
      </c>
      <c r="S79" s="26" t="e">
        <f>P79*Q79</f>
        <v>#DIV/0!</v>
      </c>
      <c r="T79" s="96" t="e">
        <f>Q79*dagenperjaar1</f>
        <v>#DIV/0!</v>
      </c>
      <c r="U79" s="27" t="e">
        <f>T79*P79</f>
        <v>#DIV/0!</v>
      </c>
    </row>
    <row r="80" spans="1:21" x14ac:dyDescent="0.3">
      <c r="A80" s="93" t="s">
        <v>288</v>
      </c>
      <c r="B80" s="94" t="s">
        <v>289</v>
      </c>
      <c r="C80" s="94" t="s">
        <v>290</v>
      </c>
      <c r="D80" s="94" t="s">
        <v>403</v>
      </c>
      <c r="E80" s="95" t="s">
        <v>404</v>
      </c>
      <c r="F80" s="94" t="s">
        <v>299</v>
      </c>
      <c r="G80" s="94" t="s">
        <v>221</v>
      </c>
      <c r="H80" s="94" t="s">
        <v>11</v>
      </c>
      <c r="I80" s="94" t="s">
        <v>219</v>
      </c>
      <c r="J80" s="94"/>
      <c r="K80" s="96">
        <v>135</v>
      </c>
      <c r="L80" s="96">
        <f>K80*VLOOKUP(H80,dagsoorttabel1,2,FALSE)</f>
        <v>135</v>
      </c>
      <c r="M80" s="97">
        <f>prodnorm17</f>
        <v>0</v>
      </c>
      <c r="N80" s="41">
        <f>dagwerk17</f>
        <v>0</v>
      </c>
      <c r="O80" s="94" t="s">
        <v>106</v>
      </c>
      <c r="P80" s="26">
        <f>uurtarief17</f>
        <v>0</v>
      </c>
      <c r="Q80" s="96" t="e">
        <f>IF(ISBLANK(M80),0,L80/M80)</f>
        <v>#DIV/0!</v>
      </c>
      <c r="R80" s="96" t="e">
        <f>IF(ISBLANK(M80),0,Q80*N80)</f>
        <v>#DIV/0!</v>
      </c>
      <c r="S80" s="26" t="e">
        <f>P80*Q80</f>
        <v>#DIV/0!</v>
      </c>
      <c r="T80" s="96" t="e">
        <f>Q80*dagenperjaar1</f>
        <v>#DIV/0!</v>
      </c>
      <c r="U80" s="27" t="e">
        <f>T80*P80</f>
        <v>#DIV/0!</v>
      </c>
    </row>
    <row r="81" spans="1:21" x14ac:dyDescent="0.3">
      <c r="A81" s="93" t="s">
        <v>288</v>
      </c>
      <c r="B81" s="94" t="s">
        <v>289</v>
      </c>
      <c r="C81" s="94" t="s">
        <v>290</v>
      </c>
      <c r="D81" s="94" t="s">
        <v>405</v>
      </c>
      <c r="E81" s="95" t="s">
        <v>308</v>
      </c>
      <c r="F81" s="94" t="s">
        <v>299</v>
      </c>
      <c r="G81" s="94" t="s">
        <v>223</v>
      </c>
      <c r="H81" s="94" t="s">
        <v>18</v>
      </c>
      <c r="I81" s="94" t="s">
        <v>219</v>
      </c>
      <c r="J81" s="94"/>
      <c r="K81" s="96">
        <v>20</v>
      </c>
      <c r="L81" s="96">
        <f>K81*VLOOKUP(H81,dagsoorttabel1,2,FALSE)</f>
        <v>4</v>
      </c>
      <c r="M81" s="97">
        <f>prodnorm19</f>
        <v>0</v>
      </c>
      <c r="N81" s="41">
        <f>dagwerk19</f>
        <v>0</v>
      </c>
      <c r="O81" s="94" t="s">
        <v>106</v>
      </c>
      <c r="P81" s="26">
        <f>uurtarief19</f>
        <v>0</v>
      </c>
      <c r="Q81" s="96" t="e">
        <f>IF(ISBLANK(M81),0,L81/M81)</f>
        <v>#DIV/0!</v>
      </c>
      <c r="R81" s="96" t="e">
        <f>IF(ISBLANK(M81),0,Q81*N81)</f>
        <v>#DIV/0!</v>
      </c>
      <c r="S81" s="26" t="e">
        <f>P81*Q81</f>
        <v>#DIV/0!</v>
      </c>
      <c r="T81" s="96" t="e">
        <f>Q81*dagenperjaar1</f>
        <v>#DIV/0!</v>
      </c>
      <c r="U81" s="27" t="e">
        <f>T81*P81</f>
        <v>#DIV/0!</v>
      </c>
    </row>
    <row r="82" spans="1:21" x14ac:dyDescent="0.3">
      <c r="A82" s="93" t="s">
        <v>288</v>
      </c>
      <c r="B82" s="94" t="s">
        <v>289</v>
      </c>
      <c r="C82" s="94" t="s">
        <v>290</v>
      </c>
      <c r="D82" s="94" t="s">
        <v>406</v>
      </c>
      <c r="E82" s="95" t="s">
        <v>308</v>
      </c>
      <c r="F82" s="94" t="s">
        <v>299</v>
      </c>
      <c r="G82" s="94" t="s">
        <v>223</v>
      </c>
      <c r="H82" s="94" t="s">
        <v>18</v>
      </c>
      <c r="I82" s="94" t="s">
        <v>219</v>
      </c>
      <c r="J82" s="94"/>
      <c r="K82" s="96">
        <v>20</v>
      </c>
      <c r="L82" s="96">
        <f>K82*VLOOKUP(H82,dagsoorttabel1,2,FALSE)</f>
        <v>4</v>
      </c>
      <c r="M82" s="97">
        <f>prodnorm19</f>
        <v>0</v>
      </c>
      <c r="N82" s="41">
        <f>dagwerk19</f>
        <v>0</v>
      </c>
      <c r="O82" s="94" t="s">
        <v>106</v>
      </c>
      <c r="P82" s="26">
        <f>uurtarief19</f>
        <v>0</v>
      </c>
      <c r="Q82" s="96" t="e">
        <f>IF(ISBLANK(M82),0,L82/M82)</f>
        <v>#DIV/0!</v>
      </c>
      <c r="R82" s="96" t="e">
        <f>IF(ISBLANK(M82),0,Q82*N82)</f>
        <v>#DIV/0!</v>
      </c>
      <c r="S82" s="26" t="e">
        <f>P82*Q82</f>
        <v>#DIV/0!</v>
      </c>
      <c r="T82" s="96" t="e">
        <f>Q82*dagenperjaar1</f>
        <v>#DIV/0!</v>
      </c>
      <c r="U82" s="27" t="e">
        <f>T82*P82</f>
        <v>#DIV/0!</v>
      </c>
    </row>
    <row r="83" spans="1:21" x14ac:dyDescent="0.3">
      <c r="A83" s="93" t="s">
        <v>288</v>
      </c>
      <c r="B83" s="94" t="s">
        <v>289</v>
      </c>
      <c r="C83" s="94" t="s">
        <v>290</v>
      </c>
      <c r="D83" s="94" t="s">
        <v>407</v>
      </c>
      <c r="E83" s="95" t="s">
        <v>308</v>
      </c>
      <c r="F83" s="94" t="s">
        <v>299</v>
      </c>
      <c r="G83" s="94" t="s">
        <v>223</v>
      </c>
      <c r="H83" s="94" t="s">
        <v>18</v>
      </c>
      <c r="I83" s="94" t="s">
        <v>219</v>
      </c>
      <c r="J83" s="94"/>
      <c r="K83" s="96">
        <v>35</v>
      </c>
      <c r="L83" s="96">
        <f>K83*VLOOKUP(H83,dagsoorttabel1,2,FALSE)</f>
        <v>7</v>
      </c>
      <c r="M83" s="97">
        <f>prodnorm19</f>
        <v>0</v>
      </c>
      <c r="N83" s="41">
        <f>dagwerk19</f>
        <v>0</v>
      </c>
      <c r="O83" s="94" t="s">
        <v>106</v>
      </c>
      <c r="P83" s="26">
        <f>uurtarief19</f>
        <v>0</v>
      </c>
      <c r="Q83" s="96" t="e">
        <f>IF(ISBLANK(M83),0,L83/M83)</f>
        <v>#DIV/0!</v>
      </c>
      <c r="R83" s="96" t="e">
        <f>IF(ISBLANK(M83),0,Q83*N83)</f>
        <v>#DIV/0!</v>
      </c>
      <c r="S83" s="26" t="e">
        <f>P83*Q83</f>
        <v>#DIV/0!</v>
      </c>
      <c r="T83" s="96" t="e">
        <f>Q83*dagenperjaar1</f>
        <v>#DIV/0!</v>
      </c>
      <c r="U83" s="27" t="e">
        <f>T83*P83</f>
        <v>#DIV/0!</v>
      </c>
    </row>
    <row r="84" spans="1:21" x14ac:dyDescent="0.3">
      <c r="A84" s="93" t="s">
        <v>288</v>
      </c>
      <c r="B84" s="94" t="s">
        <v>289</v>
      </c>
      <c r="C84" s="94" t="s">
        <v>290</v>
      </c>
      <c r="D84" s="94" t="s">
        <v>408</v>
      </c>
      <c r="E84" s="95" t="s">
        <v>409</v>
      </c>
      <c r="F84" s="94" t="s">
        <v>296</v>
      </c>
      <c r="G84" s="94" t="s">
        <v>267</v>
      </c>
      <c r="H84" s="94" t="s">
        <v>11</v>
      </c>
      <c r="I84" s="94" t="s">
        <v>219</v>
      </c>
      <c r="J84" s="94"/>
      <c r="K84" s="96">
        <v>12</v>
      </c>
      <c r="L84" s="96">
        <f>K84*VLOOKUP(H84,dagsoorttabel1,2,FALSE)</f>
        <v>12</v>
      </c>
      <c r="M84" s="97">
        <f>prodnorm63</f>
        <v>0</v>
      </c>
      <c r="N84" s="41">
        <f>dagwerk63</f>
        <v>0</v>
      </c>
      <c r="O84" s="94" t="s">
        <v>106</v>
      </c>
      <c r="P84" s="26">
        <f>uurtarief63</f>
        <v>0</v>
      </c>
      <c r="Q84" s="96" t="e">
        <f>IF(ISBLANK(M84),0,L84/M84)</f>
        <v>#DIV/0!</v>
      </c>
      <c r="R84" s="96" t="e">
        <f>IF(ISBLANK(M84),0,Q84*N84)</f>
        <v>#DIV/0!</v>
      </c>
      <c r="S84" s="26" t="e">
        <f>P84*Q84</f>
        <v>#DIV/0!</v>
      </c>
      <c r="T84" s="96" t="e">
        <f>Q84*dagenperjaar1</f>
        <v>#DIV/0!</v>
      </c>
      <c r="U84" s="27" t="e">
        <f>T84*P84</f>
        <v>#DIV/0!</v>
      </c>
    </row>
    <row r="85" spans="1:21" x14ac:dyDescent="0.3">
      <c r="A85" s="93" t="s">
        <v>288</v>
      </c>
      <c r="B85" s="94" t="s">
        <v>289</v>
      </c>
      <c r="C85" s="94" t="s">
        <v>290</v>
      </c>
      <c r="D85" s="94" t="s">
        <v>410</v>
      </c>
      <c r="E85" s="95" t="s">
        <v>308</v>
      </c>
      <c r="F85" s="94" t="s">
        <v>299</v>
      </c>
      <c r="G85" s="94" t="s">
        <v>223</v>
      </c>
      <c r="H85" s="94" t="s">
        <v>18</v>
      </c>
      <c r="I85" s="94" t="s">
        <v>219</v>
      </c>
      <c r="J85" s="94"/>
      <c r="K85" s="96">
        <v>22.5</v>
      </c>
      <c r="L85" s="96">
        <f>K85*VLOOKUP(H85,dagsoorttabel1,2,FALSE)</f>
        <v>4.5</v>
      </c>
      <c r="M85" s="97">
        <f>prodnorm19</f>
        <v>0</v>
      </c>
      <c r="N85" s="41">
        <f>dagwerk19</f>
        <v>0</v>
      </c>
      <c r="O85" s="94" t="s">
        <v>106</v>
      </c>
      <c r="P85" s="26">
        <f>uurtarief19</f>
        <v>0</v>
      </c>
      <c r="Q85" s="96" t="e">
        <f>IF(ISBLANK(M85),0,L85/M85)</f>
        <v>#DIV/0!</v>
      </c>
      <c r="R85" s="96" t="e">
        <f>IF(ISBLANK(M85),0,Q85*N85)</f>
        <v>#DIV/0!</v>
      </c>
      <c r="S85" s="26" t="e">
        <f>P85*Q85</f>
        <v>#DIV/0!</v>
      </c>
      <c r="T85" s="96" t="e">
        <f>Q85*dagenperjaar1</f>
        <v>#DIV/0!</v>
      </c>
      <c r="U85" s="27" t="e">
        <f>T85*P85</f>
        <v>#DIV/0!</v>
      </c>
    </row>
    <row r="86" spans="1:21" x14ac:dyDescent="0.3">
      <c r="A86" s="93" t="s">
        <v>288</v>
      </c>
      <c r="B86" s="94" t="s">
        <v>289</v>
      </c>
      <c r="C86" s="94" t="s">
        <v>290</v>
      </c>
      <c r="D86" s="94" t="s">
        <v>411</v>
      </c>
      <c r="E86" s="95" t="s">
        <v>308</v>
      </c>
      <c r="F86" s="94" t="s">
        <v>299</v>
      </c>
      <c r="G86" s="94" t="s">
        <v>223</v>
      </c>
      <c r="H86" s="94" t="s">
        <v>18</v>
      </c>
      <c r="I86" s="94" t="s">
        <v>219</v>
      </c>
      <c r="J86" s="94"/>
      <c r="K86" s="96">
        <v>22.5</v>
      </c>
      <c r="L86" s="96">
        <f>K86*VLOOKUP(H86,dagsoorttabel1,2,FALSE)</f>
        <v>4.5</v>
      </c>
      <c r="M86" s="97">
        <f>prodnorm19</f>
        <v>0</v>
      </c>
      <c r="N86" s="41">
        <f>dagwerk19</f>
        <v>0</v>
      </c>
      <c r="O86" s="94" t="s">
        <v>106</v>
      </c>
      <c r="P86" s="26">
        <f>uurtarief19</f>
        <v>0</v>
      </c>
      <c r="Q86" s="96" t="e">
        <f>IF(ISBLANK(M86),0,L86/M86)</f>
        <v>#DIV/0!</v>
      </c>
      <c r="R86" s="96" t="e">
        <f>IF(ISBLANK(M86),0,Q86*N86)</f>
        <v>#DIV/0!</v>
      </c>
      <c r="S86" s="26" t="e">
        <f>P86*Q86</f>
        <v>#DIV/0!</v>
      </c>
      <c r="T86" s="96" t="e">
        <f>Q86*dagenperjaar1</f>
        <v>#DIV/0!</v>
      </c>
      <c r="U86" s="27" t="e">
        <f>T86*P86</f>
        <v>#DIV/0!</v>
      </c>
    </row>
    <row r="87" spans="1:21" x14ac:dyDescent="0.3">
      <c r="A87" s="93" t="s">
        <v>288</v>
      </c>
      <c r="B87" s="94" t="s">
        <v>289</v>
      </c>
      <c r="C87" s="94" t="s">
        <v>290</v>
      </c>
      <c r="D87" s="94" t="s">
        <v>412</v>
      </c>
      <c r="E87" s="95" t="s">
        <v>308</v>
      </c>
      <c r="F87" s="94" t="s">
        <v>293</v>
      </c>
      <c r="G87" s="94" t="s">
        <v>225</v>
      </c>
      <c r="H87" s="94" t="s">
        <v>18</v>
      </c>
      <c r="I87" s="94" t="s">
        <v>219</v>
      </c>
      <c r="J87" s="94"/>
      <c r="K87" s="96">
        <v>53.56</v>
      </c>
      <c r="L87" s="96">
        <f>K87*VLOOKUP(H87,dagsoorttabel1,2,FALSE)</f>
        <v>10.712000000000002</v>
      </c>
      <c r="M87" s="97">
        <f>prodnorm23</f>
        <v>0</v>
      </c>
      <c r="N87" s="41">
        <f>dagwerk23</f>
        <v>0</v>
      </c>
      <c r="O87" s="94" t="s">
        <v>106</v>
      </c>
      <c r="P87" s="26">
        <f>uurtarief23</f>
        <v>0</v>
      </c>
      <c r="Q87" s="96" t="e">
        <f>IF(ISBLANK(M87),0,L87/M87)</f>
        <v>#DIV/0!</v>
      </c>
      <c r="R87" s="96" t="e">
        <f>IF(ISBLANK(M87),0,Q87*N87)</f>
        <v>#DIV/0!</v>
      </c>
      <c r="S87" s="26" t="e">
        <f>P87*Q87</f>
        <v>#DIV/0!</v>
      </c>
      <c r="T87" s="96" t="e">
        <f>Q87*dagenperjaar1</f>
        <v>#DIV/0!</v>
      </c>
      <c r="U87" s="27" t="e">
        <f>T87*P87</f>
        <v>#DIV/0!</v>
      </c>
    </row>
    <row r="88" spans="1:21" x14ac:dyDescent="0.3">
      <c r="A88" s="93" t="s">
        <v>288</v>
      </c>
      <c r="B88" s="94" t="s">
        <v>289</v>
      </c>
      <c r="C88" s="94" t="s">
        <v>290</v>
      </c>
      <c r="D88" s="94" t="s">
        <v>413</v>
      </c>
      <c r="E88" s="95" t="s">
        <v>414</v>
      </c>
      <c r="F88" s="94" t="s">
        <v>293</v>
      </c>
      <c r="G88" s="94" t="s">
        <v>247</v>
      </c>
      <c r="H88" s="94" t="s">
        <v>11</v>
      </c>
      <c r="I88" s="94" t="s">
        <v>219</v>
      </c>
      <c r="J88" s="94"/>
      <c r="K88" s="96">
        <v>337</v>
      </c>
      <c r="L88" s="96">
        <f>K88*VLOOKUP(H88,dagsoorttabel1,2,FALSE)</f>
        <v>337</v>
      </c>
      <c r="M88" s="97">
        <f>prodnorm43</f>
        <v>0</v>
      </c>
      <c r="N88" s="41">
        <f>dagwerk43</f>
        <v>0</v>
      </c>
      <c r="O88" s="94" t="s">
        <v>106</v>
      </c>
      <c r="P88" s="26">
        <f>uurtarief43</f>
        <v>0</v>
      </c>
      <c r="Q88" s="96" t="e">
        <f>IF(ISBLANK(M88),0,L88/M88)</f>
        <v>#DIV/0!</v>
      </c>
      <c r="R88" s="96" t="e">
        <f>IF(ISBLANK(M88),0,Q88*N88)</f>
        <v>#DIV/0!</v>
      </c>
      <c r="S88" s="26" t="e">
        <f>P88*Q88</f>
        <v>#DIV/0!</v>
      </c>
      <c r="T88" s="96" t="e">
        <f>Q88*dagenperjaar1</f>
        <v>#DIV/0!</v>
      </c>
      <c r="U88" s="27" t="e">
        <f>T88*P88</f>
        <v>#DIV/0!</v>
      </c>
    </row>
    <row r="89" spans="1:21" x14ac:dyDescent="0.3">
      <c r="A89" s="93" t="s">
        <v>288</v>
      </c>
      <c r="B89" s="94" t="s">
        <v>289</v>
      </c>
      <c r="C89" s="94" t="s">
        <v>290</v>
      </c>
      <c r="D89" s="94" t="s">
        <v>415</v>
      </c>
      <c r="E89" s="95" t="s">
        <v>416</v>
      </c>
      <c r="F89" s="94" t="s">
        <v>293</v>
      </c>
      <c r="G89" s="94" t="s">
        <v>225</v>
      </c>
      <c r="H89" s="94" t="s">
        <v>18</v>
      </c>
      <c r="I89" s="94" t="s">
        <v>219</v>
      </c>
      <c r="J89" s="94"/>
      <c r="K89" s="96">
        <v>11</v>
      </c>
      <c r="L89" s="96">
        <f>K89*VLOOKUP(H89,dagsoorttabel1,2,FALSE)</f>
        <v>2.2000000000000002</v>
      </c>
      <c r="M89" s="97">
        <f>prodnorm23</f>
        <v>0</v>
      </c>
      <c r="N89" s="41">
        <f>dagwerk23</f>
        <v>0</v>
      </c>
      <c r="O89" s="94" t="s">
        <v>106</v>
      </c>
      <c r="P89" s="26">
        <f>uurtarief23</f>
        <v>0</v>
      </c>
      <c r="Q89" s="96" t="e">
        <f>IF(ISBLANK(M89),0,L89/M89)</f>
        <v>#DIV/0!</v>
      </c>
      <c r="R89" s="96" t="e">
        <f>IF(ISBLANK(M89),0,Q89*N89)</f>
        <v>#DIV/0!</v>
      </c>
      <c r="S89" s="26" t="e">
        <f>P89*Q89</f>
        <v>#DIV/0!</v>
      </c>
      <c r="T89" s="96" t="e">
        <f>Q89*dagenperjaar1</f>
        <v>#DIV/0!</v>
      </c>
      <c r="U89" s="27" t="e">
        <f>T89*P89</f>
        <v>#DIV/0!</v>
      </c>
    </row>
    <row r="90" spans="1:21" x14ac:dyDescent="0.3">
      <c r="A90" s="93" t="s">
        <v>288</v>
      </c>
      <c r="B90" s="94" t="s">
        <v>289</v>
      </c>
      <c r="C90" s="94" t="s">
        <v>290</v>
      </c>
      <c r="D90" s="94" t="s">
        <v>417</v>
      </c>
      <c r="E90" s="95" t="s">
        <v>308</v>
      </c>
      <c r="F90" s="94" t="s">
        <v>418</v>
      </c>
      <c r="G90" s="94" t="s">
        <v>225</v>
      </c>
      <c r="H90" s="94" t="s">
        <v>18</v>
      </c>
      <c r="I90" s="94" t="s">
        <v>219</v>
      </c>
      <c r="J90" s="94"/>
      <c r="K90" s="96">
        <v>97</v>
      </c>
      <c r="L90" s="96">
        <f>K90*VLOOKUP(H90,dagsoorttabel1,2,FALSE)</f>
        <v>19.400000000000002</v>
      </c>
      <c r="M90" s="97">
        <f>prodnorm23</f>
        <v>0</v>
      </c>
      <c r="N90" s="41">
        <f>dagwerk23</f>
        <v>0</v>
      </c>
      <c r="O90" s="94" t="s">
        <v>106</v>
      </c>
      <c r="P90" s="26">
        <f>uurtarief23</f>
        <v>0</v>
      </c>
      <c r="Q90" s="96" t="e">
        <f>IF(ISBLANK(M90),0,L90/M90)</f>
        <v>#DIV/0!</v>
      </c>
      <c r="R90" s="96" t="e">
        <f>IF(ISBLANK(M90),0,Q90*N90)</f>
        <v>#DIV/0!</v>
      </c>
      <c r="S90" s="26" t="e">
        <f>P90*Q90</f>
        <v>#DIV/0!</v>
      </c>
      <c r="T90" s="96" t="e">
        <f>Q90*dagenperjaar1</f>
        <v>#DIV/0!</v>
      </c>
      <c r="U90" s="27" t="e">
        <f>T90*P90</f>
        <v>#DIV/0!</v>
      </c>
    </row>
    <row r="91" spans="1:21" x14ac:dyDescent="0.3">
      <c r="A91" s="93" t="s">
        <v>288</v>
      </c>
      <c r="B91" s="94" t="s">
        <v>289</v>
      </c>
      <c r="C91" s="94" t="s">
        <v>419</v>
      </c>
      <c r="D91" s="94" t="s">
        <v>420</v>
      </c>
      <c r="E91" s="95" t="s">
        <v>306</v>
      </c>
      <c r="F91" s="94" t="s">
        <v>296</v>
      </c>
      <c r="G91" s="94" t="s">
        <v>267</v>
      </c>
      <c r="H91" s="94" t="s">
        <v>11</v>
      </c>
      <c r="I91" s="94" t="s">
        <v>219</v>
      </c>
      <c r="J91" s="94"/>
      <c r="K91" s="96">
        <v>14</v>
      </c>
      <c r="L91" s="96">
        <f>K91*VLOOKUP(H91,dagsoorttabel1,2,FALSE)</f>
        <v>14</v>
      </c>
      <c r="M91" s="97">
        <f>prodnorm63</f>
        <v>0</v>
      </c>
      <c r="N91" s="41">
        <f>dagwerk63</f>
        <v>0</v>
      </c>
      <c r="O91" s="94" t="s">
        <v>106</v>
      </c>
      <c r="P91" s="26">
        <f>uurtarief63</f>
        <v>0</v>
      </c>
      <c r="Q91" s="96" t="e">
        <f>IF(ISBLANK(M91),0,L91/M91)</f>
        <v>#DIV/0!</v>
      </c>
      <c r="R91" s="96" t="e">
        <f>IF(ISBLANK(M91),0,Q91*N91)</f>
        <v>#DIV/0!</v>
      </c>
      <c r="S91" s="26" t="e">
        <f>P91*Q91</f>
        <v>#DIV/0!</v>
      </c>
      <c r="T91" s="96" t="e">
        <f>Q91*dagenperjaar1</f>
        <v>#DIV/0!</v>
      </c>
      <c r="U91" s="27" t="e">
        <f>T91*P91</f>
        <v>#DIV/0!</v>
      </c>
    </row>
    <row r="92" spans="1:21" x14ac:dyDescent="0.3">
      <c r="A92" s="93" t="s">
        <v>288</v>
      </c>
      <c r="B92" s="94" t="s">
        <v>289</v>
      </c>
      <c r="C92" s="94" t="s">
        <v>419</v>
      </c>
      <c r="D92" s="94" t="s">
        <v>421</v>
      </c>
      <c r="E92" s="95" t="s">
        <v>303</v>
      </c>
      <c r="F92" s="94" t="s">
        <v>330</v>
      </c>
      <c r="G92" s="94" t="s">
        <v>265</v>
      </c>
      <c r="H92" s="94" t="s">
        <v>11</v>
      </c>
      <c r="I92" s="94" t="s">
        <v>219</v>
      </c>
      <c r="J92" s="94"/>
      <c r="K92" s="96">
        <v>13</v>
      </c>
      <c r="L92" s="96">
        <f>K92*VLOOKUP(H92,dagsoorttabel1,2,FALSE)</f>
        <v>13</v>
      </c>
      <c r="M92" s="97">
        <f>prodnorm61</f>
        <v>0</v>
      </c>
      <c r="N92" s="41">
        <f>dagwerk61</f>
        <v>0</v>
      </c>
      <c r="O92" s="94" t="s">
        <v>106</v>
      </c>
      <c r="P92" s="26">
        <f>uurtarief61</f>
        <v>0</v>
      </c>
      <c r="Q92" s="96" t="e">
        <f>IF(ISBLANK(M92),0,L92/M92)</f>
        <v>#DIV/0!</v>
      </c>
      <c r="R92" s="96" t="e">
        <f>IF(ISBLANK(M92),0,Q92*N92)</f>
        <v>#DIV/0!</v>
      </c>
      <c r="S92" s="26" t="e">
        <f>P92*Q92</f>
        <v>#DIV/0!</v>
      </c>
      <c r="T92" s="96" t="e">
        <f>Q92*dagenperjaar1</f>
        <v>#DIV/0!</v>
      </c>
      <c r="U92" s="27" t="e">
        <f>T92*P92</f>
        <v>#DIV/0!</v>
      </c>
    </row>
    <row r="93" spans="1:21" x14ac:dyDescent="0.3">
      <c r="A93" s="93" t="s">
        <v>288</v>
      </c>
      <c r="B93" s="94" t="s">
        <v>289</v>
      </c>
      <c r="C93" s="94" t="s">
        <v>419</v>
      </c>
      <c r="D93" s="94" t="s">
        <v>422</v>
      </c>
      <c r="E93" s="95" t="s">
        <v>306</v>
      </c>
      <c r="F93" s="94" t="s">
        <v>296</v>
      </c>
      <c r="G93" s="94" t="s">
        <v>267</v>
      </c>
      <c r="H93" s="94" t="s">
        <v>11</v>
      </c>
      <c r="I93" s="94" t="s">
        <v>219</v>
      </c>
      <c r="J93" s="94"/>
      <c r="K93" s="96">
        <v>14</v>
      </c>
      <c r="L93" s="96">
        <f>K93*VLOOKUP(H93,dagsoorttabel1,2,FALSE)</f>
        <v>14</v>
      </c>
      <c r="M93" s="97">
        <f>prodnorm63</f>
        <v>0</v>
      </c>
      <c r="N93" s="41">
        <f>dagwerk63</f>
        <v>0</v>
      </c>
      <c r="O93" s="94" t="s">
        <v>106</v>
      </c>
      <c r="P93" s="26">
        <f>uurtarief63</f>
        <v>0</v>
      </c>
      <c r="Q93" s="96" t="e">
        <f>IF(ISBLANK(M93),0,L93/M93)</f>
        <v>#DIV/0!</v>
      </c>
      <c r="R93" s="96" t="e">
        <f>IF(ISBLANK(M93),0,Q93*N93)</f>
        <v>#DIV/0!</v>
      </c>
      <c r="S93" s="26" t="e">
        <f>P93*Q93</f>
        <v>#DIV/0!</v>
      </c>
      <c r="T93" s="96" t="e">
        <f>Q93*dagenperjaar1</f>
        <v>#DIV/0!</v>
      </c>
      <c r="U93" s="27" t="e">
        <f>T93*P93</f>
        <v>#DIV/0!</v>
      </c>
    </row>
    <row r="94" spans="1:21" x14ac:dyDescent="0.3">
      <c r="A94" s="93" t="s">
        <v>288</v>
      </c>
      <c r="B94" s="94" t="s">
        <v>289</v>
      </c>
      <c r="C94" s="94" t="s">
        <v>419</v>
      </c>
      <c r="D94" s="94" t="s">
        <v>423</v>
      </c>
      <c r="E94" s="95" t="s">
        <v>303</v>
      </c>
      <c r="F94" s="94" t="s">
        <v>330</v>
      </c>
      <c r="G94" s="94" t="s">
        <v>265</v>
      </c>
      <c r="H94" s="94" t="s">
        <v>11</v>
      </c>
      <c r="I94" s="94" t="s">
        <v>219</v>
      </c>
      <c r="J94" s="94"/>
      <c r="K94" s="96">
        <v>13</v>
      </c>
      <c r="L94" s="96">
        <f>K94*VLOOKUP(H94,dagsoorttabel1,2,FALSE)</f>
        <v>13</v>
      </c>
      <c r="M94" s="97">
        <f>prodnorm61</f>
        <v>0</v>
      </c>
      <c r="N94" s="41">
        <f>dagwerk61</f>
        <v>0</v>
      </c>
      <c r="O94" s="94" t="s">
        <v>106</v>
      </c>
      <c r="P94" s="26">
        <f>uurtarief61</f>
        <v>0</v>
      </c>
      <c r="Q94" s="96" t="e">
        <f>IF(ISBLANK(M94),0,L94/M94)</f>
        <v>#DIV/0!</v>
      </c>
      <c r="R94" s="96" t="e">
        <f>IF(ISBLANK(M94),0,Q94*N94)</f>
        <v>#DIV/0!</v>
      </c>
      <c r="S94" s="26" t="e">
        <f>P94*Q94</f>
        <v>#DIV/0!</v>
      </c>
      <c r="T94" s="96" t="e">
        <f>Q94*dagenperjaar1</f>
        <v>#DIV/0!</v>
      </c>
      <c r="U94" s="27" t="e">
        <f>T94*P94</f>
        <v>#DIV/0!</v>
      </c>
    </row>
    <row r="95" spans="1:21" x14ac:dyDescent="0.3">
      <c r="A95" s="93" t="s">
        <v>288</v>
      </c>
      <c r="B95" s="94" t="s">
        <v>289</v>
      </c>
      <c r="C95" s="94" t="s">
        <v>419</v>
      </c>
      <c r="D95" s="94" t="s">
        <v>424</v>
      </c>
      <c r="E95" s="95" t="s">
        <v>308</v>
      </c>
      <c r="F95" s="94" t="s">
        <v>359</v>
      </c>
      <c r="G95" s="94" t="s">
        <v>223</v>
      </c>
      <c r="H95" s="94" t="s">
        <v>18</v>
      </c>
      <c r="I95" s="94" t="s">
        <v>219</v>
      </c>
      <c r="J95" s="94"/>
      <c r="K95" s="96">
        <v>24</v>
      </c>
      <c r="L95" s="96">
        <f>K95*VLOOKUP(H95,dagsoorttabel1,2,FALSE)</f>
        <v>4.8000000000000007</v>
      </c>
      <c r="M95" s="97">
        <f>prodnorm19</f>
        <v>0</v>
      </c>
      <c r="N95" s="41">
        <f>dagwerk19</f>
        <v>0</v>
      </c>
      <c r="O95" s="94" t="s">
        <v>106</v>
      </c>
      <c r="P95" s="26">
        <f>uurtarief19</f>
        <v>0</v>
      </c>
      <c r="Q95" s="96" t="e">
        <f>IF(ISBLANK(M95),0,L95/M95)</f>
        <v>#DIV/0!</v>
      </c>
      <c r="R95" s="96" t="e">
        <f>IF(ISBLANK(M95),0,Q95*N95)</f>
        <v>#DIV/0!</v>
      </c>
      <c r="S95" s="26" t="e">
        <f>P95*Q95</f>
        <v>#DIV/0!</v>
      </c>
      <c r="T95" s="96" t="e">
        <f>Q95*dagenperjaar1</f>
        <v>#DIV/0!</v>
      </c>
      <c r="U95" s="27" t="e">
        <f>T95*P95</f>
        <v>#DIV/0!</v>
      </c>
    </row>
    <row r="96" spans="1:21" x14ac:dyDescent="0.3">
      <c r="A96" s="93" t="s">
        <v>288</v>
      </c>
      <c r="B96" s="94" t="s">
        <v>289</v>
      </c>
      <c r="C96" s="94" t="s">
        <v>419</v>
      </c>
      <c r="D96" s="94" t="s">
        <v>425</v>
      </c>
      <c r="E96" s="95" t="s">
        <v>308</v>
      </c>
      <c r="F96" s="94" t="s">
        <v>359</v>
      </c>
      <c r="G96" s="94" t="s">
        <v>223</v>
      </c>
      <c r="H96" s="94" t="s">
        <v>18</v>
      </c>
      <c r="I96" s="94" t="s">
        <v>219</v>
      </c>
      <c r="J96" s="94"/>
      <c r="K96" s="96">
        <v>24</v>
      </c>
      <c r="L96" s="96">
        <f>K96*VLOOKUP(H96,dagsoorttabel1,2,FALSE)</f>
        <v>4.8000000000000007</v>
      </c>
      <c r="M96" s="97">
        <f>prodnorm19</f>
        <v>0</v>
      </c>
      <c r="N96" s="41">
        <f>dagwerk19</f>
        <v>0</v>
      </c>
      <c r="O96" s="94" t="s">
        <v>106</v>
      </c>
      <c r="P96" s="26">
        <f>uurtarief19</f>
        <v>0</v>
      </c>
      <c r="Q96" s="96" t="e">
        <f>IF(ISBLANK(M96),0,L96/M96)</f>
        <v>#DIV/0!</v>
      </c>
      <c r="R96" s="96" t="e">
        <f>IF(ISBLANK(M96),0,Q96*N96)</f>
        <v>#DIV/0!</v>
      </c>
      <c r="S96" s="26" t="e">
        <f>P96*Q96</f>
        <v>#DIV/0!</v>
      </c>
      <c r="T96" s="96" t="e">
        <f>Q96*dagenperjaar1</f>
        <v>#DIV/0!</v>
      </c>
      <c r="U96" s="27" t="e">
        <f>T96*P96</f>
        <v>#DIV/0!</v>
      </c>
    </row>
    <row r="97" spans="1:21" x14ac:dyDescent="0.3">
      <c r="A97" s="93" t="s">
        <v>288</v>
      </c>
      <c r="B97" s="94" t="s">
        <v>289</v>
      </c>
      <c r="C97" s="94" t="s">
        <v>419</v>
      </c>
      <c r="D97" s="94" t="s">
        <v>426</v>
      </c>
      <c r="E97" s="95" t="s">
        <v>315</v>
      </c>
      <c r="F97" s="94" t="s">
        <v>316</v>
      </c>
      <c r="G97" s="94" t="s">
        <v>261</v>
      </c>
      <c r="H97" s="94" t="s">
        <v>11</v>
      </c>
      <c r="I97" s="94" t="s">
        <v>219</v>
      </c>
      <c r="J97" s="94"/>
      <c r="K97" s="96">
        <v>6</v>
      </c>
      <c r="L97" s="96">
        <f>K97*VLOOKUP(H97,dagsoorttabel1,2,FALSE)</f>
        <v>6</v>
      </c>
      <c r="M97" s="97">
        <f>prodnorm56</f>
        <v>0</v>
      </c>
      <c r="N97" s="41">
        <f>dagwerk56</f>
        <v>0</v>
      </c>
      <c r="O97" s="94" t="s">
        <v>106</v>
      </c>
      <c r="P97" s="26">
        <f>uurtarief56</f>
        <v>0</v>
      </c>
      <c r="Q97" s="96" t="e">
        <f>IF(ISBLANK(M97),0,L97/M97)</f>
        <v>#DIV/0!</v>
      </c>
      <c r="R97" s="96" t="e">
        <f>IF(ISBLANK(M97),0,Q97*N97)</f>
        <v>#DIV/0!</v>
      </c>
      <c r="S97" s="26" t="e">
        <f>P97*Q97</f>
        <v>#DIV/0!</v>
      </c>
      <c r="T97" s="96" t="e">
        <f>Q97*dagenperjaar1</f>
        <v>#DIV/0!</v>
      </c>
      <c r="U97" s="27" t="e">
        <f>T97*P97</f>
        <v>#DIV/0!</v>
      </c>
    </row>
    <row r="98" spans="1:21" x14ac:dyDescent="0.3">
      <c r="A98" s="93" t="s">
        <v>288</v>
      </c>
      <c r="B98" s="94" t="s">
        <v>289</v>
      </c>
      <c r="C98" s="94" t="s">
        <v>419</v>
      </c>
      <c r="D98" s="94" t="s">
        <v>426</v>
      </c>
      <c r="E98" s="95" t="s">
        <v>315</v>
      </c>
      <c r="F98" s="94" t="s">
        <v>316</v>
      </c>
      <c r="G98" s="94" t="s">
        <v>263</v>
      </c>
      <c r="H98" s="94" t="s">
        <v>11</v>
      </c>
      <c r="I98" s="94" t="s">
        <v>219</v>
      </c>
      <c r="J98" s="94"/>
      <c r="K98" s="96">
        <v>6</v>
      </c>
      <c r="L98" s="96">
        <f>K98*VLOOKUP(H98,dagsoorttabel1,2,FALSE)</f>
        <v>6</v>
      </c>
      <c r="M98" s="97">
        <f>prodnorm58</f>
        <v>0</v>
      </c>
      <c r="N98" s="41">
        <f>dagwerk58</f>
        <v>0</v>
      </c>
      <c r="O98" s="94" t="s">
        <v>106</v>
      </c>
      <c r="P98" s="26">
        <f>uurtarief58</f>
        <v>0</v>
      </c>
      <c r="Q98" s="96" t="e">
        <f>IF(ISBLANK(M98),0,L98/M98)</f>
        <v>#DIV/0!</v>
      </c>
      <c r="R98" s="96" t="e">
        <f>IF(ISBLANK(M98),0,Q98*N98)</f>
        <v>#DIV/0!</v>
      </c>
      <c r="S98" s="26" t="e">
        <f>P98*Q98</f>
        <v>#DIV/0!</v>
      </c>
      <c r="T98" s="96" t="e">
        <f>Q98*dagenperjaar1</f>
        <v>#DIV/0!</v>
      </c>
      <c r="U98" s="27" t="e">
        <f>T98*P98</f>
        <v>#DIV/0!</v>
      </c>
    </row>
    <row r="99" spans="1:21" x14ac:dyDescent="0.3">
      <c r="A99" s="93" t="s">
        <v>288</v>
      </c>
      <c r="B99" s="94" t="s">
        <v>289</v>
      </c>
      <c r="C99" s="94" t="s">
        <v>419</v>
      </c>
      <c r="D99" s="94" t="s">
        <v>427</v>
      </c>
      <c r="E99" s="95" t="s">
        <v>315</v>
      </c>
      <c r="F99" s="94" t="s">
        <v>316</v>
      </c>
      <c r="G99" s="94" t="s">
        <v>261</v>
      </c>
      <c r="H99" s="94" t="s">
        <v>11</v>
      </c>
      <c r="I99" s="94" t="s">
        <v>219</v>
      </c>
      <c r="J99" s="94"/>
      <c r="K99" s="96">
        <v>6</v>
      </c>
      <c r="L99" s="96">
        <f>K99*VLOOKUP(H99,dagsoorttabel1,2,FALSE)</f>
        <v>6</v>
      </c>
      <c r="M99" s="97">
        <f>prodnorm56</f>
        <v>0</v>
      </c>
      <c r="N99" s="41">
        <f>dagwerk56</f>
        <v>0</v>
      </c>
      <c r="O99" s="94" t="s">
        <v>106</v>
      </c>
      <c r="P99" s="26">
        <f>uurtarief56</f>
        <v>0</v>
      </c>
      <c r="Q99" s="96" t="e">
        <f>IF(ISBLANK(M99),0,L99/M99)</f>
        <v>#DIV/0!</v>
      </c>
      <c r="R99" s="96" t="e">
        <f>IF(ISBLANK(M99),0,Q99*N99)</f>
        <v>#DIV/0!</v>
      </c>
      <c r="S99" s="26" t="e">
        <f>P99*Q99</f>
        <v>#DIV/0!</v>
      </c>
      <c r="T99" s="96" t="e">
        <f>Q99*dagenperjaar1</f>
        <v>#DIV/0!</v>
      </c>
      <c r="U99" s="27" t="e">
        <f>T99*P99</f>
        <v>#DIV/0!</v>
      </c>
    </row>
    <row r="100" spans="1:21" x14ac:dyDescent="0.3">
      <c r="A100" s="93" t="s">
        <v>288</v>
      </c>
      <c r="B100" s="94" t="s">
        <v>289</v>
      </c>
      <c r="C100" s="94" t="s">
        <v>419</v>
      </c>
      <c r="D100" s="94" t="s">
        <v>427</v>
      </c>
      <c r="E100" s="95" t="s">
        <v>315</v>
      </c>
      <c r="F100" s="94" t="s">
        <v>316</v>
      </c>
      <c r="G100" s="94" t="s">
        <v>263</v>
      </c>
      <c r="H100" s="94" t="s">
        <v>11</v>
      </c>
      <c r="I100" s="94" t="s">
        <v>219</v>
      </c>
      <c r="J100" s="94"/>
      <c r="K100" s="96">
        <v>6</v>
      </c>
      <c r="L100" s="96">
        <f>K100*VLOOKUP(H100,dagsoorttabel1,2,FALSE)</f>
        <v>6</v>
      </c>
      <c r="M100" s="97">
        <f>prodnorm58</f>
        <v>0</v>
      </c>
      <c r="N100" s="41">
        <f>dagwerk58</f>
        <v>0</v>
      </c>
      <c r="O100" s="94" t="s">
        <v>106</v>
      </c>
      <c r="P100" s="26">
        <f>uurtarief58</f>
        <v>0</v>
      </c>
      <c r="Q100" s="96" t="e">
        <f>IF(ISBLANK(M100),0,L100/M100)</f>
        <v>#DIV/0!</v>
      </c>
      <c r="R100" s="96" t="e">
        <f>IF(ISBLANK(M100),0,Q100*N100)</f>
        <v>#DIV/0!</v>
      </c>
      <c r="S100" s="26" t="e">
        <f>P100*Q100</f>
        <v>#DIV/0!</v>
      </c>
      <c r="T100" s="96" t="e">
        <f>Q100*dagenperjaar1</f>
        <v>#DIV/0!</v>
      </c>
      <c r="U100" s="27" t="e">
        <f>T100*P100</f>
        <v>#DIV/0!</v>
      </c>
    </row>
    <row r="101" spans="1:21" x14ac:dyDescent="0.3">
      <c r="A101" s="93" t="s">
        <v>288</v>
      </c>
      <c r="B101" s="94" t="s">
        <v>289</v>
      </c>
      <c r="C101" s="94" t="s">
        <v>419</v>
      </c>
      <c r="D101" s="94" t="s">
        <v>428</v>
      </c>
      <c r="E101" s="95" t="s">
        <v>338</v>
      </c>
      <c r="F101" s="94" t="s">
        <v>296</v>
      </c>
      <c r="G101" s="94" t="s">
        <v>267</v>
      </c>
      <c r="H101" s="94" t="s">
        <v>11</v>
      </c>
      <c r="I101" s="94" t="s">
        <v>219</v>
      </c>
      <c r="J101" s="94"/>
      <c r="K101" s="96">
        <v>152</v>
      </c>
      <c r="L101" s="96">
        <f>K101*VLOOKUP(H101,dagsoorttabel1,2,FALSE)</f>
        <v>152</v>
      </c>
      <c r="M101" s="97">
        <f>prodnorm63</f>
        <v>0</v>
      </c>
      <c r="N101" s="41">
        <f>dagwerk63</f>
        <v>0</v>
      </c>
      <c r="O101" s="94" t="s">
        <v>106</v>
      </c>
      <c r="P101" s="26">
        <f>uurtarief63</f>
        <v>0</v>
      </c>
      <c r="Q101" s="96" t="e">
        <f>IF(ISBLANK(M101),0,L101/M101)</f>
        <v>#DIV/0!</v>
      </c>
      <c r="R101" s="96" t="e">
        <f>IF(ISBLANK(M101),0,Q101*N101)</f>
        <v>#DIV/0!</v>
      </c>
      <c r="S101" s="26" t="e">
        <f>P101*Q101</f>
        <v>#DIV/0!</v>
      </c>
      <c r="T101" s="96" t="e">
        <f>Q101*dagenperjaar1</f>
        <v>#DIV/0!</v>
      </c>
      <c r="U101" s="27" t="e">
        <f>T101*P101</f>
        <v>#DIV/0!</v>
      </c>
    </row>
    <row r="102" spans="1:21" x14ac:dyDescent="0.3">
      <c r="A102" s="93" t="s">
        <v>288</v>
      </c>
      <c r="B102" s="94" t="s">
        <v>289</v>
      </c>
      <c r="C102" s="94" t="s">
        <v>419</v>
      </c>
      <c r="D102" s="94" t="s">
        <v>429</v>
      </c>
      <c r="E102" s="95" t="s">
        <v>295</v>
      </c>
      <c r="F102" s="94" t="s">
        <v>296</v>
      </c>
      <c r="G102" s="94" t="s">
        <v>241</v>
      </c>
      <c r="H102" s="94" t="s">
        <v>11</v>
      </c>
      <c r="I102" s="94" t="s">
        <v>219</v>
      </c>
      <c r="J102" s="94"/>
      <c r="K102" s="96">
        <v>56</v>
      </c>
      <c r="L102" s="96">
        <f>K102*VLOOKUP(H102,dagsoorttabel1,2,FALSE)</f>
        <v>56</v>
      </c>
      <c r="M102" s="97">
        <f>prodnorm38</f>
        <v>0</v>
      </c>
      <c r="N102" s="41">
        <f>dagwerk38</f>
        <v>0</v>
      </c>
      <c r="O102" s="94" t="s">
        <v>106</v>
      </c>
      <c r="P102" s="26">
        <f>uurtarief38</f>
        <v>0</v>
      </c>
      <c r="Q102" s="96" t="e">
        <f>IF(ISBLANK(M102),0,L102/M102)</f>
        <v>#DIV/0!</v>
      </c>
      <c r="R102" s="96" t="e">
        <f>IF(ISBLANK(M102),0,Q102*N102)</f>
        <v>#DIV/0!</v>
      </c>
      <c r="S102" s="26" t="e">
        <f>P102*Q102</f>
        <v>#DIV/0!</v>
      </c>
      <c r="T102" s="96" t="e">
        <f>Q102*dagenperjaar1</f>
        <v>#DIV/0!</v>
      </c>
      <c r="U102" s="27" t="e">
        <f>T102*P102</f>
        <v>#DIV/0!</v>
      </c>
    </row>
    <row r="103" spans="1:21" x14ac:dyDescent="0.3">
      <c r="A103" s="93" t="s">
        <v>288</v>
      </c>
      <c r="B103" s="94" t="s">
        <v>289</v>
      </c>
      <c r="C103" s="94" t="s">
        <v>419</v>
      </c>
      <c r="D103" s="94" t="s">
        <v>430</v>
      </c>
      <c r="E103" s="95" t="s">
        <v>295</v>
      </c>
      <c r="F103" s="94" t="s">
        <v>296</v>
      </c>
      <c r="G103" s="94" t="s">
        <v>241</v>
      </c>
      <c r="H103" s="94" t="s">
        <v>11</v>
      </c>
      <c r="I103" s="94" t="s">
        <v>219</v>
      </c>
      <c r="J103" s="94"/>
      <c r="K103" s="96">
        <v>56</v>
      </c>
      <c r="L103" s="96">
        <f>K103*VLOOKUP(H103,dagsoorttabel1,2,FALSE)</f>
        <v>56</v>
      </c>
      <c r="M103" s="97">
        <f>prodnorm38</f>
        <v>0</v>
      </c>
      <c r="N103" s="41">
        <f>dagwerk38</f>
        <v>0</v>
      </c>
      <c r="O103" s="94" t="s">
        <v>106</v>
      </c>
      <c r="P103" s="26">
        <f>uurtarief38</f>
        <v>0</v>
      </c>
      <c r="Q103" s="96" t="e">
        <f>IF(ISBLANK(M103),0,L103/M103)</f>
        <v>#DIV/0!</v>
      </c>
      <c r="R103" s="96" t="e">
        <f>IF(ISBLANK(M103),0,Q103*N103)</f>
        <v>#DIV/0!</v>
      </c>
      <c r="S103" s="26" t="e">
        <f>P103*Q103</f>
        <v>#DIV/0!</v>
      </c>
      <c r="T103" s="96" t="e">
        <f>Q103*dagenperjaar1</f>
        <v>#DIV/0!</v>
      </c>
      <c r="U103" s="27" t="e">
        <f>T103*P103</f>
        <v>#DIV/0!</v>
      </c>
    </row>
    <row r="104" spans="1:21" x14ac:dyDescent="0.3">
      <c r="A104" s="93" t="s">
        <v>288</v>
      </c>
      <c r="B104" s="94" t="s">
        <v>289</v>
      </c>
      <c r="C104" s="94" t="s">
        <v>419</v>
      </c>
      <c r="D104" s="94" t="s">
        <v>431</v>
      </c>
      <c r="E104" s="95" t="s">
        <v>295</v>
      </c>
      <c r="F104" s="94" t="s">
        <v>296</v>
      </c>
      <c r="G104" s="94" t="s">
        <v>241</v>
      </c>
      <c r="H104" s="94" t="s">
        <v>11</v>
      </c>
      <c r="I104" s="94" t="s">
        <v>219</v>
      </c>
      <c r="J104" s="94"/>
      <c r="K104" s="96">
        <v>56</v>
      </c>
      <c r="L104" s="96">
        <f>K104*VLOOKUP(H104,dagsoorttabel1,2,FALSE)</f>
        <v>56</v>
      </c>
      <c r="M104" s="97">
        <f>prodnorm38</f>
        <v>0</v>
      </c>
      <c r="N104" s="41">
        <f>dagwerk38</f>
        <v>0</v>
      </c>
      <c r="O104" s="94" t="s">
        <v>106</v>
      </c>
      <c r="P104" s="26">
        <f>uurtarief38</f>
        <v>0</v>
      </c>
      <c r="Q104" s="96" t="e">
        <f>IF(ISBLANK(M104),0,L104/M104)</f>
        <v>#DIV/0!</v>
      </c>
      <c r="R104" s="96" t="e">
        <f>IF(ISBLANK(M104),0,Q104*N104)</f>
        <v>#DIV/0!</v>
      </c>
      <c r="S104" s="26" t="e">
        <f>P104*Q104</f>
        <v>#DIV/0!</v>
      </c>
      <c r="T104" s="96" t="e">
        <f>Q104*dagenperjaar1</f>
        <v>#DIV/0!</v>
      </c>
      <c r="U104" s="27" t="e">
        <f>T104*P104</f>
        <v>#DIV/0!</v>
      </c>
    </row>
    <row r="105" spans="1:21" x14ac:dyDescent="0.3">
      <c r="A105" s="93" t="s">
        <v>288</v>
      </c>
      <c r="B105" s="94" t="s">
        <v>289</v>
      </c>
      <c r="C105" s="94" t="s">
        <v>419</v>
      </c>
      <c r="D105" s="94" t="s">
        <v>432</v>
      </c>
      <c r="E105" s="95" t="s">
        <v>295</v>
      </c>
      <c r="F105" s="94" t="s">
        <v>296</v>
      </c>
      <c r="G105" s="94" t="s">
        <v>241</v>
      </c>
      <c r="H105" s="94" t="s">
        <v>11</v>
      </c>
      <c r="I105" s="94" t="s">
        <v>219</v>
      </c>
      <c r="J105" s="94"/>
      <c r="K105" s="96">
        <v>56</v>
      </c>
      <c r="L105" s="96">
        <f>K105*VLOOKUP(H105,dagsoorttabel1,2,FALSE)</f>
        <v>56</v>
      </c>
      <c r="M105" s="97">
        <f>prodnorm38</f>
        <v>0</v>
      </c>
      <c r="N105" s="41">
        <f>dagwerk38</f>
        <v>0</v>
      </c>
      <c r="O105" s="94" t="s">
        <v>106</v>
      </c>
      <c r="P105" s="26">
        <f>uurtarief38</f>
        <v>0</v>
      </c>
      <c r="Q105" s="96" t="e">
        <f>IF(ISBLANK(M105),0,L105/M105)</f>
        <v>#DIV/0!</v>
      </c>
      <c r="R105" s="96" t="e">
        <f>IF(ISBLANK(M105),0,Q105*N105)</f>
        <v>#DIV/0!</v>
      </c>
      <c r="S105" s="26" t="e">
        <f>P105*Q105</f>
        <v>#DIV/0!</v>
      </c>
      <c r="T105" s="96" t="e">
        <f>Q105*dagenperjaar1</f>
        <v>#DIV/0!</v>
      </c>
      <c r="U105" s="27" t="e">
        <f>T105*P105</f>
        <v>#DIV/0!</v>
      </c>
    </row>
    <row r="106" spans="1:21" x14ac:dyDescent="0.3">
      <c r="A106" s="93" t="s">
        <v>288</v>
      </c>
      <c r="B106" s="94" t="s">
        <v>289</v>
      </c>
      <c r="C106" s="94" t="s">
        <v>419</v>
      </c>
      <c r="D106" s="94" t="s">
        <v>433</v>
      </c>
      <c r="E106" s="95" t="s">
        <v>434</v>
      </c>
      <c r="F106" s="94" t="s">
        <v>299</v>
      </c>
      <c r="G106" s="94" t="s">
        <v>267</v>
      </c>
      <c r="H106" s="94" t="s">
        <v>11</v>
      </c>
      <c r="I106" s="94" t="s">
        <v>219</v>
      </c>
      <c r="J106" s="94"/>
      <c r="K106" s="96">
        <v>27</v>
      </c>
      <c r="L106" s="96">
        <f>K106*VLOOKUP(H106,dagsoorttabel1,2,FALSE)</f>
        <v>27</v>
      </c>
      <c r="M106" s="97">
        <f>prodnorm63</f>
        <v>0</v>
      </c>
      <c r="N106" s="41">
        <f>dagwerk63</f>
        <v>0</v>
      </c>
      <c r="O106" s="94" t="s">
        <v>106</v>
      </c>
      <c r="P106" s="26">
        <f>uurtarief63</f>
        <v>0</v>
      </c>
      <c r="Q106" s="96" t="e">
        <f>IF(ISBLANK(M106),0,L106/M106)</f>
        <v>#DIV/0!</v>
      </c>
      <c r="R106" s="96" t="e">
        <f>IF(ISBLANK(M106),0,Q106*N106)</f>
        <v>#DIV/0!</v>
      </c>
      <c r="S106" s="26" t="e">
        <f>P106*Q106</f>
        <v>#DIV/0!</v>
      </c>
      <c r="T106" s="96" t="e">
        <f>Q106*dagenperjaar1</f>
        <v>#DIV/0!</v>
      </c>
      <c r="U106" s="27" t="e">
        <f>T106*P106</f>
        <v>#DIV/0!</v>
      </c>
    </row>
    <row r="107" spans="1:21" x14ac:dyDescent="0.3">
      <c r="A107" s="93" t="s">
        <v>288</v>
      </c>
      <c r="B107" s="94" t="s">
        <v>289</v>
      </c>
      <c r="C107" s="94" t="s">
        <v>419</v>
      </c>
      <c r="D107" s="94" t="s">
        <v>435</v>
      </c>
      <c r="E107" s="95" t="s">
        <v>338</v>
      </c>
      <c r="F107" s="94" t="s">
        <v>296</v>
      </c>
      <c r="G107" s="94" t="s">
        <v>267</v>
      </c>
      <c r="H107" s="94" t="s">
        <v>11</v>
      </c>
      <c r="I107" s="94" t="s">
        <v>219</v>
      </c>
      <c r="J107" s="94"/>
      <c r="K107" s="96">
        <v>8.3000000000000007</v>
      </c>
      <c r="L107" s="96">
        <f>K107*VLOOKUP(H107,dagsoorttabel1,2,FALSE)</f>
        <v>8.3000000000000007</v>
      </c>
      <c r="M107" s="97">
        <f>prodnorm63</f>
        <v>0</v>
      </c>
      <c r="N107" s="41">
        <f>dagwerk63</f>
        <v>0</v>
      </c>
      <c r="O107" s="94" t="s">
        <v>106</v>
      </c>
      <c r="P107" s="26">
        <f>uurtarief63</f>
        <v>0</v>
      </c>
      <c r="Q107" s="96" t="e">
        <f>IF(ISBLANK(M107),0,L107/M107)</f>
        <v>#DIV/0!</v>
      </c>
      <c r="R107" s="96" t="e">
        <f>IF(ISBLANK(M107),0,Q107*N107)</f>
        <v>#DIV/0!</v>
      </c>
      <c r="S107" s="26" t="e">
        <f>P107*Q107</f>
        <v>#DIV/0!</v>
      </c>
      <c r="T107" s="96" t="e">
        <f>Q107*dagenperjaar1</f>
        <v>#DIV/0!</v>
      </c>
      <c r="U107" s="27" t="e">
        <f>T107*P107</f>
        <v>#DIV/0!</v>
      </c>
    </row>
    <row r="108" spans="1:21" x14ac:dyDescent="0.3">
      <c r="A108" s="93" t="s">
        <v>288</v>
      </c>
      <c r="B108" s="94" t="s">
        <v>289</v>
      </c>
      <c r="C108" s="94" t="s">
        <v>419</v>
      </c>
      <c r="D108" s="94" t="s">
        <v>436</v>
      </c>
      <c r="E108" s="95" t="s">
        <v>295</v>
      </c>
      <c r="F108" s="94" t="s">
        <v>296</v>
      </c>
      <c r="G108" s="94" t="s">
        <v>241</v>
      </c>
      <c r="H108" s="94" t="s">
        <v>11</v>
      </c>
      <c r="I108" s="94" t="s">
        <v>219</v>
      </c>
      <c r="J108" s="94"/>
      <c r="K108" s="96">
        <v>56</v>
      </c>
      <c r="L108" s="96">
        <f>K108*VLOOKUP(H108,dagsoorttabel1,2,FALSE)</f>
        <v>56</v>
      </c>
      <c r="M108" s="97">
        <f>prodnorm38</f>
        <v>0</v>
      </c>
      <c r="N108" s="41">
        <f>dagwerk38</f>
        <v>0</v>
      </c>
      <c r="O108" s="94" t="s">
        <v>106</v>
      </c>
      <c r="P108" s="26">
        <f>uurtarief38</f>
        <v>0</v>
      </c>
      <c r="Q108" s="96" t="e">
        <f>IF(ISBLANK(M108),0,L108/M108)</f>
        <v>#DIV/0!</v>
      </c>
      <c r="R108" s="96" t="e">
        <f>IF(ISBLANK(M108),0,Q108*N108)</f>
        <v>#DIV/0!</v>
      </c>
      <c r="S108" s="26" t="e">
        <f>P108*Q108</f>
        <v>#DIV/0!</v>
      </c>
      <c r="T108" s="96" t="e">
        <f>Q108*dagenperjaar1</f>
        <v>#DIV/0!</v>
      </c>
      <c r="U108" s="27" t="e">
        <f>T108*P108</f>
        <v>#DIV/0!</v>
      </c>
    </row>
    <row r="109" spans="1:21" x14ac:dyDescent="0.3">
      <c r="A109" s="93" t="s">
        <v>288</v>
      </c>
      <c r="B109" s="94" t="s">
        <v>289</v>
      </c>
      <c r="C109" s="94" t="s">
        <v>419</v>
      </c>
      <c r="D109" s="94" t="s">
        <v>437</v>
      </c>
      <c r="E109" s="95" t="s">
        <v>295</v>
      </c>
      <c r="F109" s="94" t="s">
        <v>296</v>
      </c>
      <c r="G109" s="94" t="s">
        <v>241</v>
      </c>
      <c r="H109" s="94" t="s">
        <v>11</v>
      </c>
      <c r="I109" s="94" t="s">
        <v>219</v>
      </c>
      <c r="J109" s="94"/>
      <c r="K109" s="96">
        <v>46</v>
      </c>
      <c r="L109" s="96">
        <f>K109*VLOOKUP(H109,dagsoorttabel1,2,FALSE)</f>
        <v>46</v>
      </c>
      <c r="M109" s="97">
        <f>prodnorm38</f>
        <v>0</v>
      </c>
      <c r="N109" s="41">
        <f>dagwerk38</f>
        <v>0</v>
      </c>
      <c r="O109" s="94" t="s">
        <v>106</v>
      </c>
      <c r="P109" s="26">
        <f>uurtarief38</f>
        <v>0</v>
      </c>
      <c r="Q109" s="96" t="e">
        <f>IF(ISBLANK(M109),0,L109/M109)</f>
        <v>#DIV/0!</v>
      </c>
      <c r="R109" s="96" t="e">
        <f>IF(ISBLANK(M109),0,Q109*N109)</f>
        <v>#DIV/0!</v>
      </c>
      <c r="S109" s="26" t="e">
        <f>P109*Q109</f>
        <v>#DIV/0!</v>
      </c>
      <c r="T109" s="96" t="e">
        <f>Q109*dagenperjaar1</f>
        <v>#DIV/0!</v>
      </c>
      <c r="U109" s="27" t="e">
        <f>T109*P109</f>
        <v>#DIV/0!</v>
      </c>
    </row>
    <row r="110" spans="1:21" x14ac:dyDescent="0.3">
      <c r="A110" s="93" t="s">
        <v>288</v>
      </c>
      <c r="B110" s="94" t="s">
        <v>289</v>
      </c>
      <c r="C110" s="94" t="s">
        <v>419</v>
      </c>
      <c r="D110" s="94" t="s">
        <v>438</v>
      </c>
      <c r="E110" s="95" t="s">
        <v>308</v>
      </c>
      <c r="F110" s="94" t="s">
        <v>296</v>
      </c>
      <c r="G110" s="94" t="s">
        <v>223</v>
      </c>
      <c r="H110" s="94" t="s">
        <v>18</v>
      </c>
      <c r="I110" s="94" t="s">
        <v>219</v>
      </c>
      <c r="J110" s="94"/>
      <c r="K110" s="96">
        <v>20</v>
      </c>
      <c r="L110" s="96">
        <f>K110*VLOOKUP(H110,dagsoorttabel1,2,FALSE)</f>
        <v>4</v>
      </c>
      <c r="M110" s="97">
        <f>prodnorm19</f>
        <v>0</v>
      </c>
      <c r="N110" s="41">
        <f>dagwerk19</f>
        <v>0</v>
      </c>
      <c r="O110" s="94" t="s">
        <v>106</v>
      </c>
      <c r="P110" s="26">
        <f>uurtarief19</f>
        <v>0</v>
      </c>
      <c r="Q110" s="96" t="e">
        <f>IF(ISBLANK(M110),0,L110/M110)</f>
        <v>#DIV/0!</v>
      </c>
      <c r="R110" s="96" t="e">
        <f>IF(ISBLANK(M110),0,Q110*N110)</f>
        <v>#DIV/0!</v>
      </c>
      <c r="S110" s="26" t="e">
        <f>P110*Q110</f>
        <v>#DIV/0!</v>
      </c>
      <c r="T110" s="96" t="e">
        <f>Q110*dagenperjaar1</f>
        <v>#DIV/0!</v>
      </c>
      <c r="U110" s="27" t="e">
        <f>T110*P110</f>
        <v>#DIV/0!</v>
      </c>
    </row>
    <row r="111" spans="1:21" x14ac:dyDescent="0.3">
      <c r="A111" s="93" t="s">
        <v>288</v>
      </c>
      <c r="B111" s="94" t="s">
        <v>289</v>
      </c>
      <c r="C111" s="94" t="s">
        <v>419</v>
      </c>
      <c r="D111" s="94" t="s">
        <v>439</v>
      </c>
      <c r="E111" s="95" t="s">
        <v>295</v>
      </c>
      <c r="F111" s="94" t="s">
        <v>359</v>
      </c>
      <c r="G111" s="94" t="s">
        <v>241</v>
      </c>
      <c r="H111" s="94" t="s">
        <v>11</v>
      </c>
      <c r="I111" s="94" t="s">
        <v>219</v>
      </c>
      <c r="J111" s="94"/>
      <c r="K111" s="96">
        <v>56</v>
      </c>
      <c r="L111" s="96">
        <f>K111*VLOOKUP(H111,dagsoorttabel1,2,FALSE)</f>
        <v>56</v>
      </c>
      <c r="M111" s="97">
        <f>prodnorm38</f>
        <v>0</v>
      </c>
      <c r="N111" s="41">
        <f>dagwerk38</f>
        <v>0</v>
      </c>
      <c r="O111" s="94" t="s">
        <v>106</v>
      </c>
      <c r="P111" s="26">
        <f>uurtarief38</f>
        <v>0</v>
      </c>
      <c r="Q111" s="96" t="e">
        <f>IF(ISBLANK(M111),0,L111/M111)</f>
        <v>#DIV/0!</v>
      </c>
      <c r="R111" s="96" t="e">
        <f>IF(ISBLANK(M111),0,Q111*N111)</f>
        <v>#DIV/0!</v>
      </c>
      <c r="S111" s="26" t="e">
        <f>P111*Q111</f>
        <v>#DIV/0!</v>
      </c>
      <c r="T111" s="96" t="e">
        <f>Q111*dagenperjaar1</f>
        <v>#DIV/0!</v>
      </c>
      <c r="U111" s="27" t="e">
        <f>T111*P111</f>
        <v>#DIV/0!</v>
      </c>
    </row>
    <row r="112" spans="1:21" x14ac:dyDescent="0.3">
      <c r="A112" s="93" t="s">
        <v>288</v>
      </c>
      <c r="B112" s="94" t="s">
        <v>289</v>
      </c>
      <c r="C112" s="94" t="s">
        <v>419</v>
      </c>
      <c r="D112" s="94" t="s">
        <v>440</v>
      </c>
      <c r="E112" s="95" t="s">
        <v>295</v>
      </c>
      <c r="F112" s="94" t="s">
        <v>359</v>
      </c>
      <c r="G112" s="94" t="s">
        <v>241</v>
      </c>
      <c r="H112" s="94" t="s">
        <v>11</v>
      </c>
      <c r="I112" s="94" t="s">
        <v>219</v>
      </c>
      <c r="J112" s="94"/>
      <c r="K112" s="96">
        <v>56</v>
      </c>
      <c r="L112" s="96">
        <f>K112*VLOOKUP(H112,dagsoorttabel1,2,FALSE)</f>
        <v>56</v>
      </c>
      <c r="M112" s="97">
        <f>prodnorm38</f>
        <v>0</v>
      </c>
      <c r="N112" s="41">
        <f>dagwerk38</f>
        <v>0</v>
      </c>
      <c r="O112" s="94" t="s">
        <v>106</v>
      </c>
      <c r="P112" s="26">
        <f>uurtarief38</f>
        <v>0</v>
      </c>
      <c r="Q112" s="96" t="e">
        <f>IF(ISBLANK(M112),0,L112/M112)</f>
        <v>#DIV/0!</v>
      </c>
      <c r="R112" s="96" t="e">
        <f>IF(ISBLANK(M112),0,Q112*N112)</f>
        <v>#DIV/0!</v>
      </c>
      <c r="S112" s="26" t="e">
        <f>P112*Q112</f>
        <v>#DIV/0!</v>
      </c>
      <c r="T112" s="96" t="e">
        <f>Q112*dagenperjaar1</f>
        <v>#DIV/0!</v>
      </c>
      <c r="U112" s="27" t="e">
        <f>T112*P112</f>
        <v>#DIV/0!</v>
      </c>
    </row>
    <row r="113" spans="1:21" x14ac:dyDescent="0.3">
      <c r="A113" s="93" t="s">
        <v>288</v>
      </c>
      <c r="B113" s="94" t="s">
        <v>289</v>
      </c>
      <c r="C113" s="94" t="s">
        <v>419</v>
      </c>
      <c r="D113" s="94" t="s">
        <v>441</v>
      </c>
      <c r="E113" s="95" t="s">
        <v>308</v>
      </c>
      <c r="F113" s="94" t="s">
        <v>418</v>
      </c>
      <c r="G113" s="94" t="s">
        <v>225</v>
      </c>
      <c r="H113" s="94" t="s">
        <v>18</v>
      </c>
      <c r="I113" s="94" t="s">
        <v>219</v>
      </c>
      <c r="J113" s="94"/>
      <c r="K113" s="96">
        <v>7</v>
      </c>
      <c r="L113" s="96">
        <f>K113*VLOOKUP(H113,dagsoorttabel1,2,FALSE)</f>
        <v>1.4000000000000001</v>
      </c>
      <c r="M113" s="97">
        <f>prodnorm23</f>
        <v>0</v>
      </c>
      <c r="N113" s="41">
        <f>dagwerk23</f>
        <v>0</v>
      </c>
      <c r="O113" s="94" t="s">
        <v>106</v>
      </c>
      <c r="P113" s="26">
        <f>uurtarief23</f>
        <v>0</v>
      </c>
      <c r="Q113" s="96" t="e">
        <f>IF(ISBLANK(M113),0,L113/M113)</f>
        <v>#DIV/0!</v>
      </c>
      <c r="R113" s="96" t="e">
        <f>IF(ISBLANK(M113),0,Q113*N113)</f>
        <v>#DIV/0!</v>
      </c>
      <c r="S113" s="26" t="e">
        <f>P113*Q113</f>
        <v>#DIV/0!</v>
      </c>
      <c r="T113" s="96" t="e">
        <f>Q113*dagenperjaar1</f>
        <v>#DIV/0!</v>
      </c>
      <c r="U113" s="27" t="e">
        <f>T113*P113</f>
        <v>#DIV/0!</v>
      </c>
    </row>
    <row r="114" spans="1:21" x14ac:dyDescent="0.3">
      <c r="A114" s="93" t="s">
        <v>288</v>
      </c>
      <c r="B114" s="94" t="s">
        <v>289</v>
      </c>
      <c r="C114" s="94" t="s">
        <v>419</v>
      </c>
      <c r="D114" s="94" t="s">
        <v>442</v>
      </c>
      <c r="E114" s="95" t="s">
        <v>295</v>
      </c>
      <c r="F114" s="94" t="s">
        <v>359</v>
      </c>
      <c r="G114" s="94" t="s">
        <v>241</v>
      </c>
      <c r="H114" s="94" t="s">
        <v>11</v>
      </c>
      <c r="I114" s="94" t="s">
        <v>219</v>
      </c>
      <c r="J114" s="94"/>
      <c r="K114" s="96">
        <v>56</v>
      </c>
      <c r="L114" s="96">
        <f>K114*VLOOKUP(H114,dagsoorttabel1,2,FALSE)</f>
        <v>56</v>
      </c>
      <c r="M114" s="97">
        <f>prodnorm38</f>
        <v>0</v>
      </c>
      <c r="N114" s="41">
        <f>dagwerk38</f>
        <v>0</v>
      </c>
      <c r="O114" s="94" t="s">
        <v>106</v>
      </c>
      <c r="P114" s="26">
        <f>uurtarief38</f>
        <v>0</v>
      </c>
      <c r="Q114" s="96" t="e">
        <f>IF(ISBLANK(M114),0,L114/M114)</f>
        <v>#DIV/0!</v>
      </c>
      <c r="R114" s="96" t="e">
        <f>IF(ISBLANK(M114),0,Q114*N114)</f>
        <v>#DIV/0!</v>
      </c>
      <c r="S114" s="26" t="e">
        <f>P114*Q114</f>
        <v>#DIV/0!</v>
      </c>
      <c r="T114" s="96" t="e">
        <f>Q114*dagenperjaar1</f>
        <v>#DIV/0!</v>
      </c>
      <c r="U114" s="27" t="e">
        <f>T114*P114</f>
        <v>#DIV/0!</v>
      </c>
    </row>
    <row r="115" spans="1:21" x14ac:dyDescent="0.3">
      <c r="A115" s="93" t="s">
        <v>288</v>
      </c>
      <c r="B115" s="94" t="s">
        <v>289</v>
      </c>
      <c r="C115" s="94" t="s">
        <v>419</v>
      </c>
      <c r="D115" s="94" t="s">
        <v>443</v>
      </c>
      <c r="E115" s="95" t="s">
        <v>295</v>
      </c>
      <c r="F115" s="94" t="s">
        <v>359</v>
      </c>
      <c r="G115" s="94" t="s">
        <v>241</v>
      </c>
      <c r="H115" s="94" t="s">
        <v>11</v>
      </c>
      <c r="I115" s="94" t="s">
        <v>219</v>
      </c>
      <c r="J115" s="94"/>
      <c r="K115" s="96">
        <v>40.6</v>
      </c>
      <c r="L115" s="96">
        <f>K115*VLOOKUP(H115,dagsoorttabel1,2,FALSE)</f>
        <v>40.6</v>
      </c>
      <c r="M115" s="97">
        <f>prodnorm38</f>
        <v>0</v>
      </c>
      <c r="N115" s="41">
        <f>dagwerk38</f>
        <v>0</v>
      </c>
      <c r="O115" s="94" t="s">
        <v>106</v>
      </c>
      <c r="P115" s="26">
        <f>uurtarief38</f>
        <v>0</v>
      </c>
      <c r="Q115" s="96" t="e">
        <f>IF(ISBLANK(M115),0,L115/M115)</f>
        <v>#DIV/0!</v>
      </c>
      <c r="R115" s="96" t="e">
        <f>IF(ISBLANK(M115),0,Q115*N115)</f>
        <v>#DIV/0!</v>
      </c>
      <c r="S115" s="26" t="e">
        <f>P115*Q115</f>
        <v>#DIV/0!</v>
      </c>
      <c r="T115" s="96" t="e">
        <f>Q115*dagenperjaar1</f>
        <v>#DIV/0!</v>
      </c>
      <c r="U115" s="27" t="e">
        <f>T115*P115</f>
        <v>#DIV/0!</v>
      </c>
    </row>
    <row r="116" spans="1:21" x14ac:dyDescent="0.3">
      <c r="A116" s="93" t="s">
        <v>288</v>
      </c>
      <c r="B116" s="94" t="s">
        <v>289</v>
      </c>
      <c r="C116" s="94" t="s">
        <v>419</v>
      </c>
      <c r="D116" s="94" t="s">
        <v>444</v>
      </c>
      <c r="E116" s="95" t="s">
        <v>295</v>
      </c>
      <c r="F116" s="94" t="s">
        <v>359</v>
      </c>
      <c r="G116" s="94" t="s">
        <v>241</v>
      </c>
      <c r="H116" s="94" t="s">
        <v>11</v>
      </c>
      <c r="I116" s="94" t="s">
        <v>219</v>
      </c>
      <c r="J116" s="94"/>
      <c r="K116" s="96">
        <v>67.2</v>
      </c>
      <c r="L116" s="96">
        <f>K116*VLOOKUP(H116,dagsoorttabel1,2,FALSE)</f>
        <v>67.2</v>
      </c>
      <c r="M116" s="97">
        <f>prodnorm38</f>
        <v>0</v>
      </c>
      <c r="N116" s="41">
        <f>dagwerk38</f>
        <v>0</v>
      </c>
      <c r="O116" s="94" t="s">
        <v>106</v>
      </c>
      <c r="P116" s="26">
        <f>uurtarief38</f>
        <v>0</v>
      </c>
      <c r="Q116" s="96" t="e">
        <f>IF(ISBLANK(M116),0,L116/M116)</f>
        <v>#DIV/0!</v>
      </c>
      <c r="R116" s="96" t="e">
        <f>IF(ISBLANK(M116),0,Q116*N116)</f>
        <v>#DIV/0!</v>
      </c>
      <c r="S116" s="26" t="e">
        <f>P116*Q116</f>
        <v>#DIV/0!</v>
      </c>
      <c r="T116" s="96" t="e">
        <f>Q116*dagenperjaar1</f>
        <v>#DIV/0!</v>
      </c>
      <c r="U116" s="27" t="e">
        <f>T116*P116</f>
        <v>#DIV/0!</v>
      </c>
    </row>
    <row r="117" spans="1:21" x14ac:dyDescent="0.3">
      <c r="A117" s="93" t="s">
        <v>288</v>
      </c>
      <c r="B117" s="94" t="s">
        <v>289</v>
      </c>
      <c r="C117" s="94" t="s">
        <v>419</v>
      </c>
      <c r="D117" s="94" t="s">
        <v>445</v>
      </c>
      <c r="E117" s="95" t="s">
        <v>338</v>
      </c>
      <c r="F117" s="94" t="s">
        <v>296</v>
      </c>
      <c r="G117" s="94" t="s">
        <v>267</v>
      </c>
      <c r="H117" s="94" t="s">
        <v>11</v>
      </c>
      <c r="I117" s="94" t="s">
        <v>219</v>
      </c>
      <c r="J117" s="94"/>
      <c r="K117" s="96">
        <v>52</v>
      </c>
      <c r="L117" s="96">
        <f>K117*VLOOKUP(H117,dagsoorttabel1,2,FALSE)</f>
        <v>52</v>
      </c>
      <c r="M117" s="97">
        <f>prodnorm63</f>
        <v>0</v>
      </c>
      <c r="N117" s="41">
        <f>dagwerk63</f>
        <v>0</v>
      </c>
      <c r="O117" s="94" t="s">
        <v>106</v>
      </c>
      <c r="P117" s="26">
        <f>uurtarief63</f>
        <v>0</v>
      </c>
      <c r="Q117" s="96" t="e">
        <f>IF(ISBLANK(M117),0,L117/M117)</f>
        <v>#DIV/0!</v>
      </c>
      <c r="R117" s="96" t="e">
        <f>IF(ISBLANK(M117),0,Q117*N117)</f>
        <v>#DIV/0!</v>
      </c>
      <c r="S117" s="26" t="e">
        <f>P117*Q117</f>
        <v>#DIV/0!</v>
      </c>
      <c r="T117" s="96" t="e">
        <f>Q117*dagenperjaar1</f>
        <v>#DIV/0!</v>
      </c>
      <c r="U117" s="27" t="e">
        <f>T117*P117</f>
        <v>#DIV/0!</v>
      </c>
    </row>
    <row r="118" spans="1:21" x14ac:dyDescent="0.3">
      <c r="A118" s="93" t="s">
        <v>288</v>
      </c>
      <c r="B118" s="94" t="s">
        <v>289</v>
      </c>
      <c r="C118" s="94" t="s">
        <v>419</v>
      </c>
      <c r="D118" s="94" t="s">
        <v>446</v>
      </c>
      <c r="E118" s="95" t="s">
        <v>338</v>
      </c>
      <c r="F118" s="94" t="s">
        <v>296</v>
      </c>
      <c r="G118" s="94" t="s">
        <v>267</v>
      </c>
      <c r="H118" s="94" t="s">
        <v>11</v>
      </c>
      <c r="I118" s="94" t="s">
        <v>219</v>
      </c>
      <c r="J118" s="94"/>
      <c r="K118" s="96">
        <v>54</v>
      </c>
      <c r="L118" s="96">
        <f>K118*VLOOKUP(H118,dagsoorttabel1,2,FALSE)</f>
        <v>54</v>
      </c>
      <c r="M118" s="97">
        <f>prodnorm63</f>
        <v>0</v>
      </c>
      <c r="N118" s="41">
        <f>dagwerk63</f>
        <v>0</v>
      </c>
      <c r="O118" s="94" t="s">
        <v>106</v>
      </c>
      <c r="P118" s="26">
        <f>uurtarief63</f>
        <v>0</v>
      </c>
      <c r="Q118" s="96" t="e">
        <f>IF(ISBLANK(M118),0,L118/M118)</f>
        <v>#DIV/0!</v>
      </c>
      <c r="R118" s="96" t="e">
        <f>IF(ISBLANK(M118),0,Q118*N118)</f>
        <v>#DIV/0!</v>
      </c>
      <c r="S118" s="26" t="e">
        <f>P118*Q118</f>
        <v>#DIV/0!</v>
      </c>
      <c r="T118" s="96" t="e">
        <f>Q118*dagenperjaar1</f>
        <v>#DIV/0!</v>
      </c>
      <c r="U118" s="27" t="e">
        <f>T118*P118</f>
        <v>#DIV/0!</v>
      </c>
    </row>
    <row r="119" spans="1:21" x14ac:dyDescent="0.3">
      <c r="A119" s="93" t="s">
        <v>288</v>
      </c>
      <c r="B119" s="94" t="s">
        <v>289</v>
      </c>
      <c r="C119" s="94" t="s">
        <v>419</v>
      </c>
      <c r="D119" s="94" t="s">
        <v>447</v>
      </c>
      <c r="E119" s="95" t="s">
        <v>295</v>
      </c>
      <c r="F119" s="94" t="s">
        <v>296</v>
      </c>
      <c r="G119" s="94" t="s">
        <v>241</v>
      </c>
      <c r="H119" s="94" t="s">
        <v>11</v>
      </c>
      <c r="I119" s="94" t="s">
        <v>219</v>
      </c>
      <c r="J119" s="94"/>
      <c r="K119" s="96">
        <v>56</v>
      </c>
      <c r="L119" s="96">
        <f>K119*VLOOKUP(H119,dagsoorttabel1,2,FALSE)</f>
        <v>56</v>
      </c>
      <c r="M119" s="97">
        <f>prodnorm38</f>
        <v>0</v>
      </c>
      <c r="N119" s="41">
        <f>dagwerk38</f>
        <v>0</v>
      </c>
      <c r="O119" s="94" t="s">
        <v>106</v>
      </c>
      <c r="P119" s="26">
        <f>uurtarief38</f>
        <v>0</v>
      </c>
      <c r="Q119" s="96" t="e">
        <f>IF(ISBLANK(M119),0,L119/M119)</f>
        <v>#DIV/0!</v>
      </c>
      <c r="R119" s="96" t="e">
        <f>IF(ISBLANK(M119),0,Q119*N119)</f>
        <v>#DIV/0!</v>
      </c>
      <c r="S119" s="26" t="e">
        <f>P119*Q119</f>
        <v>#DIV/0!</v>
      </c>
      <c r="T119" s="96" t="e">
        <f>Q119*dagenperjaar1</f>
        <v>#DIV/0!</v>
      </c>
      <c r="U119" s="27" t="e">
        <f>T119*P119</f>
        <v>#DIV/0!</v>
      </c>
    </row>
    <row r="120" spans="1:21" x14ac:dyDescent="0.3">
      <c r="A120" s="93" t="s">
        <v>288</v>
      </c>
      <c r="B120" s="94" t="s">
        <v>289</v>
      </c>
      <c r="C120" s="94" t="s">
        <v>419</v>
      </c>
      <c r="D120" s="94" t="s">
        <v>448</v>
      </c>
      <c r="E120" s="95" t="s">
        <v>298</v>
      </c>
      <c r="F120" s="94" t="s">
        <v>296</v>
      </c>
      <c r="G120" s="94" t="s">
        <v>223</v>
      </c>
      <c r="H120" s="94" t="s">
        <v>18</v>
      </c>
      <c r="I120" s="94" t="s">
        <v>219</v>
      </c>
      <c r="J120" s="94"/>
      <c r="K120" s="96">
        <v>26.9</v>
      </c>
      <c r="L120" s="96">
        <f>K120*VLOOKUP(H120,dagsoorttabel1,2,FALSE)</f>
        <v>5.38</v>
      </c>
      <c r="M120" s="97">
        <f>prodnorm19</f>
        <v>0</v>
      </c>
      <c r="N120" s="41">
        <f>dagwerk19</f>
        <v>0</v>
      </c>
      <c r="O120" s="94" t="s">
        <v>106</v>
      </c>
      <c r="P120" s="26">
        <f>uurtarief19</f>
        <v>0</v>
      </c>
      <c r="Q120" s="96" t="e">
        <f>IF(ISBLANK(M120),0,L120/M120)</f>
        <v>#DIV/0!</v>
      </c>
      <c r="R120" s="96" t="e">
        <f>IF(ISBLANK(M120),0,Q120*N120)</f>
        <v>#DIV/0!</v>
      </c>
      <c r="S120" s="26" t="e">
        <f>P120*Q120</f>
        <v>#DIV/0!</v>
      </c>
      <c r="T120" s="96" t="e">
        <f>Q120*dagenperjaar1</f>
        <v>#DIV/0!</v>
      </c>
      <c r="U120" s="27" t="e">
        <f>T120*P120</f>
        <v>#DIV/0!</v>
      </c>
    </row>
    <row r="121" spans="1:21" x14ac:dyDescent="0.3">
      <c r="A121" s="93" t="s">
        <v>288</v>
      </c>
      <c r="B121" s="94" t="s">
        <v>289</v>
      </c>
      <c r="C121" s="94" t="s">
        <v>419</v>
      </c>
      <c r="D121" s="94" t="s">
        <v>449</v>
      </c>
      <c r="E121" s="95" t="s">
        <v>295</v>
      </c>
      <c r="F121" s="94" t="s">
        <v>296</v>
      </c>
      <c r="G121" s="94" t="s">
        <v>241</v>
      </c>
      <c r="H121" s="94" t="s">
        <v>11</v>
      </c>
      <c r="I121" s="94" t="s">
        <v>219</v>
      </c>
      <c r="J121" s="94"/>
      <c r="K121" s="96">
        <v>56</v>
      </c>
      <c r="L121" s="96">
        <f>K121*VLOOKUP(H121,dagsoorttabel1,2,FALSE)</f>
        <v>56</v>
      </c>
      <c r="M121" s="97">
        <f>prodnorm38</f>
        <v>0</v>
      </c>
      <c r="N121" s="41">
        <f>dagwerk38</f>
        <v>0</v>
      </c>
      <c r="O121" s="94" t="s">
        <v>106</v>
      </c>
      <c r="P121" s="26">
        <f>uurtarief38</f>
        <v>0</v>
      </c>
      <c r="Q121" s="96" t="e">
        <f>IF(ISBLANK(M121),0,L121/M121)</f>
        <v>#DIV/0!</v>
      </c>
      <c r="R121" s="96" t="e">
        <f>IF(ISBLANK(M121),0,Q121*N121)</f>
        <v>#DIV/0!</v>
      </c>
      <c r="S121" s="26" t="e">
        <f>P121*Q121</f>
        <v>#DIV/0!</v>
      </c>
      <c r="T121" s="96" t="e">
        <f>Q121*dagenperjaar1</f>
        <v>#DIV/0!</v>
      </c>
      <c r="U121" s="27" t="e">
        <f>T121*P121</f>
        <v>#DIV/0!</v>
      </c>
    </row>
    <row r="122" spans="1:21" x14ac:dyDescent="0.3">
      <c r="A122" s="93" t="s">
        <v>288</v>
      </c>
      <c r="B122" s="94" t="s">
        <v>289</v>
      </c>
      <c r="C122" s="94" t="s">
        <v>419</v>
      </c>
      <c r="D122" s="94" t="s">
        <v>450</v>
      </c>
      <c r="E122" s="95" t="s">
        <v>306</v>
      </c>
      <c r="F122" s="94" t="s">
        <v>296</v>
      </c>
      <c r="G122" s="94" t="s">
        <v>265</v>
      </c>
      <c r="H122" s="94" t="s">
        <v>11</v>
      </c>
      <c r="I122" s="94" t="s">
        <v>219</v>
      </c>
      <c r="J122" s="94"/>
      <c r="K122" s="96">
        <v>5.6</v>
      </c>
      <c r="L122" s="96">
        <f>K122*VLOOKUP(H122,dagsoorttabel1,2,FALSE)</f>
        <v>5.6</v>
      </c>
      <c r="M122" s="97">
        <f>prodnorm61</f>
        <v>0</v>
      </c>
      <c r="N122" s="41">
        <f>dagwerk61</f>
        <v>0</v>
      </c>
      <c r="O122" s="94" t="s">
        <v>106</v>
      </c>
      <c r="P122" s="26">
        <f>uurtarief61</f>
        <v>0</v>
      </c>
      <c r="Q122" s="96" t="e">
        <f>IF(ISBLANK(M122),0,L122/M122)</f>
        <v>#DIV/0!</v>
      </c>
      <c r="R122" s="96" t="e">
        <f>IF(ISBLANK(M122),0,Q122*N122)</f>
        <v>#DIV/0!</v>
      </c>
      <c r="S122" s="26" t="e">
        <f>P122*Q122</f>
        <v>#DIV/0!</v>
      </c>
      <c r="T122" s="96" t="e">
        <f>Q122*dagenperjaar1</f>
        <v>#DIV/0!</v>
      </c>
      <c r="U122" s="27" t="e">
        <f>T122*P122</f>
        <v>#DIV/0!</v>
      </c>
    </row>
    <row r="123" spans="1:21" x14ac:dyDescent="0.3">
      <c r="A123" s="93" t="s">
        <v>288</v>
      </c>
      <c r="B123" s="94" t="s">
        <v>289</v>
      </c>
      <c r="C123" s="94" t="s">
        <v>419</v>
      </c>
      <c r="D123" s="94" t="s">
        <v>451</v>
      </c>
      <c r="E123" s="95" t="s">
        <v>295</v>
      </c>
      <c r="F123" s="94" t="s">
        <v>296</v>
      </c>
      <c r="G123" s="94" t="s">
        <v>241</v>
      </c>
      <c r="H123" s="94" t="s">
        <v>11</v>
      </c>
      <c r="I123" s="94" t="s">
        <v>219</v>
      </c>
      <c r="J123" s="94"/>
      <c r="K123" s="96">
        <v>56</v>
      </c>
      <c r="L123" s="96">
        <f>K123*VLOOKUP(H123,dagsoorttabel1,2,FALSE)</f>
        <v>56</v>
      </c>
      <c r="M123" s="97">
        <f>prodnorm38</f>
        <v>0</v>
      </c>
      <c r="N123" s="41">
        <f>dagwerk38</f>
        <v>0</v>
      </c>
      <c r="O123" s="94" t="s">
        <v>106</v>
      </c>
      <c r="P123" s="26">
        <f>uurtarief38</f>
        <v>0</v>
      </c>
      <c r="Q123" s="96" t="e">
        <f>IF(ISBLANK(M123),0,L123/M123)</f>
        <v>#DIV/0!</v>
      </c>
      <c r="R123" s="96" t="e">
        <f>IF(ISBLANK(M123),0,Q123*N123)</f>
        <v>#DIV/0!</v>
      </c>
      <c r="S123" s="26" t="e">
        <f>P123*Q123</f>
        <v>#DIV/0!</v>
      </c>
      <c r="T123" s="96" t="e">
        <f>Q123*dagenperjaar1</f>
        <v>#DIV/0!</v>
      </c>
      <c r="U123" s="27" t="e">
        <f>T123*P123</f>
        <v>#DIV/0!</v>
      </c>
    </row>
    <row r="124" spans="1:21" x14ac:dyDescent="0.3">
      <c r="A124" s="93" t="s">
        <v>288</v>
      </c>
      <c r="B124" s="94" t="s">
        <v>289</v>
      </c>
      <c r="C124" s="94" t="s">
        <v>419</v>
      </c>
      <c r="D124" s="94" t="s">
        <v>452</v>
      </c>
      <c r="E124" s="95" t="s">
        <v>453</v>
      </c>
      <c r="F124" s="94" t="s">
        <v>316</v>
      </c>
      <c r="G124" s="94" t="s">
        <v>261</v>
      </c>
      <c r="H124" s="94" t="s">
        <v>11</v>
      </c>
      <c r="I124" s="94" t="s">
        <v>219</v>
      </c>
      <c r="J124" s="94"/>
      <c r="K124" s="96">
        <v>5</v>
      </c>
      <c r="L124" s="96">
        <f>K124*VLOOKUP(H124,dagsoorttabel1,2,FALSE)</f>
        <v>5</v>
      </c>
      <c r="M124" s="97">
        <f>prodnorm56</f>
        <v>0</v>
      </c>
      <c r="N124" s="41">
        <f>dagwerk56</f>
        <v>0</v>
      </c>
      <c r="O124" s="94" t="s">
        <v>106</v>
      </c>
      <c r="P124" s="26">
        <f>uurtarief56</f>
        <v>0</v>
      </c>
      <c r="Q124" s="96" t="e">
        <f>IF(ISBLANK(M124),0,L124/M124)</f>
        <v>#DIV/0!</v>
      </c>
      <c r="R124" s="96" t="e">
        <f>IF(ISBLANK(M124),0,Q124*N124)</f>
        <v>#DIV/0!</v>
      </c>
      <c r="S124" s="26" t="e">
        <f>P124*Q124</f>
        <v>#DIV/0!</v>
      </c>
      <c r="T124" s="96" t="e">
        <f>Q124*dagenperjaar1</f>
        <v>#DIV/0!</v>
      </c>
      <c r="U124" s="27" t="e">
        <f>T124*P124</f>
        <v>#DIV/0!</v>
      </c>
    </row>
    <row r="125" spans="1:21" x14ac:dyDescent="0.3">
      <c r="A125" s="93" t="s">
        <v>288</v>
      </c>
      <c r="B125" s="94" t="s">
        <v>289</v>
      </c>
      <c r="C125" s="94" t="s">
        <v>419</v>
      </c>
      <c r="D125" s="94" t="s">
        <v>452</v>
      </c>
      <c r="E125" s="95" t="s">
        <v>453</v>
      </c>
      <c r="F125" s="94" t="s">
        <v>316</v>
      </c>
      <c r="G125" s="94" t="s">
        <v>263</v>
      </c>
      <c r="H125" s="94" t="s">
        <v>11</v>
      </c>
      <c r="I125" s="94" t="s">
        <v>219</v>
      </c>
      <c r="J125" s="94"/>
      <c r="K125" s="96">
        <v>5</v>
      </c>
      <c r="L125" s="96">
        <f>K125*VLOOKUP(H125,dagsoorttabel1,2,FALSE)</f>
        <v>5</v>
      </c>
      <c r="M125" s="97">
        <f>prodnorm58</f>
        <v>0</v>
      </c>
      <c r="N125" s="41">
        <f>dagwerk58</f>
        <v>0</v>
      </c>
      <c r="O125" s="94" t="s">
        <v>106</v>
      </c>
      <c r="P125" s="26">
        <f>uurtarief58</f>
        <v>0</v>
      </c>
      <c r="Q125" s="96" t="e">
        <f>IF(ISBLANK(M125),0,L125/M125)</f>
        <v>#DIV/0!</v>
      </c>
      <c r="R125" s="96" t="e">
        <f>IF(ISBLANK(M125),0,Q125*N125)</f>
        <v>#DIV/0!</v>
      </c>
      <c r="S125" s="26" t="e">
        <f>P125*Q125</f>
        <v>#DIV/0!</v>
      </c>
      <c r="T125" s="96" t="e">
        <f>Q125*dagenperjaar1</f>
        <v>#DIV/0!</v>
      </c>
      <c r="U125" s="27" t="e">
        <f>T125*P125</f>
        <v>#DIV/0!</v>
      </c>
    </row>
    <row r="126" spans="1:21" x14ac:dyDescent="0.3">
      <c r="A126" s="93" t="s">
        <v>288</v>
      </c>
      <c r="B126" s="94" t="s">
        <v>289</v>
      </c>
      <c r="C126" s="94" t="s">
        <v>419</v>
      </c>
      <c r="D126" s="94" t="s">
        <v>454</v>
      </c>
      <c r="E126" s="95" t="s">
        <v>455</v>
      </c>
      <c r="F126" s="94" t="s">
        <v>316</v>
      </c>
      <c r="G126" s="94" t="s">
        <v>261</v>
      </c>
      <c r="H126" s="94" t="s">
        <v>11</v>
      </c>
      <c r="I126" s="94" t="s">
        <v>219</v>
      </c>
      <c r="J126" s="94"/>
      <c r="K126" s="96">
        <v>5</v>
      </c>
      <c r="L126" s="96">
        <f>K126*VLOOKUP(H126,dagsoorttabel1,2,FALSE)</f>
        <v>5</v>
      </c>
      <c r="M126" s="97">
        <f>prodnorm56</f>
        <v>0</v>
      </c>
      <c r="N126" s="41">
        <f>dagwerk56</f>
        <v>0</v>
      </c>
      <c r="O126" s="94" t="s">
        <v>106</v>
      </c>
      <c r="P126" s="26">
        <f>uurtarief56</f>
        <v>0</v>
      </c>
      <c r="Q126" s="96" t="e">
        <f>IF(ISBLANK(M126),0,L126/M126)</f>
        <v>#DIV/0!</v>
      </c>
      <c r="R126" s="96" t="e">
        <f>IF(ISBLANK(M126),0,Q126*N126)</f>
        <v>#DIV/0!</v>
      </c>
      <c r="S126" s="26" t="e">
        <f>P126*Q126</f>
        <v>#DIV/0!</v>
      </c>
      <c r="T126" s="96" t="e">
        <f>Q126*dagenperjaar1</f>
        <v>#DIV/0!</v>
      </c>
      <c r="U126" s="27" t="e">
        <f>T126*P126</f>
        <v>#DIV/0!</v>
      </c>
    </row>
    <row r="127" spans="1:21" x14ac:dyDescent="0.3">
      <c r="A127" s="93" t="s">
        <v>288</v>
      </c>
      <c r="B127" s="94" t="s">
        <v>289</v>
      </c>
      <c r="C127" s="94" t="s">
        <v>419</v>
      </c>
      <c r="D127" s="94" t="s">
        <v>454</v>
      </c>
      <c r="E127" s="95" t="s">
        <v>455</v>
      </c>
      <c r="F127" s="94" t="s">
        <v>316</v>
      </c>
      <c r="G127" s="94" t="s">
        <v>263</v>
      </c>
      <c r="H127" s="94" t="s">
        <v>11</v>
      </c>
      <c r="I127" s="94" t="s">
        <v>219</v>
      </c>
      <c r="J127" s="94"/>
      <c r="K127" s="96">
        <v>5</v>
      </c>
      <c r="L127" s="96">
        <f>K127*VLOOKUP(H127,dagsoorttabel1,2,FALSE)</f>
        <v>5</v>
      </c>
      <c r="M127" s="97">
        <f>prodnorm58</f>
        <v>0</v>
      </c>
      <c r="N127" s="41">
        <f>dagwerk58</f>
        <v>0</v>
      </c>
      <c r="O127" s="94" t="s">
        <v>106</v>
      </c>
      <c r="P127" s="26">
        <f>uurtarief58</f>
        <v>0</v>
      </c>
      <c r="Q127" s="96" t="e">
        <f>IF(ISBLANK(M127),0,L127/M127)</f>
        <v>#DIV/0!</v>
      </c>
      <c r="R127" s="96" t="e">
        <f>IF(ISBLANK(M127),0,Q127*N127)</f>
        <v>#DIV/0!</v>
      </c>
      <c r="S127" s="26" t="e">
        <f>P127*Q127</f>
        <v>#DIV/0!</v>
      </c>
      <c r="T127" s="96" t="e">
        <f>Q127*dagenperjaar1</f>
        <v>#DIV/0!</v>
      </c>
      <c r="U127" s="27" t="e">
        <f>T127*P127</f>
        <v>#DIV/0!</v>
      </c>
    </row>
    <row r="128" spans="1:21" x14ac:dyDescent="0.3">
      <c r="A128" s="93" t="s">
        <v>288</v>
      </c>
      <c r="B128" s="94" t="s">
        <v>289</v>
      </c>
      <c r="C128" s="94" t="s">
        <v>419</v>
      </c>
      <c r="D128" s="94" t="s">
        <v>456</v>
      </c>
      <c r="E128" s="95" t="s">
        <v>308</v>
      </c>
      <c r="F128" s="94" t="s">
        <v>299</v>
      </c>
      <c r="G128" s="94" t="s">
        <v>223</v>
      </c>
      <c r="H128" s="94" t="s">
        <v>18</v>
      </c>
      <c r="I128" s="94" t="s">
        <v>219</v>
      </c>
      <c r="J128" s="94"/>
      <c r="K128" s="96">
        <v>9</v>
      </c>
      <c r="L128" s="96">
        <f>K128*VLOOKUP(H128,dagsoorttabel1,2,FALSE)</f>
        <v>1.8</v>
      </c>
      <c r="M128" s="97">
        <f>prodnorm19</f>
        <v>0</v>
      </c>
      <c r="N128" s="41">
        <f>dagwerk19</f>
        <v>0</v>
      </c>
      <c r="O128" s="94" t="s">
        <v>106</v>
      </c>
      <c r="P128" s="26">
        <f>uurtarief19</f>
        <v>0</v>
      </c>
      <c r="Q128" s="96" t="e">
        <f>IF(ISBLANK(M128),0,L128/M128)</f>
        <v>#DIV/0!</v>
      </c>
      <c r="R128" s="96" t="e">
        <f>IF(ISBLANK(M128),0,Q128*N128)</f>
        <v>#DIV/0!</v>
      </c>
      <c r="S128" s="26" t="e">
        <f>P128*Q128</f>
        <v>#DIV/0!</v>
      </c>
      <c r="T128" s="96" t="e">
        <f>Q128*dagenperjaar1</f>
        <v>#DIV/0!</v>
      </c>
      <c r="U128" s="27" t="e">
        <f>T128*P128</f>
        <v>#DIV/0!</v>
      </c>
    </row>
    <row r="129" spans="1:21" x14ac:dyDescent="0.3">
      <c r="A129" s="93" t="s">
        <v>288</v>
      </c>
      <c r="B129" s="94" t="s">
        <v>289</v>
      </c>
      <c r="C129" s="94" t="s">
        <v>419</v>
      </c>
      <c r="D129" s="94" t="s">
        <v>457</v>
      </c>
      <c r="E129" s="95" t="s">
        <v>295</v>
      </c>
      <c r="F129" s="94" t="s">
        <v>296</v>
      </c>
      <c r="G129" s="94" t="s">
        <v>241</v>
      </c>
      <c r="H129" s="94" t="s">
        <v>11</v>
      </c>
      <c r="I129" s="94" t="s">
        <v>219</v>
      </c>
      <c r="J129" s="94"/>
      <c r="K129" s="96">
        <v>56</v>
      </c>
      <c r="L129" s="96">
        <f>K129*VLOOKUP(H129,dagsoorttabel1,2,FALSE)</f>
        <v>56</v>
      </c>
      <c r="M129" s="97">
        <f>prodnorm38</f>
        <v>0</v>
      </c>
      <c r="N129" s="41">
        <f>dagwerk38</f>
        <v>0</v>
      </c>
      <c r="O129" s="94" t="s">
        <v>106</v>
      </c>
      <c r="P129" s="26">
        <f>uurtarief38</f>
        <v>0</v>
      </c>
      <c r="Q129" s="96" t="e">
        <f>IF(ISBLANK(M129),0,L129/M129)</f>
        <v>#DIV/0!</v>
      </c>
      <c r="R129" s="96" t="e">
        <f>IF(ISBLANK(M129),0,Q129*N129)</f>
        <v>#DIV/0!</v>
      </c>
      <c r="S129" s="26" t="e">
        <f>P129*Q129</f>
        <v>#DIV/0!</v>
      </c>
      <c r="T129" s="96" t="e">
        <f>Q129*dagenperjaar1</f>
        <v>#DIV/0!</v>
      </c>
      <c r="U129" s="27" t="e">
        <f>T129*P129</f>
        <v>#DIV/0!</v>
      </c>
    </row>
    <row r="130" spans="1:21" x14ac:dyDescent="0.3">
      <c r="A130" s="93" t="s">
        <v>288</v>
      </c>
      <c r="B130" s="94" t="s">
        <v>289</v>
      </c>
      <c r="C130" s="94" t="s">
        <v>419</v>
      </c>
      <c r="D130" s="94" t="s">
        <v>458</v>
      </c>
      <c r="E130" s="95" t="s">
        <v>459</v>
      </c>
      <c r="F130" s="94" t="s">
        <v>299</v>
      </c>
      <c r="G130" s="94" t="s">
        <v>267</v>
      </c>
      <c r="H130" s="94" t="s">
        <v>11</v>
      </c>
      <c r="I130" s="94" t="s">
        <v>219</v>
      </c>
      <c r="J130" s="94"/>
      <c r="K130" s="96">
        <v>124</v>
      </c>
      <c r="L130" s="96">
        <f>K130*VLOOKUP(H130,dagsoorttabel1,2,FALSE)</f>
        <v>124</v>
      </c>
      <c r="M130" s="97">
        <f>prodnorm63</f>
        <v>0</v>
      </c>
      <c r="N130" s="41">
        <f>dagwerk63</f>
        <v>0</v>
      </c>
      <c r="O130" s="94" t="s">
        <v>106</v>
      </c>
      <c r="P130" s="26">
        <f>uurtarief63</f>
        <v>0</v>
      </c>
      <c r="Q130" s="96" t="e">
        <f>IF(ISBLANK(M130),0,L130/M130)</f>
        <v>#DIV/0!</v>
      </c>
      <c r="R130" s="96" t="e">
        <f>IF(ISBLANK(M130),0,Q130*N130)</f>
        <v>#DIV/0!</v>
      </c>
      <c r="S130" s="26" t="e">
        <f>P130*Q130</f>
        <v>#DIV/0!</v>
      </c>
      <c r="T130" s="96" t="e">
        <f>Q130*dagenperjaar1</f>
        <v>#DIV/0!</v>
      </c>
      <c r="U130" s="27" t="e">
        <f>T130*P130</f>
        <v>#DIV/0!</v>
      </c>
    </row>
    <row r="131" spans="1:21" x14ac:dyDescent="0.3">
      <c r="A131" s="93" t="s">
        <v>288</v>
      </c>
      <c r="B131" s="94" t="s">
        <v>289</v>
      </c>
      <c r="C131" s="94" t="s">
        <v>419</v>
      </c>
      <c r="D131" s="94" t="s">
        <v>460</v>
      </c>
      <c r="E131" s="95" t="s">
        <v>301</v>
      </c>
      <c r="F131" s="94" t="s">
        <v>293</v>
      </c>
      <c r="G131" s="94" t="s">
        <v>243</v>
      </c>
      <c r="H131" s="94" t="s">
        <v>11</v>
      </c>
      <c r="I131" s="94" t="s">
        <v>219</v>
      </c>
      <c r="J131" s="94"/>
      <c r="K131" s="96">
        <v>52</v>
      </c>
      <c r="L131" s="96">
        <f>K131*VLOOKUP(H131,dagsoorttabel1,2,FALSE)</f>
        <v>52</v>
      </c>
      <c r="M131" s="97">
        <f>prodnorm40</f>
        <v>0</v>
      </c>
      <c r="N131" s="41">
        <f>dagwerk40</f>
        <v>0</v>
      </c>
      <c r="O131" s="94" t="s">
        <v>106</v>
      </c>
      <c r="P131" s="26">
        <f>uurtarief40</f>
        <v>0</v>
      </c>
      <c r="Q131" s="96" t="e">
        <f>IF(ISBLANK(M131),0,L131/M131)</f>
        <v>#DIV/0!</v>
      </c>
      <c r="R131" s="96" t="e">
        <f>IF(ISBLANK(M131),0,Q131*N131)</f>
        <v>#DIV/0!</v>
      </c>
      <c r="S131" s="26" t="e">
        <f>P131*Q131</f>
        <v>#DIV/0!</v>
      </c>
      <c r="T131" s="96" t="e">
        <f>Q131*dagenperjaar1</f>
        <v>#DIV/0!</v>
      </c>
      <c r="U131" s="27" t="e">
        <f>T131*P131</f>
        <v>#DIV/0!</v>
      </c>
    </row>
    <row r="132" spans="1:21" x14ac:dyDescent="0.3">
      <c r="A132" s="93" t="s">
        <v>288</v>
      </c>
      <c r="B132" s="94" t="s">
        <v>289</v>
      </c>
      <c r="C132" s="94" t="s">
        <v>419</v>
      </c>
      <c r="D132" s="94" t="s">
        <v>461</v>
      </c>
      <c r="E132" s="95" t="s">
        <v>462</v>
      </c>
      <c r="F132" s="94" t="s">
        <v>299</v>
      </c>
      <c r="G132" s="94" t="s">
        <v>223</v>
      </c>
      <c r="H132" s="94" t="s">
        <v>18</v>
      </c>
      <c r="I132" s="94" t="s">
        <v>219</v>
      </c>
      <c r="J132" s="94"/>
      <c r="K132" s="96">
        <v>13</v>
      </c>
      <c r="L132" s="96">
        <f>K132*VLOOKUP(H132,dagsoorttabel1,2,FALSE)</f>
        <v>2.6</v>
      </c>
      <c r="M132" s="97">
        <f>prodnorm19</f>
        <v>0</v>
      </c>
      <c r="N132" s="41">
        <f>dagwerk19</f>
        <v>0</v>
      </c>
      <c r="O132" s="94" t="s">
        <v>106</v>
      </c>
      <c r="P132" s="26">
        <f>uurtarief19</f>
        <v>0</v>
      </c>
      <c r="Q132" s="96" t="e">
        <f>IF(ISBLANK(M132),0,L132/M132)</f>
        <v>#DIV/0!</v>
      </c>
      <c r="R132" s="96" t="e">
        <f>IF(ISBLANK(M132),0,Q132*N132)</f>
        <v>#DIV/0!</v>
      </c>
      <c r="S132" s="26" t="e">
        <f>P132*Q132</f>
        <v>#DIV/0!</v>
      </c>
      <c r="T132" s="96" t="e">
        <f>Q132*dagenperjaar1</f>
        <v>#DIV/0!</v>
      </c>
      <c r="U132" s="27" t="e">
        <f>T132*P132</f>
        <v>#DIV/0!</v>
      </c>
    </row>
    <row r="133" spans="1:21" x14ac:dyDescent="0.3">
      <c r="A133" s="93" t="s">
        <v>288</v>
      </c>
      <c r="B133" s="94" t="s">
        <v>289</v>
      </c>
      <c r="C133" s="94" t="s">
        <v>419</v>
      </c>
      <c r="D133" s="94" t="s">
        <v>463</v>
      </c>
      <c r="E133" s="95" t="s">
        <v>301</v>
      </c>
      <c r="F133" s="94" t="s">
        <v>293</v>
      </c>
      <c r="G133" s="94" t="s">
        <v>243</v>
      </c>
      <c r="H133" s="94" t="s">
        <v>11</v>
      </c>
      <c r="I133" s="94" t="s">
        <v>219</v>
      </c>
      <c r="J133" s="94"/>
      <c r="K133" s="96">
        <v>52</v>
      </c>
      <c r="L133" s="96">
        <f>K133*VLOOKUP(H133,dagsoorttabel1,2,FALSE)</f>
        <v>52</v>
      </c>
      <c r="M133" s="97">
        <f>prodnorm40</f>
        <v>0</v>
      </c>
      <c r="N133" s="41">
        <f>dagwerk40</f>
        <v>0</v>
      </c>
      <c r="O133" s="94" t="s">
        <v>106</v>
      </c>
      <c r="P133" s="26">
        <f>uurtarief40</f>
        <v>0</v>
      </c>
      <c r="Q133" s="96" t="e">
        <f>IF(ISBLANK(M133),0,L133/M133)</f>
        <v>#DIV/0!</v>
      </c>
      <c r="R133" s="96" t="e">
        <f>IF(ISBLANK(M133),0,Q133*N133)</f>
        <v>#DIV/0!</v>
      </c>
      <c r="S133" s="26" t="e">
        <f>P133*Q133</f>
        <v>#DIV/0!</v>
      </c>
      <c r="T133" s="96" t="e">
        <f>Q133*dagenperjaar1</f>
        <v>#DIV/0!</v>
      </c>
      <c r="U133" s="27" t="e">
        <f>T133*P133</f>
        <v>#DIV/0!</v>
      </c>
    </row>
    <row r="134" spans="1:21" x14ac:dyDescent="0.3">
      <c r="A134" s="93" t="s">
        <v>288</v>
      </c>
      <c r="B134" s="94" t="s">
        <v>289</v>
      </c>
      <c r="C134" s="94" t="s">
        <v>419</v>
      </c>
      <c r="D134" s="94" t="s">
        <v>464</v>
      </c>
      <c r="E134" s="95" t="s">
        <v>301</v>
      </c>
      <c r="F134" s="94" t="s">
        <v>293</v>
      </c>
      <c r="G134" s="94" t="s">
        <v>243</v>
      </c>
      <c r="H134" s="94" t="s">
        <v>11</v>
      </c>
      <c r="I134" s="94" t="s">
        <v>219</v>
      </c>
      <c r="J134" s="94"/>
      <c r="K134" s="96">
        <v>52</v>
      </c>
      <c r="L134" s="96">
        <f>K134*VLOOKUP(H134,dagsoorttabel1,2,FALSE)</f>
        <v>52</v>
      </c>
      <c r="M134" s="97">
        <f>prodnorm40</f>
        <v>0</v>
      </c>
      <c r="N134" s="41">
        <f>dagwerk40</f>
        <v>0</v>
      </c>
      <c r="O134" s="94" t="s">
        <v>106</v>
      </c>
      <c r="P134" s="26">
        <f>uurtarief40</f>
        <v>0</v>
      </c>
      <c r="Q134" s="96" t="e">
        <f>IF(ISBLANK(M134),0,L134/M134)</f>
        <v>#DIV/0!</v>
      </c>
      <c r="R134" s="96" t="e">
        <f>IF(ISBLANK(M134),0,Q134*N134)</f>
        <v>#DIV/0!</v>
      </c>
      <c r="S134" s="26" t="e">
        <f>P134*Q134</f>
        <v>#DIV/0!</v>
      </c>
      <c r="T134" s="96" t="e">
        <f>Q134*dagenperjaar1</f>
        <v>#DIV/0!</v>
      </c>
      <c r="U134" s="27" t="e">
        <f>T134*P134</f>
        <v>#DIV/0!</v>
      </c>
    </row>
    <row r="135" spans="1:21" x14ac:dyDescent="0.3">
      <c r="A135" s="93" t="s">
        <v>288</v>
      </c>
      <c r="B135" s="94" t="s">
        <v>289</v>
      </c>
      <c r="C135" s="94" t="s">
        <v>419</v>
      </c>
      <c r="D135" s="94" t="s">
        <v>465</v>
      </c>
      <c r="E135" s="95" t="s">
        <v>301</v>
      </c>
      <c r="F135" s="94" t="s">
        <v>293</v>
      </c>
      <c r="G135" s="94" t="s">
        <v>243</v>
      </c>
      <c r="H135" s="94" t="s">
        <v>11</v>
      </c>
      <c r="I135" s="94" t="s">
        <v>219</v>
      </c>
      <c r="J135" s="94"/>
      <c r="K135" s="96">
        <v>52</v>
      </c>
      <c r="L135" s="96">
        <f>K135*VLOOKUP(H135,dagsoorttabel1,2,FALSE)</f>
        <v>52</v>
      </c>
      <c r="M135" s="97">
        <f>prodnorm40</f>
        <v>0</v>
      </c>
      <c r="N135" s="41">
        <f>dagwerk40</f>
        <v>0</v>
      </c>
      <c r="O135" s="94" t="s">
        <v>106</v>
      </c>
      <c r="P135" s="26">
        <f>uurtarief40</f>
        <v>0</v>
      </c>
      <c r="Q135" s="96" t="e">
        <f>IF(ISBLANK(M135),0,L135/M135)</f>
        <v>#DIV/0!</v>
      </c>
      <c r="R135" s="96" t="e">
        <f>IF(ISBLANK(M135),0,Q135*N135)</f>
        <v>#DIV/0!</v>
      </c>
      <c r="S135" s="26" t="e">
        <f>P135*Q135</f>
        <v>#DIV/0!</v>
      </c>
      <c r="T135" s="96" t="e">
        <f>Q135*dagenperjaar1</f>
        <v>#DIV/0!</v>
      </c>
      <c r="U135" s="27" t="e">
        <f>T135*P135</f>
        <v>#DIV/0!</v>
      </c>
    </row>
    <row r="136" spans="1:21" x14ac:dyDescent="0.3">
      <c r="A136" s="93" t="s">
        <v>288</v>
      </c>
      <c r="B136" s="94" t="s">
        <v>289</v>
      </c>
      <c r="C136" s="94" t="s">
        <v>419</v>
      </c>
      <c r="D136" s="94" t="s">
        <v>466</v>
      </c>
      <c r="E136" s="95" t="s">
        <v>301</v>
      </c>
      <c r="F136" s="94" t="s">
        <v>293</v>
      </c>
      <c r="G136" s="94" t="s">
        <v>243</v>
      </c>
      <c r="H136" s="94" t="s">
        <v>11</v>
      </c>
      <c r="I136" s="94" t="s">
        <v>219</v>
      </c>
      <c r="J136" s="94"/>
      <c r="K136" s="96">
        <v>52</v>
      </c>
      <c r="L136" s="96">
        <f>K136*VLOOKUP(H136,dagsoorttabel1,2,FALSE)</f>
        <v>52</v>
      </c>
      <c r="M136" s="97">
        <f>prodnorm40</f>
        <v>0</v>
      </c>
      <c r="N136" s="41">
        <f>dagwerk40</f>
        <v>0</v>
      </c>
      <c r="O136" s="94" t="s">
        <v>106</v>
      </c>
      <c r="P136" s="26">
        <f>uurtarief40</f>
        <v>0</v>
      </c>
      <c r="Q136" s="96" t="e">
        <f>IF(ISBLANK(M136),0,L136/M136)</f>
        <v>#DIV/0!</v>
      </c>
      <c r="R136" s="96" t="e">
        <f>IF(ISBLANK(M136),0,Q136*N136)</f>
        <v>#DIV/0!</v>
      </c>
      <c r="S136" s="26" t="e">
        <f>P136*Q136</f>
        <v>#DIV/0!</v>
      </c>
      <c r="T136" s="96" t="e">
        <f>Q136*dagenperjaar1</f>
        <v>#DIV/0!</v>
      </c>
      <c r="U136" s="27" t="e">
        <f>T136*P136</f>
        <v>#DIV/0!</v>
      </c>
    </row>
    <row r="137" spans="1:21" x14ac:dyDescent="0.3">
      <c r="A137" s="93" t="s">
        <v>288</v>
      </c>
      <c r="B137" s="94" t="s">
        <v>289</v>
      </c>
      <c r="C137" s="94" t="s">
        <v>419</v>
      </c>
      <c r="D137" s="94" t="s">
        <v>467</v>
      </c>
      <c r="E137" s="95" t="s">
        <v>338</v>
      </c>
      <c r="F137" s="94" t="s">
        <v>299</v>
      </c>
      <c r="G137" s="94" t="s">
        <v>267</v>
      </c>
      <c r="H137" s="94" t="s">
        <v>11</v>
      </c>
      <c r="I137" s="94" t="s">
        <v>219</v>
      </c>
      <c r="J137" s="94"/>
      <c r="K137" s="96">
        <v>111</v>
      </c>
      <c r="L137" s="96">
        <f>K137*VLOOKUP(H137,dagsoorttabel1,2,FALSE)</f>
        <v>111</v>
      </c>
      <c r="M137" s="97">
        <f>prodnorm63</f>
        <v>0</v>
      </c>
      <c r="N137" s="41">
        <f>dagwerk63</f>
        <v>0</v>
      </c>
      <c r="O137" s="94" t="s">
        <v>106</v>
      </c>
      <c r="P137" s="26">
        <f>uurtarief63</f>
        <v>0</v>
      </c>
      <c r="Q137" s="96" t="e">
        <f>IF(ISBLANK(M137),0,L137/M137)</f>
        <v>#DIV/0!</v>
      </c>
      <c r="R137" s="96" t="e">
        <f>IF(ISBLANK(M137),0,Q137*N137)</f>
        <v>#DIV/0!</v>
      </c>
      <c r="S137" s="26" t="e">
        <f>P137*Q137</f>
        <v>#DIV/0!</v>
      </c>
      <c r="T137" s="96" t="e">
        <f>Q137*dagenperjaar1</f>
        <v>#DIV/0!</v>
      </c>
      <c r="U137" s="27" t="e">
        <f>T137*P137</f>
        <v>#DIV/0!</v>
      </c>
    </row>
    <row r="138" spans="1:21" x14ac:dyDescent="0.3">
      <c r="A138" s="93" t="s">
        <v>288</v>
      </c>
      <c r="B138" s="94" t="s">
        <v>289</v>
      </c>
      <c r="C138" s="94" t="s">
        <v>419</v>
      </c>
      <c r="D138" s="94" t="s">
        <v>468</v>
      </c>
      <c r="E138" s="95" t="s">
        <v>338</v>
      </c>
      <c r="F138" s="94" t="s">
        <v>293</v>
      </c>
      <c r="G138" s="94" t="s">
        <v>269</v>
      </c>
      <c r="H138" s="94" t="s">
        <v>11</v>
      </c>
      <c r="I138" s="94" t="s">
        <v>219</v>
      </c>
      <c r="J138" s="94"/>
      <c r="K138" s="96">
        <v>8</v>
      </c>
      <c r="L138" s="96">
        <f>K138*VLOOKUP(H138,dagsoorttabel1,2,FALSE)</f>
        <v>8</v>
      </c>
      <c r="M138" s="97">
        <f>prodnorm64</f>
        <v>0</v>
      </c>
      <c r="N138" s="41">
        <f>dagwerk64</f>
        <v>0</v>
      </c>
      <c r="O138" s="94" t="s">
        <v>106</v>
      </c>
      <c r="P138" s="26">
        <f>uurtarief64</f>
        <v>0</v>
      </c>
      <c r="Q138" s="96" t="e">
        <f>IF(ISBLANK(M138),0,L138/M138)</f>
        <v>#DIV/0!</v>
      </c>
      <c r="R138" s="96" t="e">
        <f>IF(ISBLANK(M138),0,Q138*N138)</f>
        <v>#DIV/0!</v>
      </c>
      <c r="S138" s="26" t="e">
        <f>P138*Q138</f>
        <v>#DIV/0!</v>
      </c>
      <c r="T138" s="96" t="e">
        <f>Q138*dagenperjaar1</f>
        <v>#DIV/0!</v>
      </c>
      <c r="U138" s="27" t="e">
        <f>T138*P138</f>
        <v>#DIV/0!</v>
      </c>
    </row>
    <row r="139" spans="1:21" x14ac:dyDescent="0.3">
      <c r="A139" s="93" t="s">
        <v>288</v>
      </c>
      <c r="B139" s="94" t="s">
        <v>289</v>
      </c>
      <c r="C139" s="94" t="s">
        <v>419</v>
      </c>
      <c r="D139" s="94" t="s">
        <v>469</v>
      </c>
      <c r="E139" s="95" t="s">
        <v>338</v>
      </c>
      <c r="F139" s="94" t="s">
        <v>293</v>
      </c>
      <c r="G139" s="94" t="s">
        <v>269</v>
      </c>
      <c r="H139" s="94" t="s">
        <v>11</v>
      </c>
      <c r="I139" s="94" t="s">
        <v>219</v>
      </c>
      <c r="J139" s="94"/>
      <c r="K139" s="96">
        <v>6</v>
      </c>
      <c r="L139" s="96">
        <f>K139*VLOOKUP(H139,dagsoorttabel1,2,FALSE)</f>
        <v>6</v>
      </c>
      <c r="M139" s="97">
        <f>prodnorm64</f>
        <v>0</v>
      </c>
      <c r="N139" s="41">
        <f>dagwerk64</f>
        <v>0</v>
      </c>
      <c r="O139" s="94" t="s">
        <v>106</v>
      </c>
      <c r="P139" s="26">
        <f>uurtarief64</f>
        <v>0</v>
      </c>
      <c r="Q139" s="96" t="e">
        <f>IF(ISBLANK(M139),0,L139/M139)</f>
        <v>#DIV/0!</v>
      </c>
      <c r="R139" s="96" t="e">
        <f>IF(ISBLANK(M139),0,Q139*N139)</f>
        <v>#DIV/0!</v>
      </c>
      <c r="S139" s="26" t="e">
        <f>P139*Q139</f>
        <v>#DIV/0!</v>
      </c>
      <c r="T139" s="96" t="e">
        <f>Q139*dagenperjaar1</f>
        <v>#DIV/0!</v>
      </c>
      <c r="U139" s="27" t="e">
        <f>T139*P139</f>
        <v>#DIV/0!</v>
      </c>
    </row>
    <row r="140" spans="1:21" x14ac:dyDescent="0.3">
      <c r="A140" s="93" t="s">
        <v>288</v>
      </c>
      <c r="B140" s="94" t="s">
        <v>289</v>
      </c>
      <c r="C140" s="94" t="s">
        <v>419</v>
      </c>
      <c r="D140" s="94" t="s">
        <v>470</v>
      </c>
      <c r="E140" s="95" t="s">
        <v>471</v>
      </c>
      <c r="F140" s="94" t="s">
        <v>293</v>
      </c>
      <c r="G140" s="94" t="s">
        <v>243</v>
      </c>
      <c r="H140" s="94" t="s">
        <v>11</v>
      </c>
      <c r="I140" s="94" t="s">
        <v>219</v>
      </c>
      <c r="J140" s="94"/>
      <c r="K140" s="96">
        <v>62</v>
      </c>
      <c r="L140" s="96">
        <f>K140*VLOOKUP(H140,dagsoorttabel1,2,FALSE)</f>
        <v>62</v>
      </c>
      <c r="M140" s="97">
        <f>prodnorm40</f>
        <v>0</v>
      </c>
      <c r="N140" s="41">
        <f>dagwerk40</f>
        <v>0</v>
      </c>
      <c r="O140" s="94" t="s">
        <v>106</v>
      </c>
      <c r="P140" s="26">
        <f>uurtarief40</f>
        <v>0</v>
      </c>
      <c r="Q140" s="96" t="e">
        <f>IF(ISBLANK(M140),0,L140/M140)</f>
        <v>#DIV/0!</v>
      </c>
      <c r="R140" s="96" t="e">
        <f>IF(ISBLANK(M140),0,Q140*N140)</f>
        <v>#DIV/0!</v>
      </c>
      <c r="S140" s="26" t="e">
        <f>P140*Q140</f>
        <v>#DIV/0!</v>
      </c>
      <c r="T140" s="96" t="e">
        <f>Q140*dagenperjaar1</f>
        <v>#DIV/0!</v>
      </c>
      <c r="U140" s="27" t="e">
        <f>T140*P140</f>
        <v>#DIV/0!</v>
      </c>
    </row>
    <row r="141" spans="1:21" x14ac:dyDescent="0.3">
      <c r="A141" s="93" t="s">
        <v>288</v>
      </c>
      <c r="B141" s="94" t="s">
        <v>289</v>
      </c>
      <c r="C141" s="94" t="s">
        <v>419</v>
      </c>
      <c r="D141" s="94" t="s">
        <v>472</v>
      </c>
      <c r="E141" s="95" t="s">
        <v>473</v>
      </c>
      <c r="F141" s="94" t="s">
        <v>293</v>
      </c>
      <c r="G141" s="94" t="s">
        <v>225</v>
      </c>
      <c r="H141" s="94" t="s">
        <v>11</v>
      </c>
      <c r="I141" s="94" t="s">
        <v>219</v>
      </c>
      <c r="J141" s="94"/>
      <c r="K141" s="96">
        <v>5.5</v>
      </c>
      <c r="L141" s="96">
        <f>K141*VLOOKUP(H141,dagsoorttabel1,2,FALSE)</f>
        <v>5.5</v>
      </c>
      <c r="M141" s="97">
        <f>prodnorm22</f>
        <v>0</v>
      </c>
      <c r="N141" s="41">
        <f>dagwerk22</f>
        <v>0</v>
      </c>
      <c r="O141" s="94" t="s">
        <v>106</v>
      </c>
      <c r="P141" s="26">
        <f>uurtarief22</f>
        <v>0</v>
      </c>
      <c r="Q141" s="96" t="e">
        <f>IF(ISBLANK(M141),0,L141/M141)</f>
        <v>#DIV/0!</v>
      </c>
      <c r="R141" s="96" t="e">
        <f>IF(ISBLANK(M141),0,Q141*N141)</f>
        <v>#DIV/0!</v>
      </c>
      <c r="S141" s="26" t="e">
        <f>P141*Q141</f>
        <v>#DIV/0!</v>
      </c>
      <c r="T141" s="96" t="e">
        <f>Q141*dagenperjaar1</f>
        <v>#DIV/0!</v>
      </c>
      <c r="U141" s="27" t="e">
        <f>T141*P141</f>
        <v>#DIV/0!</v>
      </c>
    </row>
    <row r="142" spans="1:21" x14ac:dyDescent="0.3">
      <c r="A142" s="93" t="s">
        <v>288</v>
      </c>
      <c r="B142" s="94" t="s">
        <v>289</v>
      </c>
      <c r="C142" s="94" t="s">
        <v>419</v>
      </c>
      <c r="D142" s="94" t="s">
        <v>474</v>
      </c>
      <c r="E142" s="95" t="s">
        <v>473</v>
      </c>
      <c r="F142" s="94" t="s">
        <v>293</v>
      </c>
      <c r="G142" s="94" t="s">
        <v>225</v>
      </c>
      <c r="H142" s="94" t="s">
        <v>11</v>
      </c>
      <c r="I142" s="94" t="s">
        <v>219</v>
      </c>
      <c r="J142" s="94"/>
      <c r="K142" s="96">
        <v>5.5</v>
      </c>
      <c r="L142" s="96">
        <f>K142*VLOOKUP(H142,dagsoorttabel1,2,FALSE)</f>
        <v>5.5</v>
      </c>
      <c r="M142" s="97">
        <f>prodnorm22</f>
        <v>0</v>
      </c>
      <c r="N142" s="41">
        <f>dagwerk22</f>
        <v>0</v>
      </c>
      <c r="O142" s="94" t="s">
        <v>106</v>
      </c>
      <c r="P142" s="26">
        <f>uurtarief22</f>
        <v>0</v>
      </c>
      <c r="Q142" s="96" t="e">
        <f>IF(ISBLANK(M142),0,L142/M142)</f>
        <v>#DIV/0!</v>
      </c>
      <c r="R142" s="96" t="e">
        <f>IF(ISBLANK(M142),0,Q142*N142)</f>
        <v>#DIV/0!</v>
      </c>
      <c r="S142" s="26" t="e">
        <f>P142*Q142</f>
        <v>#DIV/0!</v>
      </c>
      <c r="T142" s="96" t="e">
        <f>Q142*dagenperjaar1</f>
        <v>#DIV/0!</v>
      </c>
      <c r="U142" s="27" t="e">
        <f>T142*P142</f>
        <v>#DIV/0!</v>
      </c>
    </row>
    <row r="143" spans="1:21" x14ac:dyDescent="0.3">
      <c r="A143" s="93" t="s">
        <v>288</v>
      </c>
      <c r="B143" s="94" t="s">
        <v>289</v>
      </c>
      <c r="C143" s="94" t="s">
        <v>419</v>
      </c>
      <c r="D143" s="94" t="s">
        <v>475</v>
      </c>
      <c r="E143" s="95" t="s">
        <v>473</v>
      </c>
      <c r="F143" s="94" t="s">
        <v>293</v>
      </c>
      <c r="G143" s="94" t="s">
        <v>225</v>
      </c>
      <c r="H143" s="94" t="s">
        <v>11</v>
      </c>
      <c r="I143" s="94" t="s">
        <v>219</v>
      </c>
      <c r="J143" s="94"/>
      <c r="K143" s="96">
        <v>5.5</v>
      </c>
      <c r="L143" s="96">
        <f>K143*VLOOKUP(H143,dagsoorttabel1,2,FALSE)</f>
        <v>5.5</v>
      </c>
      <c r="M143" s="97">
        <f>prodnorm22</f>
        <v>0</v>
      </c>
      <c r="N143" s="41">
        <f>dagwerk22</f>
        <v>0</v>
      </c>
      <c r="O143" s="94" t="s">
        <v>106</v>
      </c>
      <c r="P143" s="26">
        <f>uurtarief22</f>
        <v>0</v>
      </c>
      <c r="Q143" s="96" t="e">
        <f>IF(ISBLANK(M143),0,L143/M143)</f>
        <v>#DIV/0!</v>
      </c>
      <c r="R143" s="96" t="e">
        <f>IF(ISBLANK(M143),0,Q143*N143)</f>
        <v>#DIV/0!</v>
      </c>
      <c r="S143" s="26" t="e">
        <f>P143*Q143</f>
        <v>#DIV/0!</v>
      </c>
      <c r="T143" s="96" t="e">
        <f>Q143*dagenperjaar1</f>
        <v>#DIV/0!</v>
      </c>
      <c r="U143" s="27" t="e">
        <f>T143*P143</f>
        <v>#DIV/0!</v>
      </c>
    </row>
    <row r="144" spans="1:21" x14ac:dyDescent="0.3">
      <c r="A144" s="93" t="s">
        <v>288</v>
      </c>
      <c r="B144" s="94" t="s">
        <v>289</v>
      </c>
      <c r="C144" s="94" t="s">
        <v>419</v>
      </c>
      <c r="D144" s="94" t="s">
        <v>476</v>
      </c>
      <c r="E144" s="95" t="s">
        <v>473</v>
      </c>
      <c r="F144" s="94" t="s">
        <v>293</v>
      </c>
      <c r="G144" s="94" t="s">
        <v>225</v>
      </c>
      <c r="H144" s="94" t="s">
        <v>11</v>
      </c>
      <c r="I144" s="94" t="s">
        <v>219</v>
      </c>
      <c r="J144" s="94"/>
      <c r="K144" s="96">
        <v>5.5</v>
      </c>
      <c r="L144" s="96">
        <f>K144*VLOOKUP(H144,dagsoorttabel1,2,FALSE)</f>
        <v>5.5</v>
      </c>
      <c r="M144" s="97">
        <f>prodnorm22</f>
        <v>0</v>
      </c>
      <c r="N144" s="41">
        <f>dagwerk22</f>
        <v>0</v>
      </c>
      <c r="O144" s="94" t="s">
        <v>106</v>
      </c>
      <c r="P144" s="26">
        <f>uurtarief22</f>
        <v>0</v>
      </c>
      <c r="Q144" s="96" t="e">
        <f>IF(ISBLANK(M144),0,L144/M144)</f>
        <v>#DIV/0!</v>
      </c>
      <c r="R144" s="96" t="e">
        <f>IF(ISBLANK(M144),0,Q144*N144)</f>
        <v>#DIV/0!</v>
      </c>
      <c r="S144" s="26" t="e">
        <f>P144*Q144</f>
        <v>#DIV/0!</v>
      </c>
      <c r="T144" s="96" t="e">
        <f>Q144*dagenperjaar1</f>
        <v>#DIV/0!</v>
      </c>
      <c r="U144" s="27" t="e">
        <f>T144*P144</f>
        <v>#DIV/0!</v>
      </c>
    </row>
    <row r="145" spans="1:21" x14ac:dyDescent="0.3">
      <c r="A145" s="93" t="s">
        <v>288</v>
      </c>
      <c r="B145" s="94" t="s">
        <v>289</v>
      </c>
      <c r="C145" s="94" t="s">
        <v>419</v>
      </c>
      <c r="D145" s="94" t="s">
        <v>477</v>
      </c>
      <c r="E145" s="95" t="s">
        <v>396</v>
      </c>
      <c r="F145" s="94" t="s">
        <v>316</v>
      </c>
      <c r="G145" s="94" t="s">
        <v>261</v>
      </c>
      <c r="H145" s="94" t="s">
        <v>11</v>
      </c>
      <c r="I145" s="94" t="s">
        <v>219</v>
      </c>
      <c r="J145" s="94"/>
      <c r="K145" s="96">
        <v>6.5</v>
      </c>
      <c r="L145" s="96">
        <f>K145*VLOOKUP(H145,dagsoorttabel1,2,FALSE)</f>
        <v>6.5</v>
      </c>
      <c r="M145" s="97">
        <f>prodnorm56</f>
        <v>0</v>
      </c>
      <c r="N145" s="41">
        <f>dagwerk56</f>
        <v>0</v>
      </c>
      <c r="O145" s="94" t="s">
        <v>106</v>
      </c>
      <c r="P145" s="26">
        <f>uurtarief56</f>
        <v>0</v>
      </c>
      <c r="Q145" s="96" t="e">
        <f>IF(ISBLANK(M145),0,L145/M145)</f>
        <v>#DIV/0!</v>
      </c>
      <c r="R145" s="96" t="e">
        <f>IF(ISBLANK(M145),0,Q145*N145)</f>
        <v>#DIV/0!</v>
      </c>
      <c r="S145" s="26" t="e">
        <f>P145*Q145</f>
        <v>#DIV/0!</v>
      </c>
      <c r="T145" s="96" t="e">
        <f>Q145*dagenperjaar1</f>
        <v>#DIV/0!</v>
      </c>
      <c r="U145" s="27" t="e">
        <f>T145*P145</f>
        <v>#DIV/0!</v>
      </c>
    </row>
    <row r="146" spans="1:21" x14ac:dyDescent="0.3">
      <c r="A146" s="93" t="s">
        <v>288</v>
      </c>
      <c r="B146" s="94" t="s">
        <v>289</v>
      </c>
      <c r="C146" s="94" t="s">
        <v>419</v>
      </c>
      <c r="D146" s="94" t="s">
        <v>477</v>
      </c>
      <c r="E146" s="95" t="s">
        <v>396</v>
      </c>
      <c r="F146" s="94" t="s">
        <v>316</v>
      </c>
      <c r="G146" s="94" t="s">
        <v>263</v>
      </c>
      <c r="H146" s="94" t="s">
        <v>11</v>
      </c>
      <c r="I146" s="94" t="s">
        <v>219</v>
      </c>
      <c r="J146" s="94"/>
      <c r="K146" s="96">
        <v>6.5</v>
      </c>
      <c r="L146" s="96">
        <f>K146*VLOOKUP(H146,dagsoorttabel1,2,FALSE)</f>
        <v>6.5</v>
      </c>
      <c r="M146" s="97">
        <f>prodnorm58</f>
        <v>0</v>
      </c>
      <c r="N146" s="41">
        <f>dagwerk58</f>
        <v>0</v>
      </c>
      <c r="O146" s="94" t="s">
        <v>106</v>
      </c>
      <c r="P146" s="26">
        <f>uurtarief58</f>
        <v>0</v>
      </c>
      <c r="Q146" s="96" t="e">
        <f>IF(ISBLANK(M146),0,L146/M146)</f>
        <v>#DIV/0!</v>
      </c>
      <c r="R146" s="96" t="e">
        <f>IF(ISBLANK(M146),0,Q146*N146)</f>
        <v>#DIV/0!</v>
      </c>
      <c r="S146" s="26" t="e">
        <f>P146*Q146</f>
        <v>#DIV/0!</v>
      </c>
      <c r="T146" s="96" t="e">
        <f>Q146*dagenperjaar1</f>
        <v>#DIV/0!</v>
      </c>
      <c r="U146" s="27" t="e">
        <f>T146*P146</f>
        <v>#DIV/0!</v>
      </c>
    </row>
    <row r="147" spans="1:21" x14ac:dyDescent="0.3">
      <c r="A147" s="93" t="s">
        <v>288</v>
      </c>
      <c r="B147" s="94" t="s">
        <v>289</v>
      </c>
      <c r="C147" s="94" t="s">
        <v>419</v>
      </c>
      <c r="D147" s="94" t="s">
        <v>478</v>
      </c>
      <c r="E147" s="95" t="s">
        <v>479</v>
      </c>
      <c r="F147" s="94" t="s">
        <v>316</v>
      </c>
      <c r="G147" s="94" t="s">
        <v>261</v>
      </c>
      <c r="H147" s="94" t="s">
        <v>11</v>
      </c>
      <c r="I147" s="94" t="s">
        <v>219</v>
      </c>
      <c r="J147" s="94"/>
      <c r="K147" s="96">
        <v>3</v>
      </c>
      <c r="L147" s="96">
        <f>K147*VLOOKUP(H147,dagsoorttabel1,2,FALSE)</f>
        <v>3</v>
      </c>
      <c r="M147" s="97">
        <f>prodnorm56</f>
        <v>0</v>
      </c>
      <c r="N147" s="41">
        <f>dagwerk56</f>
        <v>0</v>
      </c>
      <c r="O147" s="94" t="s">
        <v>106</v>
      </c>
      <c r="P147" s="26">
        <f>uurtarief56</f>
        <v>0</v>
      </c>
      <c r="Q147" s="96" t="e">
        <f>IF(ISBLANK(M147),0,L147/M147)</f>
        <v>#DIV/0!</v>
      </c>
      <c r="R147" s="96" t="e">
        <f>IF(ISBLANK(M147),0,Q147*N147)</f>
        <v>#DIV/0!</v>
      </c>
      <c r="S147" s="26" t="e">
        <f>P147*Q147</f>
        <v>#DIV/0!</v>
      </c>
      <c r="T147" s="96" t="e">
        <f>Q147*dagenperjaar1</f>
        <v>#DIV/0!</v>
      </c>
      <c r="U147" s="27" t="e">
        <f>T147*P147</f>
        <v>#DIV/0!</v>
      </c>
    </row>
    <row r="148" spans="1:21" x14ac:dyDescent="0.3">
      <c r="A148" s="93" t="s">
        <v>288</v>
      </c>
      <c r="B148" s="94" t="s">
        <v>289</v>
      </c>
      <c r="C148" s="94" t="s">
        <v>419</v>
      </c>
      <c r="D148" s="94" t="s">
        <v>478</v>
      </c>
      <c r="E148" s="95" t="s">
        <v>479</v>
      </c>
      <c r="F148" s="94" t="s">
        <v>316</v>
      </c>
      <c r="G148" s="94" t="s">
        <v>263</v>
      </c>
      <c r="H148" s="94" t="s">
        <v>11</v>
      </c>
      <c r="I148" s="94" t="s">
        <v>219</v>
      </c>
      <c r="J148" s="94"/>
      <c r="K148" s="96">
        <v>3</v>
      </c>
      <c r="L148" s="96">
        <f>K148*VLOOKUP(H148,dagsoorttabel1,2,FALSE)</f>
        <v>3</v>
      </c>
      <c r="M148" s="97">
        <f>prodnorm58</f>
        <v>0</v>
      </c>
      <c r="N148" s="41">
        <f>dagwerk58</f>
        <v>0</v>
      </c>
      <c r="O148" s="94" t="s">
        <v>106</v>
      </c>
      <c r="P148" s="26">
        <f>uurtarief58</f>
        <v>0</v>
      </c>
      <c r="Q148" s="96" t="e">
        <f>IF(ISBLANK(M148),0,L148/M148)</f>
        <v>#DIV/0!</v>
      </c>
      <c r="R148" s="96" t="e">
        <f>IF(ISBLANK(M148),0,Q148*N148)</f>
        <v>#DIV/0!</v>
      </c>
      <c r="S148" s="26" t="e">
        <f>P148*Q148</f>
        <v>#DIV/0!</v>
      </c>
      <c r="T148" s="96" t="e">
        <f>Q148*dagenperjaar1</f>
        <v>#DIV/0!</v>
      </c>
      <c r="U148" s="27" t="e">
        <f>T148*P148</f>
        <v>#DIV/0!</v>
      </c>
    </row>
    <row r="149" spans="1:21" x14ac:dyDescent="0.3">
      <c r="A149" s="93" t="s">
        <v>288</v>
      </c>
      <c r="B149" s="94" t="s">
        <v>289</v>
      </c>
      <c r="C149" s="94" t="s">
        <v>419</v>
      </c>
      <c r="D149" s="94" t="s">
        <v>480</v>
      </c>
      <c r="E149" s="95" t="s">
        <v>481</v>
      </c>
      <c r="F149" s="94" t="s">
        <v>316</v>
      </c>
      <c r="G149" s="94" t="s">
        <v>261</v>
      </c>
      <c r="H149" s="94" t="s">
        <v>11</v>
      </c>
      <c r="I149" s="94" t="s">
        <v>219</v>
      </c>
      <c r="J149" s="94"/>
      <c r="K149" s="96">
        <v>3</v>
      </c>
      <c r="L149" s="96">
        <f>K149*VLOOKUP(H149,dagsoorttabel1,2,FALSE)</f>
        <v>3</v>
      </c>
      <c r="M149" s="97">
        <f>prodnorm56</f>
        <v>0</v>
      </c>
      <c r="N149" s="41">
        <f>dagwerk56</f>
        <v>0</v>
      </c>
      <c r="O149" s="94" t="s">
        <v>106</v>
      </c>
      <c r="P149" s="26">
        <f>uurtarief56</f>
        <v>0</v>
      </c>
      <c r="Q149" s="96" t="e">
        <f>IF(ISBLANK(M149),0,L149/M149)</f>
        <v>#DIV/0!</v>
      </c>
      <c r="R149" s="96" t="e">
        <f>IF(ISBLANK(M149),0,Q149*N149)</f>
        <v>#DIV/0!</v>
      </c>
      <c r="S149" s="26" t="e">
        <f>P149*Q149</f>
        <v>#DIV/0!</v>
      </c>
      <c r="T149" s="96" t="e">
        <f>Q149*dagenperjaar1</f>
        <v>#DIV/0!</v>
      </c>
      <c r="U149" s="27" t="e">
        <f>T149*P149</f>
        <v>#DIV/0!</v>
      </c>
    </row>
    <row r="150" spans="1:21" x14ac:dyDescent="0.3">
      <c r="A150" s="93" t="s">
        <v>288</v>
      </c>
      <c r="B150" s="94" t="s">
        <v>289</v>
      </c>
      <c r="C150" s="94" t="s">
        <v>419</v>
      </c>
      <c r="D150" s="94" t="s">
        <v>480</v>
      </c>
      <c r="E150" s="95" t="s">
        <v>481</v>
      </c>
      <c r="F150" s="94" t="s">
        <v>316</v>
      </c>
      <c r="G150" s="94" t="s">
        <v>263</v>
      </c>
      <c r="H150" s="94" t="s">
        <v>11</v>
      </c>
      <c r="I150" s="94" t="s">
        <v>219</v>
      </c>
      <c r="J150" s="94"/>
      <c r="K150" s="96">
        <v>3</v>
      </c>
      <c r="L150" s="96">
        <f>K150*VLOOKUP(H150,dagsoorttabel1,2,FALSE)</f>
        <v>3</v>
      </c>
      <c r="M150" s="97">
        <f>prodnorm58</f>
        <v>0</v>
      </c>
      <c r="N150" s="41">
        <f>dagwerk58</f>
        <v>0</v>
      </c>
      <c r="O150" s="94" t="s">
        <v>106</v>
      </c>
      <c r="P150" s="26">
        <f>uurtarief58</f>
        <v>0</v>
      </c>
      <c r="Q150" s="96" t="e">
        <f>IF(ISBLANK(M150),0,L150/M150)</f>
        <v>#DIV/0!</v>
      </c>
      <c r="R150" s="96" t="e">
        <f>IF(ISBLANK(M150),0,Q150*N150)</f>
        <v>#DIV/0!</v>
      </c>
      <c r="S150" s="26" t="e">
        <f>P150*Q150</f>
        <v>#DIV/0!</v>
      </c>
      <c r="T150" s="96" t="e">
        <f>Q150*dagenperjaar1</f>
        <v>#DIV/0!</v>
      </c>
      <c r="U150" s="27" t="e">
        <f>T150*P150</f>
        <v>#DIV/0!</v>
      </c>
    </row>
    <row r="151" spans="1:21" x14ac:dyDescent="0.3">
      <c r="A151" s="93" t="s">
        <v>288</v>
      </c>
      <c r="B151" s="94" t="s">
        <v>289</v>
      </c>
      <c r="C151" s="94" t="s">
        <v>419</v>
      </c>
      <c r="D151" s="94" t="s">
        <v>482</v>
      </c>
      <c r="E151" s="95" t="s">
        <v>394</v>
      </c>
      <c r="F151" s="94" t="s">
        <v>316</v>
      </c>
      <c r="G151" s="94" t="s">
        <v>261</v>
      </c>
      <c r="H151" s="94" t="s">
        <v>11</v>
      </c>
      <c r="I151" s="94" t="s">
        <v>219</v>
      </c>
      <c r="J151" s="94"/>
      <c r="K151" s="96">
        <v>7</v>
      </c>
      <c r="L151" s="96">
        <f>K151*VLOOKUP(H151,dagsoorttabel1,2,FALSE)</f>
        <v>7</v>
      </c>
      <c r="M151" s="97">
        <f>prodnorm56</f>
        <v>0</v>
      </c>
      <c r="N151" s="41">
        <f>dagwerk56</f>
        <v>0</v>
      </c>
      <c r="O151" s="94" t="s">
        <v>106</v>
      </c>
      <c r="P151" s="26">
        <f>uurtarief56</f>
        <v>0</v>
      </c>
      <c r="Q151" s="96" t="e">
        <f>IF(ISBLANK(M151),0,L151/M151)</f>
        <v>#DIV/0!</v>
      </c>
      <c r="R151" s="96" t="e">
        <f>IF(ISBLANK(M151),0,Q151*N151)</f>
        <v>#DIV/0!</v>
      </c>
      <c r="S151" s="26" t="e">
        <f>P151*Q151</f>
        <v>#DIV/0!</v>
      </c>
      <c r="T151" s="96" t="e">
        <f>Q151*dagenperjaar1</f>
        <v>#DIV/0!</v>
      </c>
      <c r="U151" s="27" t="e">
        <f>T151*P151</f>
        <v>#DIV/0!</v>
      </c>
    </row>
    <row r="152" spans="1:21" x14ac:dyDescent="0.3">
      <c r="A152" s="93" t="s">
        <v>288</v>
      </c>
      <c r="B152" s="94" t="s">
        <v>289</v>
      </c>
      <c r="C152" s="94" t="s">
        <v>419</v>
      </c>
      <c r="D152" s="94" t="s">
        <v>482</v>
      </c>
      <c r="E152" s="95" t="s">
        <v>394</v>
      </c>
      <c r="F152" s="94" t="s">
        <v>316</v>
      </c>
      <c r="G152" s="94" t="s">
        <v>263</v>
      </c>
      <c r="H152" s="94" t="s">
        <v>11</v>
      </c>
      <c r="I152" s="94" t="s">
        <v>219</v>
      </c>
      <c r="J152" s="94"/>
      <c r="K152" s="96">
        <v>7</v>
      </c>
      <c r="L152" s="96">
        <f>K152*VLOOKUP(H152,dagsoorttabel1,2,FALSE)</f>
        <v>7</v>
      </c>
      <c r="M152" s="97">
        <f>prodnorm58</f>
        <v>0</v>
      </c>
      <c r="N152" s="41">
        <f>dagwerk58</f>
        <v>0</v>
      </c>
      <c r="O152" s="94" t="s">
        <v>106</v>
      </c>
      <c r="P152" s="26">
        <f>uurtarief58</f>
        <v>0</v>
      </c>
      <c r="Q152" s="96" t="e">
        <f>IF(ISBLANK(M152),0,L152/M152)</f>
        <v>#DIV/0!</v>
      </c>
      <c r="R152" s="96" t="e">
        <f>IF(ISBLANK(M152),0,Q152*N152)</f>
        <v>#DIV/0!</v>
      </c>
      <c r="S152" s="26" t="e">
        <f>P152*Q152</f>
        <v>#DIV/0!</v>
      </c>
      <c r="T152" s="96" t="e">
        <f>Q152*dagenperjaar1</f>
        <v>#DIV/0!</v>
      </c>
      <c r="U152" s="27" t="e">
        <f>T152*P152</f>
        <v>#DIV/0!</v>
      </c>
    </row>
    <row r="153" spans="1:21" x14ac:dyDescent="0.3">
      <c r="A153" s="93" t="s">
        <v>288</v>
      </c>
      <c r="B153" s="94" t="s">
        <v>289</v>
      </c>
      <c r="C153" s="94" t="s">
        <v>483</v>
      </c>
      <c r="D153" s="94" t="s">
        <v>484</v>
      </c>
      <c r="E153" s="95" t="s">
        <v>306</v>
      </c>
      <c r="F153" s="94" t="s">
        <v>296</v>
      </c>
      <c r="G153" s="94" t="s">
        <v>265</v>
      </c>
      <c r="H153" s="94" t="s">
        <v>11</v>
      </c>
      <c r="I153" s="94" t="s">
        <v>219</v>
      </c>
      <c r="J153" s="94"/>
      <c r="K153" s="96">
        <v>13</v>
      </c>
      <c r="L153" s="96">
        <f>K153*VLOOKUP(H153,dagsoorttabel1,2,FALSE)</f>
        <v>13</v>
      </c>
      <c r="M153" s="97">
        <f>prodnorm61</f>
        <v>0</v>
      </c>
      <c r="N153" s="41">
        <f>dagwerk61</f>
        <v>0</v>
      </c>
      <c r="O153" s="94" t="s">
        <v>106</v>
      </c>
      <c r="P153" s="26">
        <f>uurtarief61</f>
        <v>0</v>
      </c>
      <c r="Q153" s="96" t="e">
        <f>IF(ISBLANK(M153),0,L153/M153)</f>
        <v>#DIV/0!</v>
      </c>
      <c r="R153" s="96" t="e">
        <f>IF(ISBLANK(M153),0,Q153*N153)</f>
        <v>#DIV/0!</v>
      </c>
      <c r="S153" s="26" t="e">
        <f>P153*Q153</f>
        <v>#DIV/0!</v>
      </c>
      <c r="T153" s="96" t="e">
        <f>Q153*dagenperjaar1</f>
        <v>#DIV/0!</v>
      </c>
      <c r="U153" s="27" t="e">
        <f>T153*P153</f>
        <v>#DIV/0!</v>
      </c>
    </row>
    <row r="154" spans="1:21" x14ac:dyDescent="0.3">
      <c r="A154" s="93" t="s">
        <v>288</v>
      </c>
      <c r="B154" s="94" t="s">
        <v>289</v>
      </c>
      <c r="C154" s="94" t="s">
        <v>483</v>
      </c>
      <c r="D154" s="94" t="s">
        <v>485</v>
      </c>
      <c r="E154" s="95" t="s">
        <v>486</v>
      </c>
      <c r="F154" s="94" t="s">
        <v>296</v>
      </c>
      <c r="G154" s="94" t="s">
        <v>267</v>
      </c>
      <c r="H154" s="94" t="s">
        <v>11</v>
      </c>
      <c r="I154" s="94" t="s">
        <v>219</v>
      </c>
      <c r="J154" s="94"/>
      <c r="K154" s="96">
        <v>8.1999999999999993</v>
      </c>
      <c r="L154" s="96">
        <f>K154*VLOOKUP(H154,dagsoorttabel1,2,FALSE)</f>
        <v>8.1999999999999993</v>
      </c>
      <c r="M154" s="97">
        <f>prodnorm63</f>
        <v>0</v>
      </c>
      <c r="N154" s="41">
        <f>dagwerk63</f>
        <v>0</v>
      </c>
      <c r="O154" s="94" t="s">
        <v>106</v>
      </c>
      <c r="P154" s="26">
        <f>uurtarief63</f>
        <v>0</v>
      </c>
      <c r="Q154" s="96" t="e">
        <f>IF(ISBLANK(M154),0,L154/M154)</f>
        <v>#DIV/0!</v>
      </c>
      <c r="R154" s="96" t="e">
        <f>IF(ISBLANK(M154),0,Q154*N154)</f>
        <v>#DIV/0!</v>
      </c>
      <c r="S154" s="26" t="e">
        <f>P154*Q154</f>
        <v>#DIV/0!</v>
      </c>
      <c r="T154" s="96" t="e">
        <f>Q154*dagenperjaar1</f>
        <v>#DIV/0!</v>
      </c>
      <c r="U154" s="27" t="e">
        <f>T154*P154</f>
        <v>#DIV/0!</v>
      </c>
    </row>
    <row r="155" spans="1:21" x14ac:dyDescent="0.3">
      <c r="A155" s="93" t="s">
        <v>288</v>
      </c>
      <c r="B155" s="94" t="s">
        <v>289</v>
      </c>
      <c r="C155" s="94" t="s">
        <v>483</v>
      </c>
      <c r="D155" s="94" t="s">
        <v>487</v>
      </c>
      <c r="E155" s="95" t="s">
        <v>338</v>
      </c>
      <c r="F155" s="94" t="s">
        <v>296</v>
      </c>
      <c r="G155" s="94" t="s">
        <v>267</v>
      </c>
      <c r="H155" s="94" t="s">
        <v>11</v>
      </c>
      <c r="I155" s="94" t="s">
        <v>219</v>
      </c>
      <c r="J155" s="94"/>
      <c r="K155" s="96">
        <v>78</v>
      </c>
      <c r="L155" s="96">
        <f>K155*VLOOKUP(H155,dagsoorttabel1,2,FALSE)</f>
        <v>78</v>
      </c>
      <c r="M155" s="97">
        <f>prodnorm63</f>
        <v>0</v>
      </c>
      <c r="N155" s="41">
        <f>dagwerk63</f>
        <v>0</v>
      </c>
      <c r="O155" s="94" t="s">
        <v>106</v>
      </c>
      <c r="P155" s="26">
        <f>uurtarief63</f>
        <v>0</v>
      </c>
      <c r="Q155" s="96" t="e">
        <f>IF(ISBLANK(M155),0,L155/M155)</f>
        <v>#DIV/0!</v>
      </c>
      <c r="R155" s="96" t="e">
        <f>IF(ISBLANK(M155),0,Q155*N155)</f>
        <v>#DIV/0!</v>
      </c>
      <c r="S155" s="26" t="e">
        <f>P155*Q155</f>
        <v>#DIV/0!</v>
      </c>
      <c r="T155" s="96" t="e">
        <f>Q155*dagenperjaar1</f>
        <v>#DIV/0!</v>
      </c>
      <c r="U155" s="27" t="e">
        <f>T155*P155</f>
        <v>#DIV/0!</v>
      </c>
    </row>
    <row r="156" spans="1:21" x14ac:dyDescent="0.3">
      <c r="A156" s="93" t="s">
        <v>288</v>
      </c>
      <c r="B156" s="94" t="s">
        <v>289</v>
      </c>
      <c r="C156" s="94" t="s">
        <v>483</v>
      </c>
      <c r="D156" s="94" t="s">
        <v>488</v>
      </c>
      <c r="E156" s="95" t="s">
        <v>338</v>
      </c>
      <c r="F156" s="94" t="s">
        <v>296</v>
      </c>
      <c r="G156" s="94" t="s">
        <v>267</v>
      </c>
      <c r="H156" s="94" t="s">
        <v>11</v>
      </c>
      <c r="I156" s="94" t="s">
        <v>219</v>
      </c>
      <c r="J156" s="94"/>
      <c r="K156" s="96">
        <v>48.6</v>
      </c>
      <c r="L156" s="96">
        <f>K156*VLOOKUP(H156,dagsoorttabel1,2,FALSE)</f>
        <v>48.6</v>
      </c>
      <c r="M156" s="97">
        <f>prodnorm63</f>
        <v>0</v>
      </c>
      <c r="N156" s="41">
        <f>dagwerk63</f>
        <v>0</v>
      </c>
      <c r="O156" s="94" t="s">
        <v>106</v>
      </c>
      <c r="P156" s="26">
        <f>uurtarief63</f>
        <v>0</v>
      </c>
      <c r="Q156" s="96" t="e">
        <f>IF(ISBLANK(M156),0,L156/M156)</f>
        <v>#DIV/0!</v>
      </c>
      <c r="R156" s="96" t="e">
        <f>IF(ISBLANK(M156),0,Q156*N156)</f>
        <v>#DIV/0!</v>
      </c>
      <c r="S156" s="26" t="e">
        <f>P156*Q156</f>
        <v>#DIV/0!</v>
      </c>
      <c r="T156" s="96" t="e">
        <f>Q156*dagenperjaar1</f>
        <v>#DIV/0!</v>
      </c>
      <c r="U156" s="27" t="e">
        <f>T156*P156</f>
        <v>#DIV/0!</v>
      </c>
    </row>
    <row r="157" spans="1:21" x14ac:dyDescent="0.3">
      <c r="A157" s="93" t="s">
        <v>288</v>
      </c>
      <c r="B157" s="94" t="s">
        <v>289</v>
      </c>
      <c r="C157" s="94" t="s">
        <v>483</v>
      </c>
      <c r="D157" s="94" t="s">
        <v>489</v>
      </c>
      <c r="E157" s="95" t="s">
        <v>490</v>
      </c>
      <c r="F157" s="94" t="s">
        <v>296</v>
      </c>
      <c r="G157" s="94" t="s">
        <v>267</v>
      </c>
      <c r="H157" s="94" t="s">
        <v>11</v>
      </c>
      <c r="I157" s="94" t="s">
        <v>219</v>
      </c>
      <c r="J157" s="94"/>
      <c r="K157" s="96">
        <v>14</v>
      </c>
      <c r="L157" s="96">
        <f>K157*VLOOKUP(H157,dagsoorttabel1,2,FALSE)</f>
        <v>14</v>
      </c>
      <c r="M157" s="97">
        <f>prodnorm63</f>
        <v>0</v>
      </c>
      <c r="N157" s="41">
        <f>dagwerk63</f>
        <v>0</v>
      </c>
      <c r="O157" s="94" t="s">
        <v>106</v>
      </c>
      <c r="P157" s="26">
        <f>uurtarief63</f>
        <v>0</v>
      </c>
      <c r="Q157" s="96" t="e">
        <f>IF(ISBLANK(M157),0,L157/M157)</f>
        <v>#DIV/0!</v>
      </c>
      <c r="R157" s="96" t="e">
        <f>IF(ISBLANK(M157),0,Q157*N157)</f>
        <v>#DIV/0!</v>
      </c>
      <c r="S157" s="26" t="e">
        <f>P157*Q157</f>
        <v>#DIV/0!</v>
      </c>
      <c r="T157" s="96" t="e">
        <f>Q157*dagenperjaar1</f>
        <v>#DIV/0!</v>
      </c>
      <c r="U157" s="27" t="e">
        <f>T157*P157</f>
        <v>#DIV/0!</v>
      </c>
    </row>
    <row r="158" spans="1:21" x14ac:dyDescent="0.3">
      <c r="A158" s="93" t="s">
        <v>288</v>
      </c>
      <c r="B158" s="94" t="s">
        <v>289</v>
      </c>
      <c r="C158" s="94" t="s">
        <v>483</v>
      </c>
      <c r="D158" s="94" t="s">
        <v>491</v>
      </c>
      <c r="E158" s="95" t="s">
        <v>295</v>
      </c>
      <c r="F158" s="94" t="s">
        <v>296</v>
      </c>
      <c r="G158" s="94" t="s">
        <v>241</v>
      </c>
      <c r="H158" s="94" t="s">
        <v>11</v>
      </c>
      <c r="I158" s="94" t="s">
        <v>219</v>
      </c>
      <c r="J158" s="94"/>
      <c r="K158" s="96">
        <v>56</v>
      </c>
      <c r="L158" s="96">
        <f>K158*VLOOKUP(H158,dagsoorttabel1,2,FALSE)</f>
        <v>56</v>
      </c>
      <c r="M158" s="97">
        <f>prodnorm38</f>
        <v>0</v>
      </c>
      <c r="N158" s="41">
        <f>dagwerk38</f>
        <v>0</v>
      </c>
      <c r="O158" s="94" t="s">
        <v>106</v>
      </c>
      <c r="P158" s="26">
        <f>uurtarief38</f>
        <v>0</v>
      </c>
      <c r="Q158" s="96" t="e">
        <f>IF(ISBLANK(M158),0,L158/M158)</f>
        <v>#DIV/0!</v>
      </c>
      <c r="R158" s="96" t="e">
        <f>IF(ISBLANK(M158),0,Q158*N158)</f>
        <v>#DIV/0!</v>
      </c>
      <c r="S158" s="26" t="e">
        <f>P158*Q158</f>
        <v>#DIV/0!</v>
      </c>
      <c r="T158" s="96" t="e">
        <f>Q158*dagenperjaar1</f>
        <v>#DIV/0!</v>
      </c>
      <c r="U158" s="27" t="e">
        <f>T158*P158</f>
        <v>#DIV/0!</v>
      </c>
    </row>
    <row r="159" spans="1:21" x14ac:dyDescent="0.3">
      <c r="A159" s="93" t="s">
        <v>288</v>
      </c>
      <c r="B159" s="94" t="s">
        <v>289</v>
      </c>
      <c r="C159" s="94" t="s">
        <v>483</v>
      </c>
      <c r="D159" s="94" t="s">
        <v>492</v>
      </c>
      <c r="E159" s="95" t="s">
        <v>295</v>
      </c>
      <c r="F159" s="94" t="s">
        <v>296</v>
      </c>
      <c r="G159" s="94" t="s">
        <v>241</v>
      </c>
      <c r="H159" s="94" t="s">
        <v>11</v>
      </c>
      <c r="I159" s="94" t="s">
        <v>219</v>
      </c>
      <c r="J159" s="94"/>
      <c r="K159" s="96">
        <v>87</v>
      </c>
      <c r="L159" s="96">
        <f>K159*VLOOKUP(H159,dagsoorttabel1,2,FALSE)</f>
        <v>87</v>
      </c>
      <c r="M159" s="97">
        <f>prodnorm38</f>
        <v>0</v>
      </c>
      <c r="N159" s="41">
        <f>dagwerk38</f>
        <v>0</v>
      </c>
      <c r="O159" s="94" t="s">
        <v>106</v>
      </c>
      <c r="P159" s="26">
        <f>uurtarief38</f>
        <v>0</v>
      </c>
      <c r="Q159" s="96" t="e">
        <f>IF(ISBLANK(M159),0,L159/M159)</f>
        <v>#DIV/0!</v>
      </c>
      <c r="R159" s="96" t="e">
        <f>IF(ISBLANK(M159),0,Q159*N159)</f>
        <v>#DIV/0!</v>
      </c>
      <c r="S159" s="26" t="e">
        <f>P159*Q159</f>
        <v>#DIV/0!</v>
      </c>
      <c r="T159" s="96" t="e">
        <f>Q159*dagenperjaar1</f>
        <v>#DIV/0!</v>
      </c>
      <c r="U159" s="27" t="e">
        <f>T159*P159</f>
        <v>#DIV/0!</v>
      </c>
    </row>
    <row r="160" spans="1:21" x14ac:dyDescent="0.3">
      <c r="A160" s="93" t="s">
        <v>288</v>
      </c>
      <c r="B160" s="94" t="s">
        <v>289</v>
      </c>
      <c r="C160" s="94" t="s">
        <v>483</v>
      </c>
      <c r="D160" s="94" t="s">
        <v>493</v>
      </c>
      <c r="E160" s="95" t="s">
        <v>494</v>
      </c>
      <c r="F160" s="94" t="s">
        <v>296</v>
      </c>
      <c r="G160" s="94" t="s">
        <v>223</v>
      </c>
      <c r="H160" s="94" t="s">
        <v>18</v>
      </c>
      <c r="I160" s="94" t="s">
        <v>219</v>
      </c>
      <c r="J160" s="94"/>
      <c r="K160" s="96">
        <v>17</v>
      </c>
      <c r="L160" s="96">
        <f>K160*VLOOKUP(H160,dagsoorttabel1,2,FALSE)</f>
        <v>3.4000000000000004</v>
      </c>
      <c r="M160" s="97">
        <f>prodnorm19</f>
        <v>0</v>
      </c>
      <c r="N160" s="41">
        <f>dagwerk19</f>
        <v>0</v>
      </c>
      <c r="O160" s="94" t="s">
        <v>106</v>
      </c>
      <c r="P160" s="26">
        <f>uurtarief19</f>
        <v>0</v>
      </c>
      <c r="Q160" s="96" t="e">
        <f>IF(ISBLANK(M160),0,L160/M160)</f>
        <v>#DIV/0!</v>
      </c>
      <c r="R160" s="96" t="e">
        <f>IF(ISBLANK(M160),0,Q160*N160)</f>
        <v>#DIV/0!</v>
      </c>
      <c r="S160" s="26" t="e">
        <f>P160*Q160</f>
        <v>#DIV/0!</v>
      </c>
      <c r="T160" s="96" t="e">
        <f>Q160*dagenperjaar1</f>
        <v>#DIV/0!</v>
      </c>
      <c r="U160" s="27" t="e">
        <f>T160*P160</f>
        <v>#DIV/0!</v>
      </c>
    </row>
    <row r="161" spans="1:21" x14ac:dyDescent="0.3">
      <c r="A161" s="93" t="s">
        <v>288</v>
      </c>
      <c r="B161" s="94" t="s">
        <v>289</v>
      </c>
      <c r="C161" s="94" t="s">
        <v>483</v>
      </c>
      <c r="D161" s="94" t="s">
        <v>495</v>
      </c>
      <c r="E161" s="95" t="s">
        <v>295</v>
      </c>
      <c r="F161" s="94" t="s">
        <v>296</v>
      </c>
      <c r="G161" s="94" t="s">
        <v>241</v>
      </c>
      <c r="H161" s="94" t="s">
        <v>11</v>
      </c>
      <c r="I161" s="94" t="s">
        <v>219</v>
      </c>
      <c r="J161" s="94"/>
      <c r="K161" s="96">
        <v>77</v>
      </c>
      <c r="L161" s="96">
        <f>K161*VLOOKUP(H161,dagsoorttabel1,2,FALSE)</f>
        <v>77</v>
      </c>
      <c r="M161" s="97">
        <f>prodnorm38</f>
        <v>0</v>
      </c>
      <c r="N161" s="41">
        <f>dagwerk38</f>
        <v>0</v>
      </c>
      <c r="O161" s="94" t="s">
        <v>106</v>
      </c>
      <c r="P161" s="26">
        <f>uurtarief38</f>
        <v>0</v>
      </c>
      <c r="Q161" s="96" t="e">
        <f>IF(ISBLANK(M161),0,L161/M161)</f>
        <v>#DIV/0!</v>
      </c>
      <c r="R161" s="96" t="e">
        <f>IF(ISBLANK(M161),0,Q161*N161)</f>
        <v>#DIV/0!</v>
      </c>
      <c r="S161" s="26" t="e">
        <f>P161*Q161</f>
        <v>#DIV/0!</v>
      </c>
      <c r="T161" s="96" t="e">
        <f>Q161*dagenperjaar1</f>
        <v>#DIV/0!</v>
      </c>
      <c r="U161" s="27" t="e">
        <f>T161*P161</f>
        <v>#DIV/0!</v>
      </c>
    </row>
    <row r="162" spans="1:21" x14ac:dyDescent="0.3">
      <c r="A162" s="93" t="s">
        <v>288</v>
      </c>
      <c r="B162" s="94" t="s">
        <v>289</v>
      </c>
      <c r="C162" s="94" t="s">
        <v>483</v>
      </c>
      <c r="D162" s="94" t="s">
        <v>496</v>
      </c>
      <c r="E162" s="95" t="s">
        <v>295</v>
      </c>
      <c r="F162" s="94" t="s">
        <v>296</v>
      </c>
      <c r="G162" s="94" t="s">
        <v>241</v>
      </c>
      <c r="H162" s="94" t="s">
        <v>11</v>
      </c>
      <c r="I162" s="94" t="s">
        <v>219</v>
      </c>
      <c r="J162" s="94"/>
      <c r="K162" s="96">
        <v>56</v>
      </c>
      <c r="L162" s="96">
        <f>K162*VLOOKUP(H162,dagsoorttabel1,2,FALSE)</f>
        <v>56</v>
      </c>
      <c r="M162" s="97">
        <f>prodnorm38</f>
        <v>0</v>
      </c>
      <c r="N162" s="41">
        <f>dagwerk38</f>
        <v>0</v>
      </c>
      <c r="O162" s="94" t="s">
        <v>106</v>
      </c>
      <c r="P162" s="26">
        <f>uurtarief38</f>
        <v>0</v>
      </c>
      <c r="Q162" s="96" t="e">
        <f>IF(ISBLANK(M162),0,L162/M162)</f>
        <v>#DIV/0!</v>
      </c>
      <c r="R162" s="96" t="e">
        <f>IF(ISBLANK(M162),0,Q162*N162)</f>
        <v>#DIV/0!</v>
      </c>
      <c r="S162" s="26" t="e">
        <f>P162*Q162</f>
        <v>#DIV/0!</v>
      </c>
      <c r="T162" s="96" t="e">
        <f>Q162*dagenperjaar1</f>
        <v>#DIV/0!</v>
      </c>
      <c r="U162" s="27" t="e">
        <f>T162*P162</f>
        <v>#DIV/0!</v>
      </c>
    </row>
    <row r="163" spans="1:21" x14ac:dyDescent="0.3">
      <c r="A163" s="93" t="s">
        <v>288</v>
      </c>
      <c r="B163" s="94" t="s">
        <v>289</v>
      </c>
      <c r="C163" s="94" t="s">
        <v>483</v>
      </c>
      <c r="D163" s="94" t="s">
        <v>497</v>
      </c>
      <c r="E163" s="95" t="s">
        <v>295</v>
      </c>
      <c r="F163" s="94" t="s">
        <v>296</v>
      </c>
      <c r="G163" s="94" t="s">
        <v>241</v>
      </c>
      <c r="H163" s="94" t="s">
        <v>11</v>
      </c>
      <c r="I163" s="94" t="s">
        <v>219</v>
      </c>
      <c r="J163" s="94"/>
      <c r="K163" s="96">
        <v>56</v>
      </c>
      <c r="L163" s="96">
        <f>K163*VLOOKUP(H163,dagsoorttabel1,2,FALSE)</f>
        <v>56</v>
      </c>
      <c r="M163" s="97">
        <f>prodnorm38</f>
        <v>0</v>
      </c>
      <c r="N163" s="41">
        <f>dagwerk38</f>
        <v>0</v>
      </c>
      <c r="O163" s="94" t="s">
        <v>106</v>
      </c>
      <c r="P163" s="26">
        <f>uurtarief38</f>
        <v>0</v>
      </c>
      <c r="Q163" s="96" t="e">
        <f>IF(ISBLANK(M163),0,L163/M163)</f>
        <v>#DIV/0!</v>
      </c>
      <c r="R163" s="96" t="e">
        <f>IF(ISBLANK(M163),0,Q163*N163)</f>
        <v>#DIV/0!</v>
      </c>
      <c r="S163" s="26" t="e">
        <f>P163*Q163</f>
        <v>#DIV/0!</v>
      </c>
      <c r="T163" s="96" t="e">
        <f>Q163*dagenperjaar1</f>
        <v>#DIV/0!</v>
      </c>
      <c r="U163" s="27" t="e">
        <f>T163*P163</f>
        <v>#DIV/0!</v>
      </c>
    </row>
    <row r="164" spans="1:21" x14ac:dyDescent="0.3">
      <c r="A164" s="93" t="s">
        <v>288</v>
      </c>
      <c r="B164" s="94" t="s">
        <v>289</v>
      </c>
      <c r="C164" s="94" t="s">
        <v>483</v>
      </c>
      <c r="D164" s="94" t="s">
        <v>498</v>
      </c>
      <c r="E164" s="95" t="s">
        <v>295</v>
      </c>
      <c r="F164" s="94" t="s">
        <v>296</v>
      </c>
      <c r="G164" s="94" t="s">
        <v>241</v>
      </c>
      <c r="H164" s="94" t="s">
        <v>11</v>
      </c>
      <c r="I164" s="94" t="s">
        <v>219</v>
      </c>
      <c r="J164" s="94"/>
      <c r="K164" s="96">
        <v>56</v>
      </c>
      <c r="L164" s="96">
        <f>K164*VLOOKUP(H164,dagsoorttabel1,2,FALSE)</f>
        <v>56</v>
      </c>
      <c r="M164" s="97">
        <f>prodnorm38</f>
        <v>0</v>
      </c>
      <c r="N164" s="41">
        <f>dagwerk38</f>
        <v>0</v>
      </c>
      <c r="O164" s="94" t="s">
        <v>106</v>
      </c>
      <c r="P164" s="26">
        <f>uurtarief38</f>
        <v>0</v>
      </c>
      <c r="Q164" s="96" t="e">
        <f>IF(ISBLANK(M164),0,L164/M164)</f>
        <v>#DIV/0!</v>
      </c>
      <c r="R164" s="96" t="e">
        <f>IF(ISBLANK(M164),0,Q164*N164)</f>
        <v>#DIV/0!</v>
      </c>
      <c r="S164" s="26" t="e">
        <f>P164*Q164</f>
        <v>#DIV/0!</v>
      </c>
      <c r="T164" s="96" t="e">
        <f>Q164*dagenperjaar1</f>
        <v>#DIV/0!</v>
      </c>
      <c r="U164" s="27" t="e">
        <f>T164*P164</f>
        <v>#DIV/0!</v>
      </c>
    </row>
    <row r="165" spans="1:21" x14ac:dyDescent="0.3">
      <c r="A165" s="93" t="s">
        <v>288</v>
      </c>
      <c r="B165" s="94" t="s">
        <v>289</v>
      </c>
      <c r="C165" s="94" t="s">
        <v>483</v>
      </c>
      <c r="D165" s="94" t="s">
        <v>499</v>
      </c>
      <c r="E165" s="95" t="s">
        <v>500</v>
      </c>
      <c r="F165" s="94" t="s">
        <v>296</v>
      </c>
      <c r="G165" s="94" t="s">
        <v>257</v>
      </c>
      <c r="H165" s="94" t="s">
        <v>11</v>
      </c>
      <c r="I165" s="94" t="s">
        <v>219</v>
      </c>
      <c r="J165" s="94"/>
      <c r="K165" s="96">
        <v>123</v>
      </c>
      <c r="L165" s="96">
        <f>K165*VLOOKUP(H165,dagsoorttabel1,2,FALSE)</f>
        <v>123</v>
      </c>
      <c r="M165" s="97">
        <f>prodnorm52</f>
        <v>0</v>
      </c>
      <c r="N165" s="41">
        <f>dagwerk52</f>
        <v>0</v>
      </c>
      <c r="O165" s="94" t="s">
        <v>106</v>
      </c>
      <c r="P165" s="26">
        <f>uurtarief52</f>
        <v>0</v>
      </c>
      <c r="Q165" s="96" t="e">
        <f>IF(ISBLANK(M165),0,L165/M165)</f>
        <v>#DIV/0!</v>
      </c>
      <c r="R165" s="96" t="e">
        <f>IF(ISBLANK(M165),0,Q165*N165)</f>
        <v>#DIV/0!</v>
      </c>
      <c r="S165" s="26" t="e">
        <f>P165*Q165</f>
        <v>#DIV/0!</v>
      </c>
      <c r="T165" s="96" t="e">
        <f>Q165*dagenperjaar1</f>
        <v>#DIV/0!</v>
      </c>
      <c r="U165" s="27" t="e">
        <f>T165*P165</f>
        <v>#DIV/0!</v>
      </c>
    </row>
    <row r="166" spans="1:21" x14ac:dyDescent="0.3">
      <c r="A166" s="93" t="s">
        <v>288</v>
      </c>
      <c r="B166" s="94" t="s">
        <v>289</v>
      </c>
      <c r="C166" s="94" t="s">
        <v>483</v>
      </c>
      <c r="D166" s="94" t="s">
        <v>501</v>
      </c>
      <c r="E166" s="95" t="s">
        <v>500</v>
      </c>
      <c r="F166" s="94" t="s">
        <v>316</v>
      </c>
      <c r="G166" s="94" t="s">
        <v>257</v>
      </c>
      <c r="H166" s="94" t="s">
        <v>11</v>
      </c>
      <c r="I166" s="94" t="s">
        <v>219</v>
      </c>
      <c r="J166" s="94"/>
      <c r="K166" s="96">
        <v>7.3</v>
      </c>
      <c r="L166" s="96">
        <f>K166*VLOOKUP(H166,dagsoorttabel1,2,FALSE)</f>
        <v>7.3</v>
      </c>
      <c r="M166" s="97">
        <f>prodnorm52</f>
        <v>0</v>
      </c>
      <c r="N166" s="41">
        <f>dagwerk52</f>
        <v>0</v>
      </c>
      <c r="O166" s="94" t="s">
        <v>106</v>
      </c>
      <c r="P166" s="26">
        <f>uurtarief52</f>
        <v>0</v>
      </c>
      <c r="Q166" s="96" t="e">
        <f>IF(ISBLANK(M166),0,L166/M166)</f>
        <v>#DIV/0!</v>
      </c>
      <c r="R166" s="96" t="e">
        <f>IF(ISBLANK(M166),0,Q166*N166)</f>
        <v>#DIV/0!</v>
      </c>
      <c r="S166" s="26" t="e">
        <f>P166*Q166</f>
        <v>#DIV/0!</v>
      </c>
      <c r="T166" s="96" t="e">
        <f>Q166*dagenperjaar1</f>
        <v>#DIV/0!</v>
      </c>
      <c r="U166" s="27" t="e">
        <f>T166*P166</f>
        <v>#DIV/0!</v>
      </c>
    </row>
    <row r="167" spans="1:21" x14ac:dyDescent="0.3">
      <c r="A167" s="93" t="s">
        <v>288</v>
      </c>
      <c r="B167" s="94" t="s">
        <v>289</v>
      </c>
      <c r="C167" s="94" t="s">
        <v>483</v>
      </c>
      <c r="D167" s="94" t="s">
        <v>502</v>
      </c>
      <c r="E167" s="95" t="s">
        <v>315</v>
      </c>
      <c r="F167" s="94" t="s">
        <v>316</v>
      </c>
      <c r="G167" s="94" t="s">
        <v>261</v>
      </c>
      <c r="H167" s="94" t="s">
        <v>11</v>
      </c>
      <c r="I167" s="94" t="s">
        <v>219</v>
      </c>
      <c r="J167" s="94"/>
      <c r="K167" s="96">
        <v>4.5</v>
      </c>
      <c r="L167" s="96">
        <f>K167*VLOOKUP(H167,dagsoorttabel1,2,FALSE)</f>
        <v>4.5</v>
      </c>
      <c r="M167" s="97">
        <f>prodnorm56</f>
        <v>0</v>
      </c>
      <c r="N167" s="41">
        <f>dagwerk56</f>
        <v>0</v>
      </c>
      <c r="O167" s="94" t="s">
        <v>106</v>
      </c>
      <c r="P167" s="26">
        <f>uurtarief56</f>
        <v>0</v>
      </c>
      <c r="Q167" s="96" t="e">
        <f>IF(ISBLANK(M167),0,L167/M167)</f>
        <v>#DIV/0!</v>
      </c>
      <c r="R167" s="96" t="e">
        <f>IF(ISBLANK(M167),0,Q167*N167)</f>
        <v>#DIV/0!</v>
      </c>
      <c r="S167" s="26" t="e">
        <f>P167*Q167</f>
        <v>#DIV/0!</v>
      </c>
      <c r="T167" s="96" t="e">
        <f>Q167*dagenperjaar1</f>
        <v>#DIV/0!</v>
      </c>
      <c r="U167" s="27" t="e">
        <f>T167*P167</f>
        <v>#DIV/0!</v>
      </c>
    </row>
    <row r="168" spans="1:21" x14ac:dyDescent="0.3">
      <c r="A168" s="93" t="s">
        <v>288</v>
      </c>
      <c r="B168" s="94" t="s">
        <v>289</v>
      </c>
      <c r="C168" s="94" t="s">
        <v>483</v>
      </c>
      <c r="D168" s="94" t="s">
        <v>502</v>
      </c>
      <c r="E168" s="95" t="s">
        <v>315</v>
      </c>
      <c r="F168" s="94" t="s">
        <v>316</v>
      </c>
      <c r="G168" s="94" t="s">
        <v>263</v>
      </c>
      <c r="H168" s="94" t="s">
        <v>11</v>
      </c>
      <c r="I168" s="94" t="s">
        <v>219</v>
      </c>
      <c r="J168" s="94"/>
      <c r="K168" s="96">
        <v>4.5</v>
      </c>
      <c r="L168" s="96">
        <f>K168*VLOOKUP(H168,dagsoorttabel1,2,FALSE)</f>
        <v>4.5</v>
      </c>
      <c r="M168" s="97">
        <f>prodnorm58</f>
        <v>0</v>
      </c>
      <c r="N168" s="41">
        <f>dagwerk58</f>
        <v>0</v>
      </c>
      <c r="O168" s="94" t="s">
        <v>106</v>
      </c>
      <c r="P168" s="26">
        <f>uurtarief58</f>
        <v>0</v>
      </c>
      <c r="Q168" s="96" t="e">
        <f>IF(ISBLANK(M168),0,L168/M168)</f>
        <v>#DIV/0!</v>
      </c>
      <c r="R168" s="96" t="e">
        <f>IF(ISBLANK(M168),0,Q168*N168)</f>
        <v>#DIV/0!</v>
      </c>
      <c r="S168" s="26" t="e">
        <f>P168*Q168</f>
        <v>#DIV/0!</v>
      </c>
      <c r="T168" s="96" t="e">
        <f>Q168*dagenperjaar1</f>
        <v>#DIV/0!</v>
      </c>
      <c r="U168" s="27" t="e">
        <f>T168*P168</f>
        <v>#DIV/0!</v>
      </c>
    </row>
    <row r="169" spans="1:21" x14ac:dyDescent="0.3">
      <c r="A169" s="93" t="s">
        <v>288</v>
      </c>
      <c r="B169" s="94" t="s">
        <v>289</v>
      </c>
      <c r="C169" s="94" t="s">
        <v>483</v>
      </c>
      <c r="D169" s="94" t="s">
        <v>503</v>
      </c>
      <c r="E169" s="95" t="s">
        <v>315</v>
      </c>
      <c r="F169" s="94" t="s">
        <v>316</v>
      </c>
      <c r="G169" s="94" t="s">
        <v>261</v>
      </c>
      <c r="H169" s="94" t="s">
        <v>11</v>
      </c>
      <c r="I169" s="94" t="s">
        <v>219</v>
      </c>
      <c r="J169" s="94"/>
      <c r="K169" s="96">
        <v>4.5</v>
      </c>
      <c r="L169" s="96">
        <f>K169*VLOOKUP(H169,dagsoorttabel1,2,FALSE)</f>
        <v>4.5</v>
      </c>
      <c r="M169" s="97">
        <f>prodnorm56</f>
        <v>0</v>
      </c>
      <c r="N169" s="41">
        <f>dagwerk56</f>
        <v>0</v>
      </c>
      <c r="O169" s="94" t="s">
        <v>106</v>
      </c>
      <c r="P169" s="26">
        <f>uurtarief56</f>
        <v>0</v>
      </c>
      <c r="Q169" s="96" t="e">
        <f>IF(ISBLANK(M169),0,L169/M169)</f>
        <v>#DIV/0!</v>
      </c>
      <c r="R169" s="96" t="e">
        <f>IF(ISBLANK(M169),0,Q169*N169)</f>
        <v>#DIV/0!</v>
      </c>
      <c r="S169" s="26" t="e">
        <f>P169*Q169</f>
        <v>#DIV/0!</v>
      </c>
      <c r="T169" s="96" t="e">
        <f>Q169*dagenperjaar1</f>
        <v>#DIV/0!</v>
      </c>
      <c r="U169" s="27" t="e">
        <f>T169*P169</f>
        <v>#DIV/0!</v>
      </c>
    </row>
    <row r="170" spans="1:21" x14ac:dyDescent="0.3">
      <c r="A170" s="93" t="s">
        <v>288</v>
      </c>
      <c r="B170" s="94" t="s">
        <v>289</v>
      </c>
      <c r="C170" s="94" t="s">
        <v>483</v>
      </c>
      <c r="D170" s="94" t="s">
        <v>503</v>
      </c>
      <c r="E170" s="95" t="s">
        <v>315</v>
      </c>
      <c r="F170" s="94" t="s">
        <v>316</v>
      </c>
      <c r="G170" s="94" t="s">
        <v>263</v>
      </c>
      <c r="H170" s="94" t="s">
        <v>11</v>
      </c>
      <c r="I170" s="94" t="s">
        <v>219</v>
      </c>
      <c r="J170" s="94"/>
      <c r="K170" s="96">
        <v>4.5</v>
      </c>
      <c r="L170" s="96">
        <f>K170*VLOOKUP(H170,dagsoorttabel1,2,FALSE)</f>
        <v>4.5</v>
      </c>
      <c r="M170" s="97">
        <f>prodnorm58</f>
        <v>0</v>
      </c>
      <c r="N170" s="41">
        <f>dagwerk58</f>
        <v>0</v>
      </c>
      <c r="O170" s="94" t="s">
        <v>106</v>
      </c>
      <c r="P170" s="26">
        <f>uurtarief58</f>
        <v>0</v>
      </c>
      <c r="Q170" s="96" t="e">
        <f>IF(ISBLANK(M170),0,L170/M170)</f>
        <v>#DIV/0!</v>
      </c>
      <c r="R170" s="96" t="e">
        <f>IF(ISBLANK(M170),0,Q170*N170)</f>
        <v>#DIV/0!</v>
      </c>
      <c r="S170" s="26" t="e">
        <f>P170*Q170</f>
        <v>#DIV/0!</v>
      </c>
      <c r="T170" s="96" t="e">
        <f>Q170*dagenperjaar1</f>
        <v>#DIV/0!</v>
      </c>
      <c r="U170" s="27" t="e">
        <f>T170*P170</f>
        <v>#DIV/0!</v>
      </c>
    </row>
    <row r="171" spans="1:21" x14ac:dyDescent="0.3">
      <c r="A171" s="93" t="s">
        <v>288</v>
      </c>
      <c r="B171" s="94" t="s">
        <v>289</v>
      </c>
      <c r="C171" s="94" t="s">
        <v>483</v>
      </c>
      <c r="D171" s="94" t="s">
        <v>504</v>
      </c>
      <c r="E171" s="95" t="s">
        <v>494</v>
      </c>
      <c r="F171" s="94" t="s">
        <v>296</v>
      </c>
      <c r="G171" s="94" t="s">
        <v>223</v>
      </c>
      <c r="H171" s="94" t="s">
        <v>18</v>
      </c>
      <c r="I171" s="94" t="s">
        <v>219</v>
      </c>
      <c r="J171" s="94"/>
      <c r="K171" s="96">
        <v>32</v>
      </c>
      <c r="L171" s="96">
        <f>K171*VLOOKUP(H171,dagsoorttabel1,2,FALSE)</f>
        <v>6.4</v>
      </c>
      <c r="M171" s="97">
        <f>prodnorm19</f>
        <v>0</v>
      </c>
      <c r="N171" s="41">
        <f>dagwerk19</f>
        <v>0</v>
      </c>
      <c r="O171" s="94" t="s">
        <v>106</v>
      </c>
      <c r="P171" s="26">
        <f>uurtarief19</f>
        <v>0</v>
      </c>
      <c r="Q171" s="96" t="e">
        <f>IF(ISBLANK(M171),0,L171/M171)</f>
        <v>#DIV/0!</v>
      </c>
      <c r="R171" s="96" t="e">
        <f>IF(ISBLANK(M171),0,Q171*N171)</f>
        <v>#DIV/0!</v>
      </c>
      <c r="S171" s="26" t="e">
        <f>P171*Q171</f>
        <v>#DIV/0!</v>
      </c>
      <c r="T171" s="96" t="e">
        <f>Q171*dagenperjaar1</f>
        <v>#DIV/0!</v>
      </c>
      <c r="U171" s="27" t="e">
        <f>T171*P171</f>
        <v>#DIV/0!</v>
      </c>
    </row>
    <row r="172" spans="1:21" x14ac:dyDescent="0.3">
      <c r="A172" s="93" t="s">
        <v>288</v>
      </c>
      <c r="B172" s="94" t="s">
        <v>289</v>
      </c>
      <c r="C172" s="94" t="s">
        <v>483</v>
      </c>
      <c r="D172" s="94" t="s">
        <v>505</v>
      </c>
      <c r="E172" s="95" t="s">
        <v>295</v>
      </c>
      <c r="F172" s="94" t="s">
        <v>296</v>
      </c>
      <c r="G172" s="94" t="s">
        <v>241</v>
      </c>
      <c r="H172" s="94" t="s">
        <v>11</v>
      </c>
      <c r="I172" s="94" t="s">
        <v>219</v>
      </c>
      <c r="J172" s="94"/>
      <c r="K172" s="96">
        <v>96.5</v>
      </c>
      <c r="L172" s="96">
        <f>K172*VLOOKUP(H172,dagsoorttabel1,2,FALSE)</f>
        <v>96.5</v>
      </c>
      <c r="M172" s="97">
        <f>prodnorm38</f>
        <v>0</v>
      </c>
      <c r="N172" s="41">
        <f>dagwerk38</f>
        <v>0</v>
      </c>
      <c r="O172" s="94" t="s">
        <v>106</v>
      </c>
      <c r="P172" s="26">
        <f>uurtarief38</f>
        <v>0</v>
      </c>
      <c r="Q172" s="96" t="e">
        <f>IF(ISBLANK(M172),0,L172/M172)</f>
        <v>#DIV/0!</v>
      </c>
      <c r="R172" s="96" t="e">
        <f>IF(ISBLANK(M172),0,Q172*N172)</f>
        <v>#DIV/0!</v>
      </c>
      <c r="S172" s="26" t="e">
        <f>P172*Q172</f>
        <v>#DIV/0!</v>
      </c>
      <c r="T172" s="96" t="e">
        <f>Q172*dagenperjaar1</f>
        <v>#DIV/0!</v>
      </c>
      <c r="U172" s="27" t="e">
        <f>T172*P172</f>
        <v>#DIV/0!</v>
      </c>
    </row>
    <row r="173" spans="1:21" x14ac:dyDescent="0.3">
      <c r="A173" s="93" t="s">
        <v>288</v>
      </c>
      <c r="B173" s="94" t="s">
        <v>289</v>
      </c>
      <c r="C173" s="94" t="s">
        <v>483</v>
      </c>
      <c r="D173" s="94" t="s">
        <v>506</v>
      </c>
      <c r="E173" s="95" t="s">
        <v>295</v>
      </c>
      <c r="F173" s="94" t="s">
        <v>296</v>
      </c>
      <c r="G173" s="94" t="s">
        <v>241</v>
      </c>
      <c r="H173" s="94" t="s">
        <v>11</v>
      </c>
      <c r="I173" s="94" t="s">
        <v>219</v>
      </c>
      <c r="J173" s="94"/>
      <c r="K173" s="96">
        <v>56</v>
      </c>
      <c r="L173" s="96">
        <f>K173*VLOOKUP(H173,dagsoorttabel1,2,FALSE)</f>
        <v>56</v>
      </c>
      <c r="M173" s="97">
        <f>prodnorm38</f>
        <v>0</v>
      </c>
      <c r="N173" s="41">
        <f>dagwerk38</f>
        <v>0</v>
      </c>
      <c r="O173" s="94" t="s">
        <v>106</v>
      </c>
      <c r="P173" s="26">
        <f>uurtarief38</f>
        <v>0</v>
      </c>
      <c r="Q173" s="96" t="e">
        <f>IF(ISBLANK(M173),0,L173/M173)</f>
        <v>#DIV/0!</v>
      </c>
      <c r="R173" s="96" t="e">
        <f>IF(ISBLANK(M173),0,Q173*N173)</f>
        <v>#DIV/0!</v>
      </c>
      <c r="S173" s="26" t="e">
        <f>P173*Q173</f>
        <v>#DIV/0!</v>
      </c>
      <c r="T173" s="96" t="e">
        <f>Q173*dagenperjaar1</f>
        <v>#DIV/0!</v>
      </c>
      <c r="U173" s="27" t="e">
        <f>T173*P173</f>
        <v>#DIV/0!</v>
      </c>
    </row>
    <row r="174" spans="1:21" x14ac:dyDescent="0.3">
      <c r="A174" s="93" t="s">
        <v>288</v>
      </c>
      <c r="B174" s="94" t="s">
        <v>289</v>
      </c>
      <c r="C174" s="94" t="s">
        <v>507</v>
      </c>
      <c r="D174" s="94" t="s">
        <v>508</v>
      </c>
      <c r="E174" s="95" t="s">
        <v>295</v>
      </c>
      <c r="F174" s="94" t="s">
        <v>296</v>
      </c>
      <c r="G174" s="94" t="s">
        <v>241</v>
      </c>
      <c r="H174" s="94" t="s">
        <v>11</v>
      </c>
      <c r="I174" s="94" t="s">
        <v>219</v>
      </c>
      <c r="J174" s="94"/>
      <c r="K174" s="96">
        <v>53.3</v>
      </c>
      <c r="L174" s="96">
        <f>K174*VLOOKUP(H174,dagsoorttabel1,2,FALSE)</f>
        <v>53.3</v>
      </c>
      <c r="M174" s="97">
        <f>prodnorm38</f>
        <v>0</v>
      </c>
      <c r="N174" s="41">
        <f>dagwerk38</f>
        <v>0</v>
      </c>
      <c r="O174" s="94" t="s">
        <v>106</v>
      </c>
      <c r="P174" s="26">
        <f>uurtarief38</f>
        <v>0</v>
      </c>
      <c r="Q174" s="96" t="e">
        <f>IF(ISBLANK(M174),0,L174/M174)</f>
        <v>#DIV/0!</v>
      </c>
      <c r="R174" s="96" t="e">
        <f>IF(ISBLANK(M174),0,Q174*N174)</f>
        <v>#DIV/0!</v>
      </c>
      <c r="S174" s="26" t="e">
        <f>P174*Q174</f>
        <v>#DIV/0!</v>
      </c>
      <c r="T174" s="96" t="e">
        <f>Q174*dagenperjaar1</f>
        <v>#DIV/0!</v>
      </c>
      <c r="U174" s="27" t="e">
        <f>T174*P174</f>
        <v>#DIV/0!</v>
      </c>
    </row>
    <row r="175" spans="1:21" x14ac:dyDescent="0.3">
      <c r="A175" s="98" t="s">
        <v>288</v>
      </c>
      <c r="B175" s="99" t="s">
        <v>289</v>
      </c>
      <c r="C175" s="99" t="s">
        <v>507</v>
      </c>
      <c r="D175" s="99" t="s">
        <v>509</v>
      </c>
      <c r="E175" s="100" t="s">
        <v>295</v>
      </c>
      <c r="F175" s="99" t="s">
        <v>296</v>
      </c>
      <c r="G175" s="99" t="s">
        <v>241</v>
      </c>
      <c r="H175" s="99" t="s">
        <v>11</v>
      </c>
      <c r="I175" s="99" t="s">
        <v>219</v>
      </c>
      <c r="J175" s="99"/>
      <c r="K175" s="101">
        <v>53.3</v>
      </c>
      <c r="L175" s="101">
        <f>K175*VLOOKUP(H175,dagsoorttabel1,2,FALSE)</f>
        <v>53.3</v>
      </c>
      <c r="M175" s="102">
        <f>prodnorm38</f>
        <v>0</v>
      </c>
      <c r="N175" s="103">
        <f>dagwerk38</f>
        <v>0</v>
      </c>
      <c r="O175" s="99" t="s">
        <v>106</v>
      </c>
      <c r="P175" s="36">
        <f>uurtarief38</f>
        <v>0</v>
      </c>
      <c r="Q175" s="101" t="e">
        <f>IF(ISBLANK(M175),0,L175/M175)</f>
        <v>#DIV/0!</v>
      </c>
      <c r="R175" s="101" t="e">
        <f>IF(ISBLANK(M175),0,Q175*N175)</f>
        <v>#DIV/0!</v>
      </c>
      <c r="S175" s="36" t="e">
        <f>P175*Q175</f>
        <v>#DIV/0!</v>
      </c>
      <c r="T175" s="101" t="e">
        <f>Q175*dagenperjaar1</f>
        <v>#DIV/0!</v>
      </c>
      <c r="U175" s="37" t="e">
        <f>T175*P175</f>
        <v>#DIV/0!</v>
      </c>
    </row>
    <row r="176" spans="1:21" x14ac:dyDescent="0.3">
      <c r="A176" s="104" t="s">
        <v>510</v>
      </c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8" t="e">
        <f>IF(_xlfn.SINGLE(object1_urenjaar1)&gt;0,_xlfn.SINGLE(object1_prijsjaar1)/_xlfn.SINGLE(object1_urenjaar1),0)</f>
        <v>#DIV/0!</v>
      </c>
      <c r="Q176" s="77" t="e">
        <f>SUM(Q5:Q175)</f>
        <v>#DIV/0!</v>
      </c>
      <c r="R176" s="77" t="e">
        <f>SUM(R5:R175)</f>
        <v>#DIV/0!</v>
      </c>
      <c r="S176" s="78" t="e">
        <f>SUM(S5:S175)</f>
        <v>#DIV/0!</v>
      </c>
      <c r="T176" s="77" t="e">
        <f>SUM(T5:T175)</f>
        <v>#DIV/0!</v>
      </c>
      <c r="U176" s="79" t="e">
        <f>SUM(U5:U175)</f>
        <v>#DIV/0!</v>
      </c>
    </row>
    <row r="177" spans="1:21" x14ac:dyDescent="0.3">
      <c r="A177" s="84" t="s">
        <v>511</v>
      </c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74"/>
    </row>
    <row r="178" spans="1:21" x14ac:dyDescent="0.3">
      <c r="A178" s="85" t="s">
        <v>512</v>
      </c>
      <c r="B178" s="86" t="s">
        <v>40</v>
      </c>
      <c r="C178" s="86" t="s">
        <v>290</v>
      </c>
      <c r="D178" s="86" t="s">
        <v>513</v>
      </c>
      <c r="E178" s="87" t="s">
        <v>338</v>
      </c>
      <c r="F178" s="86" t="s">
        <v>296</v>
      </c>
      <c r="G178" s="86" t="s">
        <v>267</v>
      </c>
      <c r="H178" s="86" t="s">
        <v>11</v>
      </c>
      <c r="I178" s="86" t="s">
        <v>219</v>
      </c>
      <c r="J178" s="86"/>
      <c r="K178" s="88">
        <v>41</v>
      </c>
      <c r="L178" s="88">
        <f>K178*VLOOKUP(H178,dagsoorttabel1,2,FALSE)</f>
        <v>41</v>
      </c>
      <c r="M178" s="89">
        <f>prodnorm63</f>
        <v>0</v>
      </c>
      <c r="N178" s="90">
        <f>dagwerk63</f>
        <v>0</v>
      </c>
      <c r="O178" s="86" t="s">
        <v>106</v>
      </c>
      <c r="P178" s="91">
        <f>uurtarief63</f>
        <v>0</v>
      </c>
      <c r="Q178" s="88" t="e">
        <f>IF(ISBLANK(M178),0,L178/M178)</f>
        <v>#DIV/0!</v>
      </c>
      <c r="R178" s="88" t="e">
        <f>IF(ISBLANK(M178),0,Q178*N178)</f>
        <v>#DIV/0!</v>
      </c>
      <c r="S178" s="91" t="e">
        <f>P178*Q178</f>
        <v>#DIV/0!</v>
      </c>
      <c r="T178" s="88" t="e">
        <f>Q178*dagenperjaar1</f>
        <v>#DIV/0!</v>
      </c>
      <c r="U178" s="92" t="e">
        <f>T178*P178</f>
        <v>#DIV/0!</v>
      </c>
    </row>
    <row r="179" spans="1:21" x14ac:dyDescent="0.3">
      <c r="A179" s="93" t="s">
        <v>512</v>
      </c>
      <c r="B179" s="94" t="s">
        <v>40</v>
      </c>
      <c r="C179" s="94" t="s">
        <v>290</v>
      </c>
      <c r="D179" s="94" t="s">
        <v>514</v>
      </c>
      <c r="E179" s="95" t="s">
        <v>338</v>
      </c>
      <c r="F179" s="94" t="s">
        <v>296</v>
      </c>
      <c r="G179" s="94" t="s">
        <v>267</v>
      </c>
      <c r="H179" s="94" t="s">
        <v>11</v>
      </c>
      <c r="I179" s="94" t="s">
        <v>219</v>
      </c>
      <c r="J179" s="94"/>
      <c r="K179" s="96">
        <v>115</v>
      </c>
      <c r="L179" s="96">
        <f>K179*VLOOKUP(H179,dagsoorttabel1,2,FALSE)</f>
        <v>115</v>
      </c>
      <c r="M179" s="97">
        <f>prodnorm63</f>
        <v>0</v>
      </c>
      <c r="N179" s="41">
        <f>dagwerk63</f>
        <v>0</v>
      </c>
      <c r="O179" s="94" t="s">
        <v>106</v>
      </c>
      <c r="P179" s="26">
        <f>uurtarief63</f>
        <v>0</v>
      </c>
      <c r="Q179" s="96" t="e">
        <f>IF(ISBLANK(M179),0,L179/M179)</f>
        <v>#DIV/0!</v>
      </c>
      <c r="R179" s="96" t="e">
        <f>IF(ISBLANK(M179),0,Q179*N179)</f>
        <v>#DIV/0!</v>
      </c>
      <c r="S179" s="26" t="e">
        <f>P179*Q179</f>
        <v>#DIV/0!</v>
      </c>
      <c r="T179" s="96" t="e">
        <f>Q179*dagenperjaar1</f>
        <v>#DIV/0!</v>
      </c>
      <c r="U179" s="27" t="e">
        <f>T179*P179</f>
        <v>#DIV/0!</v>
      </c>
    </row>
    <row r="180" spans="1:21" x14ac:dyDescent="0.3">
      <c r="A180" s="93" t="s">
        <v>512</v>
      </c>
      <c r="B180" s="94" t="s">
        <v>40</v>
      </c>
      <c r="C180" s="94" t="s">
        <v>290</v>
      </c>
      <c r="D180" s="94" t="s">
        <v>515</v>
      </c>
      <c r="E180" s="95" t="s">
        <v>313</v>
      </c>
      <c r="F180" s="94" t="s">
        <v>296</v>
      </c>
      <c r="G180" s="94" t="s">
        <v>267</v>
      </c>
      <c r="H180" s="94" t="s">
        <v>11</v>
      </c>
      <c r="I180" s="94" t="s">
        <v>219</v>
      </c>
      <c r="J180" s="94"/>
      <c r="K180" s="96">
        <v>10</v>
      </c>
      <c r="L180" s="96">
        <f>K180*VLOOKUP(H180,dagsoorttabel1,2,FALSE)</f>
        <v>10</v>
      </c>
      <c r="M180" s="97">
        <f>prodnorm63</f>
        <v>0</v>
      </c>
      <c r="N180" s="41">
        <f>dagwerk63</f>
        <v>0</v>
      </c>
      <c r="O180" s="94" t="s">
        <v>106</v>
      </c>
      <c r="P180" s="26">
        <f>uurtarief63</f>
        <v>0</v>
      </c>
      <c r="Q180" s="96" t="e">
        <f>IF(ISBLANK(M180),0,L180/M180)</f>
        <v>#DIV/0!</v>
      </c>
      <c r="R180" s="96" t="e">
        <f>IF(ISBLANK(M180),0,Q180*N180)</f>
        <v>#DIV/0!</v>
      </c>
      <c r="S180" s="26" t="e">
        <f>P180*Q180</f>
        <v>#DIV/0!</v>
      </c>
      <c r="T180" s="96" t="e">
        <f>Q180*dagenperjaar1</f>
        <v>#DIV/0!</v>
      </c>
      <c r="U180" s="27" t="e">
        <f>T180*P180</f>
        <v>#DIV/0!</v>
      </c>
    </row>
    <row r="181" spans="1:21" x14ac:dyDescent="0.3">
      <c r="A181" s="93" t="s">
        <v>512</v>
      </c>
      <c r="B181" s="94" t="s">
        <v>40</v>
      </c>
      <c r="C181" s="94" t="s">
        <v>290</v>
      </c>
      <c r="D181" s="94" t="s">
        <v>516</v>
      </c>
      <c r="E181" s="95" t="s">
        <v>338</v>
      </c>
      <c r="F181" s="94" t="s">
        <v>296</v>
      </c>
      <c r="G181" s="94" t="s">
        <v>267</v>
      </c>
      <c r="H181" s="94" t="s">
        <v>11</v>
      </c>
      <c r="I181" s="94" t="s">
        <v>219</v>
      </c>
      <c r="J181" s="94"/>
      <c r="K181" s="96">
        <v>30</v>
      </c>
      <c r="L181" s="96">
        <f>K181*VLOOKUP(H181,dagsoorttabel1,2,FALSE)</f>
        <v>30</v>
      </c>
      <c r="M181" s="97">
        <f>prodnorm63</f>
        <v>0</v>
      </c>
      <c r="N181" s="41">
        <f>dagwerk63</f>
        <v>0</v>
      </c>
      <c r="O181" s="94" t="s">
        <v>106</v>
      </c>
      <c r="P181" s="26">
        <f>uurtarief63</f>
        <v>0</v>
      </c>
      <c r="Q181" s="96" t="e">
        <f>IF(ISBLANK(M181),0,L181/M181)</f>
        <v>#DIV/0!</v>
      </c>
      <c r="R181" s="96" t="e">
        <f>IF(ISBLANK(M181),0,Q181*N181)</f>
        <v>#DIV/0!</v>
      </c>
      <c r="S181" s="26" t="e">
        <f>P181*Q181</f>
        <v>#DIV/0!</v>
      </c>
      <c r="T181" s="96" t="e">
        <f>Q181*dagenperjaar1</f>
        <v>#DIV/0!</v>
      </c>
      <c r="U181" s="27" t="e">
        <f>T181*P181</f>
        <v>#DIV/0!</v>
      </c>
    </row>
    <row r="182" spans="1:21" x14ac:dyDescent="0.3">
      <c r="A182" s="93" t="s">
        <v>512</v>
      </c>
      <c r="B182" s="94" t="s">
        <v>40</v>
      </c>
      <c r="C182" s="94" t="s">
        <v>290</v>
      </c>
      <c r="D182" s="94" t="s">
        <v>517</v>
      </c>
      <c r="E182" s="95" t="s">
        <v>518</v>
      </c>
      <c r="F182" s="94" t="s">
        <v>296</v>
      </c>
      <c r="G182" s="94" t="s">
        <v>241</v>
      </c>
      <c r="H182" s="94" t="s">
        <v>11</v>
      </c>
      <c r="I182" s="94" t="s">
        <v>219</v>
      </c>
      <c r="J182" s="94"/>
      <c r="K182" s="96">
        <v>101</v>
      </c>
      <c r="L182" s="96">
        <f>K182*VLOOKUP(H182,dagsoorttabel1,2,FALSE)</f>
        <v>101</v>
      </c>
      <c r="M182" s="97">
        <f>prodnorm38</f>
        <v>0</v>
      </c>
      <c r="N182" s="41">
        <f>dagwerk38</f>
        <v>0</v>
      </c>
      <c r="O182" s="94" t="s">
        <v>106</v>
      </c>
      <c r="P182" s="26">
        <f>uurtarief38</f>
        <v>0</v>
      </c>
      <c r="Q182" s="96" t="e">
        <f>IF(ISBLANK(M182),0,L182/M182)</f>
        <v>#DIV/0!</v>
      </c>
      <c r="R182" s="96" t="e">
        <f>IF(ISBLANK(M182),0,Q182*N182)</f>
        <v>#DIV/0!</v>
      </c>
      <c r="S182" s="26" t="e">
        <f>P182*Q182</f>
        <v>#DIV/0!</v>
      </c>
      <c r="T182" s="96" t="e">
        <f>Q182*dagenperjaar1</f>
        <v>#DIV/0!</v>
      </c>
      <c r="U182" s="27" t="e">
        <f>T182*P182</f>
        <v>#DIV/0!</v>
      </c>
    </row>
    <row r="183" spans="1:21" x14ac:dyDescent="0.3">
      <c r="A183" s="93" t="s">
        <v>512</v>
      </c>
      <c r="B183" s="94" t="s">
        <v>40</v>
      </c>
      <c r="C183" s="94" t="s">
        <v>290</v>
      </c>
      <c r="D183" s="94" t="s">
        <v>519</v>
      </c>
      <c r="E183" s="95" t="s">
        <v>303</v>
      </c>
      <c r="F183" s="94" t="s">
        <v>296</v>
      </c>
      <c r="G183" s="94" t="s">
        <v>265</v>
      </c>
      <c r="H183" s="94" t="s">
        <v>11</v>
      </c>
      <c r="I183" s="94" t="s">
        <v>219</v>
      </c>
      <c r="J183" s="94"/>
      <c r="K183" s="96">
        <v>20</v>
      </c>
      <c r="L183" s="96">
        <f>K183*VLOOKUP(H183,dagsoorttabel1,2,FALSE)</f>
        <v>20</v>
      </c>
      <c r="M183" s="97">
        <f>prodnorm61</f>
        <v>0</v>
      </c>
      <c r="N183" s="41">
        <f>dagwerk61</f>
        <v>0</v>
      </c>
      <c r="O183" s="94" t="s">
        <v>106</v>
      </c>
      <c r="P183" s="26">
        <f>uurtarief61</f>
        <v>0</v>
      </c>
      <c r="Q183" s="96" t="e">
        <f>IF(ISBLANK(M183),0,L183/M183)</f>
        <v>#DIV/0!</v>
      </c>
      <c r="R183" s="96" t="e">
        <f>IF(ISBLANK(M183),0,Q183*N183)</f>
        <v>#DIV/0!</v>
      </c>
      <c r="S183" s="26" t="e">
        <f>P183*Q183</f>
        <v>#DIV/0!</v>
      </c>
      <c r="T183" s="96" t="e">
        <f>Q183*dagenperjaar1</f>
        <v>#DIV/0!</v>
      </c>
      <c r="U183" s="27" t="e">
        <f>T183*P183</f>
        <v>#DIV/0!</v>
      </c>
    </row>
    <row r="184" spans="1:21" x14ac:dyDescent="0.3">
      <c r="A184" s="93" t="s">
        <v>512</v>
      </c>
      <c r="B184" s="94" t="s">
        <v>40</v>
      </c>
      <c r="C184" s="94" t="s">
        <v>290</v>
      </c>
      <c r="D184" s="94" t="s">
        <v>520</v>
      </c>
      <c r="E184" s="95" t="s">
        <v>295</v>
      </c>
      <c r="F184" s="94" t="s">
        <v>296</v>
      </c>
      <c r="G184" s="94" t="s">
        <v>241</v>
      </c>
      <c r="H184" s="94" t="s">
        <v>11</v>
      </c>
      <c r="I184" s="94" t="s">
        <v>219</v>
      </c>
      <c r="J184" s="94"/>
      <c r="K184" s="96">
        <v>59</v>
      </c>
      <c r="L184" s="96">
        <f>K184*VLOOKUP(H184,dagsoorttabel1,2,FALSE)</f>
        <v>59</v>
      </c>
      <c r="M184" s="97">
        <f>prodnorm38</f>
        <v>0</v>
      </c>
      <c r="N184" s="41">
        <f>dagwerk38</f>
        <v>0</v>
      </c>
      <c r="O184" s="94" t="s">
        <v>106</v>
      </c>
      <c r="P184" s="26">
        <f>uurtarief38</f>
        <v>0</v>
      </c>
      <c r="Q184" s="96" t="e">
        <f>IF(ISBLANK(M184),0,L184/M184)</f>
        <v>#DIV/0!</v>
      </c>
      <c r="R184" s="96" t="e">
        <f>IF(ISBLANK(M184),0,Q184*N184)</f>
        <v>#DIV/0!</v>
      </c>
      <c r="S184" s="26" t="e">
        <f>P184*Q184</f>
        <v>#DIV/0!</v>
      </c>
      <c r="T184" s="96" t="e">
        <f>Q184*dagenperjaar1</f>
        <v>#DIV/0!</v>
      </c>
      <c r="U184" s="27" t="e">
        <f>T184*P184</f>
        <v>#DIV/0!</v>
      </c>
    </row>
    <row r="185" spans="1:21" x14ac:dyDescent="0.3">
      <c r="A185" s="93" t="s">
        <v>512</v>
      </c>
      <c r="B185" s="94" t="s">
        <v>40</v>
      </c>
      <c r="C185" s="94" t="s">
        <v>290</v>
      </c>
      <c r="D185" s="94" t="s">
        <v>521</v>
      </c>
      <c r="E185" s="95" t="s">
        <v>295</v>
      </c>
      <c r="F185" s="94" t="s">
        <v>296</v>
      </c>
      <c r="G185" s="94" t="s">
        <v>241</v>
      </c>
      <c r="H185" s="94" t="s">
        <v>11</v>
      </c>
      <c r="I185" s="94" t="s">
        <v>219</v>
      </c>
      <c r="J185" s="94"/>
      <c r="K185" s="96">
        <v>59</v>
      </c>
      <c r="L185" s="96">
        <f>K185*VLOOKUP(H185,dagsoorttabel1,2,FALSE)</f>
        <v>59</v>
      </c>
      <c r="M185" s="97">
        <f>prodnorm38</f>
        <v>0</v>
      </c>
      <c r="N185" s="41">
        <f>dagwerk38</f>
        <v>0</v>
      </c>
      <c r="O185" s="94" t="s">
        <v>106</v>
      </c>
      <c r="P185" s="26">
        <f>uurtarief38</f>
        <v>0</v>
      </c>
      <c r="Q185" s="96" t="e">
        <f>IF(ISBLANK(M185),0,L185/M185)</f>
        <v>#DIV/0!</v>
      </c>
      <c r="R185" s="96" t="e">
        <f>IF(ISBLANK(M185),0,Q185*N185)</f>
        <v>#DIV/0!</v>
      </c>
      <c r="S185" s="26" t="e">
        <f>P185*Q185</f>
        <v>#DIV/0!</v>
      </c>
      <c r="T185" s="96" t="e">
        <f>Q185*dagenperjaar1</f>
        <v>#DIV/0!</v>
      </c>
      <c r="U185" s="27" t="e">
        <f>T185*P185</f>
        <v>#DIV/0!</v>
      </c>
    </row>
    <row r="186" spans="1:21" x14ac:dyDescent="0.3">
      <c r="A186" s="93" t="s">
        <v>512</v>
      </c>
      <c r="B186" s="94" t="s">
        <v>40</v>
      </c>
      <c r="C186" s="94" t="s">
        <v>290</v>
      </c>
      <c r="D186" s="94" t="s">
        <v>522</v>
      </c>
      <c r="E186" s="95" t="s">
        <v>295</v>
      </c>
      <c r="F186" s="94" t="s">
        <v>296</v>
      </c>
      <c r="G186" s="94" t="s">
        <v>241</v>
      </c>
      <c r="H186" s="94" t="s">
        <v>11</v>
      </c>
      <c r="I186" s="94" t="s">
        <v>219</v>
      </c>
      <c r="J186" s="94"/>
      <c r="K186" s="96">
        <v>59</v>
      </c>
      <c r="L186" s="96">
        <f>K186*VLOOKUP(H186,dagsoorttabel1,2,FALSE)</f>
        <v>59</v>
      </c>
      <c r="M186" s="97">
        <f>prodnorm38</f>
        <v>0</v>
      </c>
      <c r="N186" s="41">
        <f>dagwerk38</f>
        <v>0</v>
      </c>
      <c r="O186" s="94" t="s">
        <v>106</v>
      </c>
      <c r="P186" s="26">
        <f>uurtarief38</f>
        <v>0</v>
      </c>
      <c r="Q186" s="96" t="e">
        <f>IF(ISBLANK(M186),0,L186/M186)</f>
        <v>#DIV/0!</v>
      </c>
      <c r="R186" s="96" t="e">
        <f>IF(ISBLANK(M186),0,Q186*N186)</f>
        <v>#DIV/0!</v>
      </c>
      <c r="S186" s="26" t="e">
        <f>P186*Q186</f>
        <v>#DIV/0!</v>
      </c>
      <c r="T186" s="96" t="e">
        <f>Q186*dagenperjaar1</f>
        <v>#DIV/0!</v>
      </c>
      <c r="U186" s="27" t="e">
        <f>T186*P186</f>
        <v>#DIV/0!</v>
      </c>
    </row>
    <row r="187" spans="1:21" x14ac:dyDescent="0.3">
      <c r="A187" s="93" t="s">
        <v>512</v>
      </c>
      <c r="B187" s="94" t="s">
        <v>40</v>
      </c>
      <c r="C187" s="94" t="s">
        <v>290</v>
      </c>
      <c r="D187" s="94" t="s">
        <v>523</v>
      </c>
      <c r="E187" s="95" t="s">
        <v>295</v>
      </c>
      <c r="F187" s="94" t="s">
        <v>296</v>
      </c>
      <c r="G187" s="94" t="s">
        <v>241</v>
      </c>
      <c r="H187" s="94" t="s">
        <v>11</v>
      </c>
      <c r="I187" s="94" t="s">
        <v>219</v>
      </c>
      <c r="J187" s="94"/>
      <c r="K187" s="96">
        <v>59</v>
      </c>
      <c r="L187" s="96">
        <f>K187*VLOOKUP(H187,dagsoorttabel1,2,FALSE)</f>
        <v>59</v>
      </c>
      <c r="M187" s="97">
        <f>prodnorm38</f>
        <v>0</v>
      </c>
      <c r="N187" s="41">
        <f>dagwerk38</f>
        <v>0</v>
      </c>
      <c r="O187" s="94" t="s">
        <v>106</v>
      </c>
      <c r="P187" s="26">
        <f>uurtarief38</f>
        <v>0</v>
      </c>
      <c r="Q187" s="96" t="e">
        <f>IF(ISBLANK(M187),0,L187/M187)</f>
        <v>#DIV/0!</v>
      </c>
      <c r="R187" s="96" t="e">
        <f>IF(ISBLANK(M187),0,Q187*N187)</f>
        <v>#DIV/0!</v>
      </c>
      <c r="S187" s="26" t="e">
        <f>P187*Q187</f>
        <v>#DIV/0!</v>
      </c>
      <c r="T187" s="96" t="e">
        <f>Q187*dagenperjaar1</f>
        <v>#DIV/0!</v>
      </c>
      <c r="U187" s="27" t="e">
        <f>T187*P187</f>
        <v>#DIV/0!</v>
      </c>
    </row>
    <row r="188" spans="1:21" x14ac:dyDescent="0.3">
      <c r="A188" s="93" t="s">
        <v>512</v>
      </c>
      <c r="B188" s="94" t="s">
        <v>40</v>
      </c>
      <c r="C188" s="94" t="s">
        <v>290</v>
      </c>
      <c r="D188" s="94" t="s">
        <v>524</v>
      </c>
      <c r="E188" s="95" t="s">
        <v>346</v>
      </c>
      <c r="F188" s="94" t="s">
        <v>347</v>
      </c>
      <c r="G188" s="94" t="s">
        <v>235</v>
      </c>
      <c r="H188" s="94" t="s">
        <v>11</v>
      </c>
      <c r="I188" s="94" t="s">
        <v>219</v>
      </c>
      <c r="J188" s="94"/>
      <c r="K188" s="96">
        <v>282</v>
      </c>
      <c r="L188" s="96">
        <f>K188*VLOOKUP(H188,dagsoorttabel1,2,FALSE)</f>
        <v>282</v>
      </c>
      <c r="M188" s="97">
        <f>prodnorm33</f>
        <v>0</v>
      </c>
      <c r="N188" s="41">
        <f>dagwerk33</f>
        <v>0</v>
      </c>
      <c r="O188" s="94" t="s">
        <v>106</v>
      </c>
      <c r="P188" s="26">
        <f>uurtarief33</f>
        <v>0</v>
      </c>
      <c r="Q188" s="96" t="e">
        <f>IF(ISBLANK(M188),0,L188/M188)</f>
        <v>#DIV/0!</v>
      </c>
      <c r="R188" s="96" t="e">
        <f>IF(ISBLANK(M188),0,Q188*N188)</f>
        <v>#DIV/0!</v>
      </c>
      <c r="S188" s="26" t="e">
        <f>P188*Q188</f>
        <v>#DIV/0!</v>
      </c>
      <c r="T188" s="96" t="e">
        <f>Q188*dagenperjaar1</f>
        <v>#DIV/0!</v>
      </c>
      <c r="U188" s="27" t="e">
        <f>T188*P188</f>
        <v>#DIV/0!</v>
      </c>
    </row>
    <row r="189" spans="1:21" x14ac:dyDescent="0.3">
      <c r="A189" s="93" t="s">
        <v>512</v>
      </c>
      <c r="B189" s="94" t="s">
        <v>40</v>
      </c>
      <c r="C189" s="94" t="s">
        <v>290</v>
      </c>
      <c r="D189" s="94" t="s">
        <v>525</v>
      </c>
      <c r="E189" s="95" t="s">
        <v>349</v>
      </c>
      <c r="F189" s="94" t="s">
        <v>347</v>
      </c>
      <c r="G189" s="94" t="s">
        <v>235</v>
      </c>
      <c r="H189" s="94" t="s">
        <v>18</v>
      </c>
      <c r="I189" s="94" t="s">
        <v>219</v>
      </c>
      <c r="J189" s="94"/>
      <c r="K189" s="96">
        <v>26</v>
      </c>
      <c r="L189" s="96">
        <f>K189*VLOOKUP(H189,dagsoorttabel1,2,FALSE)</f>
        <v>5.2</v>
      </c>
      <c r="M189" s="97">
        <f>prodnorm34</f>
        <v>0</v>
      </c>
      <c r="N189" s="41">
        <f>dagwerk34</f>
        <v>0</v>
      </c>
      <c r="O189" s="94" t="s">
        <v>106</v>
      </c>
      <c r="P189" s="26">
        <f>uurtarief34</f>
        <v>0</v>
      </c>
      <c r="Q189" s="96" t="e">
        <f>IF(ISBLANK(M189),0,L189/M189)</f>
        <v>#DIV/0!</v>
      </c>
      <c r="R189" s="96" t="e">
        <f>IF(ISBLANK(M189),0,Q189*N189)</f>
        <v>#DIV/0!</v>
      </c>
      <c r="S189" s="26" t="e">
        <f>P189*Q189</f>
        <v>#DIV/0!</v>
      </c>
      <c r="T189" s="96" t="e">
        <f>Q189*dagenperjaar1</f>
        <v>#DIV/0!</v>
      </c>
      <c r="U189" s="27" t="e">
        <f>T189*P189</f>
        <v>#DIV/0!</v>
      </c>
    </row>
    <row r="190" spans="1:21" x14ac:dyDescent="0.3">
      <c r="A190" s="93" t="s">
        <v>512</v>
      </c>
      <c r="B190" s="94" t="s">
        <v>40</v>
      </c>
      <c r="C190" s="94" t="s">
        <v>290</v>
      </c>
      <c r="D190" s="94" t="s">
        <v>526</v>
      </c>
      <c r="E190" s="95" t="s">
        <v>315</v>
      </c>
      <c r="F190" s="94" t="s">
        <v>304</v>
      </c>
      <c r="G190" s="94" t="s">
        <v>261</v>
      </c>
      <c r="H190" s="94" t="s">
        <v>11</v>
      </c>
      <c r="I190" s="94" t="s">
        <v>219</v>
      </c>
      <c r="J190" s="94"/>
      <c r="K190" s="96">
        <v>24</v>
      </c>
      <c r="L190" s="96">
        <f>K190*VLOOKUP(H190,dagsoorttabel1,2,FALSE)</f>
        <v>24</v>
      </c>
      <c r="M190" s="97">
        <f>prodnorm56</f>
        <v>0</v>
      </c>
      <c r="N190" s="41">
        <f>dagwerk56</f>
        <v>0</v>
      </c>
      <c r="O190" s="94" t="s">
        <v>106</v>
      </c>
      <c r="P190" s="26">
        <f>uurtarief56</f>
        <v>0</v>
      </c>
      <c r="Q190" s="96" t="e">
        <f>IF(ISBLANK(M190),0,L190/M190)</f>
        <v>#DIV/0!</v>
      </c>
      <c r="R190" s="96" t="e">
        <f>IF(ISBLANK(M190),0,Q190*N190)</f>
        <v>#DIV/0!</v>
      </c>
      <c r="S190" s="26" t="e">
        <f>P190*Q190</f>
        <v>#DIV/0!</v>
      </c>
      <c r="T190" s="96" t="e">
        <f>Q190*dagenperjaar1</f>
        <v>#DIV/0!</v>
      </c>
      <c r="U190" s="27" t="e">
        <f>T190*P190</f>
        <v>#DIV/0!</v>
      </c>
    </row>
    <row r="191" spans="1:21" x14ac:dyDescent="0.3">
      <c r="A191" s="93" t="s">
        <v>512</v>
      </c>
      <c r="B191" s="94" t="s">
        <v>40</v>
      </c>
      <c r="C191" s="94" t="s">
        <v>290</v>
      </c>
      <c r="D191" s="94" t="s">
        <v>527</v>
      </c>
      <c r="E191" s="95" t="s">
        <v>315</v>
      </c>
      <c r="F191" s="94" t="s">
        <v>304</v>
      </c>
      <c r="G191" s="94" t="s">
        <v>261</v>
      </c>
      <c r="H191" s="94" t="s">
        <v>11</v>
      </c>
      <c r="I191" s="94" t="s">
        <v>219</v>
      </c>
      <c r="J191" s="94"/>
      <c r="K191" s="96">
        <v>14</v>
      </c>
      <c r="L191" s="96">
        <f>K191*VLOOKUP(H191,dagsoorttabel1,2,FALSE)</f>
        <v>14</v>
      </c>
      <c r="M191" s="97">
        <f>prodnorm56</f>
        <v>0</v>
      </c>
      <c r="N191" s="41">
        <f>dagwerk56</f>
        <v>0</v>
      </c>
      <c r="O191" s="94" t="s">
        <v>106</v>
      </c>
      <c r="P191" s="26">
        <f>uurtarief56</f>
        <v>0</v>
      </c>
      <c r="Q191" s="96" t="e">
        <f>IF(ISBLANK(M191),0,L191/M191)</f>
        <v>#DIV/0!</v>
      </c>
      <c r="R191" s="96" t="e">
        <f>IF(ISBLANK(M191),0,Q191*N191)</f>
        <v>#DIV/0!</v>
      </c>
      <c r="S191" s="26" t="e">
        <f>P191*Q191</f>
        <v>#DIV/0!</v>
      </c>
      <c r="T191" s="96" t="e">
        <f>Q191*dagenperjaar1</f>
        <v>#DIV/0!</v>
      </c>
      <c r="U191" s="27" t="e">
        <f>T191*P191</f>
        <v>#DIV/0!</v>
      </c>
    </row>
    <row r="192" spans="1:21" x14ac:dyDescent="0.3">
      <c r="A192" s="93" t="s">
        <v>512</v>
      </c>
      <c r="B192" s="94" t="s">
        <v>40</v>
      </c>
      <c r="C192" s="94" t="s">
        <v>290</v>
      </c>
      <c r="D192" s="94" t="s">
        <v>528</v>
      </c>
      <c r="E192" s="95" t="s">
        <v>392</v>
      </c>
      <c r="F192" s="94" t="s">
        <v>304</v>
      </c>
      <c r="G192" s="94" t="s">
        <v>261</v>
      </c>
      <c r="H192" s="94" t="s">
        <v>11</v>
      </c>
      <c r="I192" s="94" t="s">
        <v>219</v>
      </c>
      <c r="J192" s="94"/>
      <c r="K192" s="96">
        <v>4</v>
      </c>
      <c r="L192" s="96">
        <f>K192*VLOOKUP(H192,dagsoorttabel1,2,FALSE)</f>
        <v>4</v>
      </c>
      <c r="M192" s="97">
        <f>prodnorm56</f>
        <v>0</v>
      </c>
      <c r="N192" s="41">
        <f>dagwerk56</f>
        <v>0</v>
      </c>
      <c r="O192" s="94" t="s">
        <v>106</v>
      </c>
      <c r="P192" s="26">
        <f>uurtarief56</f>
        <v>0</v>
      </c>
      <c r="Q192" s="96" t="e">
        <f>IF(ISBLANK(M192),0,L192/M192)</f>
        <v>#DIV/0!</v>
      </c>
      <c r="R192" s="96" t="e">
        <f>IF(ISBLANK(M192),0,Q192*N192)</f>
        <v>#DIV/0!</v>
      </c>
      <c r="S192" s="26" t="e">
        <f>P192*Q192</f>
        <v>#DIV/0!</v>
      </c>
      <c r="T192" s="96" t="e">
        <f>Q192*dagenperjaar1</f>
        <v>#DIV/0!</v>
      </c>
      <c r="U192" s="27" t="e">
        <f>T192*P192</f>
        <v>#DIV/0!</v>
      </c>
    </row>
    <row r="193" spans="1:21" x14ac:dyDescent="0.3">
      <c r="A193" s="93" t="s">
        <v>512</v>
      </c>
      <c r="B193" s="94" t="s">
        <v>40</v>
      </c>
      <c r="C193" s="94" t="s">
        <v>290</v>
      </c>
      <c r="D193" s="94" t="s">
        <v>529</v>
      </c>
      <c r="E193" s="95" t="s">
        <v>319</v>
      </c>
      <c r="F193" s="94" t="s">
        <v>320</v>
      </c>
      <c r="G193" s="94" t="s">
        <v>253</v>
      </c>
      <c r="H193" s="94" t="s">
        <v>11</v>
      </c>
      <c r="I193" s="94" t="s">
        <v>219</v>
      </c>
      <c r="J193" s="94"/>
      <c r="K193" s="96">
        <v>60.6</v>
      </c>
      <c r="L193" s="96">
        <f>K193*VLOOKUP(H193,dagsoorttabel1,2,FALSE)</f>
        <v>60.6</v>
      </c>
      <c r="M193" s="97">
        <f>prodnorm49</f>
        <v>0</v>
      </c>
      <c r="N193" s="41">
        <f>dagwerk49</f>
        <v>0</v>
      </c>
      <c r="O193" s="94" t="s">
        <v>106</v>
      </c>
      <c r="P193" s="26">
        <f>uurtarief49</f>
        <v>0</v>
      </c>
      <c r="Q193" s="96" t="e">
        <f>IF(ISBLANK(M193),0,L193/M193)</f>
        <v>#DIV/0!</v>
      </c>
      <c r="R193" s="96" t="e">
        <f>IF(ISBLANK(M193),0,Q193*N193)</f>
        <v>#DIV/0!</v>
      </c>
      <c r="S193" s="26" t="e">
        <f>P193*Q193</f>
        <v>#DIV/0!</v>
      </c>
      <c r="T193" s="96" t="e">
        <f>Q193*dagenperjaar1</f>
        <v>#DIV/0!</v>
      </c>
      <c r="U193" s="27" t="e">
        <f>T193*P193</f>
        <v>#DIV/0!</v>
      </c>
    </row>
    <row r="194" spans="1:21" x14ac:dyDescent="0.3">
      <c r="A194" s="93" t="s">
        <v>512</v>
      </c>
      <c r="B194" s="94" t="s">
        <v>40</v>
      </c>
      <c r="C194" s="94" t="s">
        <v>290</v>
      </c>
      <c r="D194" s="94" t="s">
        <v>530</v>
      </c>
      <c r="E194" s="95" t="s">
        <v>295</v>
      </c>
      <c r="F194" s="94" t="s">
        <v>320</v>
      </c>
      <c r="G194" s="94" t="s">
        <v>241</v>
      </c>
      <c r="H194" s="94" t="s">
        <v>11</v>
      </c>
      <c r="I194" s="94" t="s">
        <v>219</v>
      </c>
      <c r="J194" s="94"/>
      <c r="K194" s="96">
        <v>75.400000000000006</v>
      </c>
      <c r="L194" s="96">
        <f>K194*VLOOKUP(H194,dagsoorttabel1,2,FALSE)</f>
        <v>75.400000000000006</v>
      </c>
      <c r="M194" s="97">
        <f>prodnorm38</f>
        <v>0</v>
      </c>
      <c r="N194" s="41">
        <f>dagwerk38</f>
        <v>0</v>
      </c>
      <c r="O194" s="94" t="s">
        <v>106</v>
      </c>
      <c r="P194" s="26">
        <f>uurtarief38</f>
        <v>0</v>
      </c>
      <c r="Q194" s="96" t="e">
        <f>IF(ISBLANK(M194),0,L194/M194)</f>
        <v>#DIV/0!</v>
      </c>
      <c r="R194" s="96" t="e">
        <f>IF(ISBLANK(M194),0,Q194*N194)</f>
        <v>#DIV/0!</v>
      </c>
      <c r="S194" s="26" t="e">
        <f>P194*Q194</f>
        <v>#DIV/0!</v>
      </c>
      <c r="T194" s="96" t="e">
        <f>Q194*dagenperjaar1</f>
        <v>#DIV/0!</v>
      </c>
      <c r="U194" s="27" t="e">
        <f>T194*P194</f>
        <v>#DIV/0!</v>
      </c>
    </row>
    <row r="195" spans="1:21" x14ac:dyDescent="0.3">
      <c r="A195" s="93" t="s">
        <v>512</v>
      </c>
      <c r="B195" s="94" t="s">
        <v>40</v>
      </c>
      <c r="C195" s="94" t="s">
        <v>290</v>
      </c>
      <c r="D195" s="94" t="s">
        <v>531</v>
      </c>
      <c r="E195" s="95" t="s">
        <v>308</v>
      </c>
      <c r="F195" s="94" t="s">
        <v>532</v>
      </c>
      <c r="G195" s="94" t="s">
        <v>223</v>
      </c>
      <c r="H195" s="94" t="s">
        <v>11</v>
      </c>
      <c r="I195" s="94" t="s">
        <v>219</v>
      </c>
      <c r="J195" s="94"/>
      <c r="K195" s="96">
        <v>15.4</v>
      </c>
      <c r="L195" s="96">
        <f>K195*VLOOKUP(H195,dagsoorttabel1,2,FALSE)</f>
        <v>15.4</v>
      </c>
      <c r="M195" s="97">
        <f>prodnorm18</f>
        <v>0</v>
      </c>
      <c r="N195" s="41">
        <f>dagwerk18</f>
        <v>0</v>
      </c>
      <c r="O195" s="94" t="s">
        <v>106</v>
      </c>
      <c r="P195" s="26">
        <f>uurtarief18</f>
        <v>0</v>
      </c>
      <c r="Q195" s="96" t="e">
        <f>IF(ISBLANK(M195),0,L195/M195)</f>
        <v>#DIV/0!</v>
      </c>
      <c r="R195" s="96" t="e">
        <f>IF(ISBLANK(M195),0,Q195*N195)</f>
        <v>#DIV/0!</v>
      </c>
      <c r="S195" s="26" t="e">
        <f>P195*Q195</f>
        <v>#DIV/0!</v>
      </c>
      <c r="T195" s="96" t="e">
        <f>Q195*dagenperjaar1</f>
        <v>#DIV/0!</v>
      </c>
      <c r="U195" s="27" t="e">
        <f>T195*P195</f>
        <v>#DIV/0!</v>
      </c>
    </row>
    <row r="196" spans="1:21" x14ac:dyDescent="0.3">
      <c r="A196" s="93" t="s">
        <v>512</v>
      </c>
      <c r="B196" s="94" t="s">
        <v>40</v>
      </c>
      <c r="C196" s="94" t="s">
        <v>290</v>
      </c>
      <c r="D196" s="94" t="s">
        <v>533</v>
      </c>
      <c r="E196" s="95" t="s">
        <v>338</v>
      </c>
      <c r="F196" s="94" t="s">
        <v>296</v>
      </c>
      <c r="G196" s="94" t="s">
        <v>267</v>
      </c>
      <c r="H196" s="94" t="s">
        <v>11</v>
      </c>
      <c r="I196" s="94" t="s">
        <v>219</v>
      </c>
      <c r="J196" s="94"/>
      <c r="K196" s="96">
        <v>1.8</v>
      </c>
      <c r="L196" s="96">
        <f>K196*VLOOKUP(H196,dagsoorttabel1,2,FALSE)</f>
        <v>1.8</v>
      </c>
      <c r="M196" s="97">
        <f>prodnorm63</f>
        <v>0</v>
      </c>
      <c r="N196" s="41">
        <f>dagwerk63</f>
        <v>0</v>
      </c>
      <c r="O196" s="94" t="s">
        <v>106</v>
      </c>
      <c r="P196" s="26">
        <f>uurtarief63</f>
        <v>0</v>
      </c>
      <c r="Q196" s="96" t="e">
        <f>IF(ISBLANK(M196),0,L196/M196)</f>
        <v>#DIV/0!</v>
      </c>
      <c r="R196" s="96" t="e">
        <f>IF(ISBLANK(M196),0,Q196*N196)</f>
        <v>#DIV/0!</v>
      </c>
      <c r="S196" s="26" t="e">
        <f>P196*Q196</f>
        <v>#DIV/0!</v>
      </c>
      <c r="T196" s="96" t="e">
        <f>Q196*dagenperjaar1</f>
        <v>#DIV/0!</v>
      </c>
      <c r="U196" s="27" t="e">
        <f>T196*P196</f>
        <v>#DIV/0!</v>
      </c>
    </row>
    <row r="197" spans="1:21" x14ac:dyDescent="0.3">
      <c r="A197" s="93" t="s">
        <v>512</v>
      </c>
      <c r="B197" s="94" t="s">
        <v>40</v>
      </c>
      <c r="C197" s="94" t="s">
        <v>290</v>
      </c>
      <c r="D197" s="94" t="s">
        <v>534</v>
      </c>
      <c r="E197" s="95" t="s">
        <v>409</v>
      </c>
      <c r="F197" s="94" t="s">
        <v>296</v>
      </c>
      <c r="G197" s="94" t="s">
        <v>267</v>
      </c>
      <c r="H197" s="94" t="s">
        <v>11</v>
      </c>
      <c r="I197" s="94" t="s">
        <v>219</v>
      </c>
      <c r="J197" s="94"/>
      <c r="K197" s="96">
        <v>8.9</v>
      </c>
      <c r="L197" s="96">
        <f>K197*VLOOKUP(H197,dagsoorttabel1,2,FALSE)</f>
        <v>8.9</v>
      </c>
      <c r="M197" s="97">
        <f>prodnorm63</f>
        <v>0</v>
      </c>
      <c r="N197" s="41">
        <f>dagwerk63</f>
        <v>0</v>
      </c>
      <c r="O197" s="94" t="s">
        <v>106</v>
      </c>
      <c r="P197" s="26">
        <f>uurtarief63</f>
        <v>0</v>
      </c>
      <c r="Q197" s="96" t="e">
        <f>IF(ISBLANK(M197),0,L197/M197)</f>
        <v>#DIV/0!</v>
      </c>
      <c r="R197" s="96" t="e">
        <f>IF(ISBLANK(M197),0,Q197*N197)</f>
        <v>#DIV/0!</v>
      </c>
      <c r="S197" s="26" t="e">
        <f>P197*Q197</f>
        <v>#DIV/0!</v>
      </c>
      <c r="T197" s="96" t="e">
        <f>Q197*dagenperjaar1</f>
        <v>#DIV/0!</v>
      </c>
      <c r="U197" s="27" t="e">
        <f>T197*P197</f>
        <v>#DIV/0!</v>
      </c>
    </row>
    <row r="198" spans="1:21" x14ac:dyDescent="0.3">
      <c r="A198" s="93" t="s">
        <v>512</v>
      </c>
      <c r="B198" s="94" t="s">
        <v>40</v>
      </c>
      <c r="C198" s="94" t="s">
        <v>290</v>
      </c>
      <c r="D198" s="94" t="s">
        <v>535</v>
      </c>
      <c r="E198" s="95" t="s">
        <v>308</v>
      </c>
      <c r="F198" s="94" t="s">
        <v>293</v>
      </c>
      <c r="G198" s="94" t="s">
        <v>225</v>
      </c>
      <c r="H198" s="94" t="s">
        <v>11</v>
      </c>
      <c r="I198" s="94" t="s">
        <v>219</v>
      </c>
      <c r="J198" s="94"/>
      <c r="K198" s="96">
        <v>33.6</v>
      </c>
      <c r="L198" s="96">
        <f>K198*VLOOKUP(H198,dagsoorttabel1,2,FALSE)</f>
        <v>33.6</v>
      </c>
      <c r="M198" s="97">
        <f>prodnorm22</f>
        <v>0</v>
      </c>
      <c r="N198" s="41">
        <f>dagwerk22</f>
        <v>0</v>
      </c>
      <c r="O198" s="94" t="s">
        <v>106</v>
      </c>
      <c r="P198" s="26">
        <f>uurtarief22</f>
        <v>0</v>
      </c>
      <c r="Q198" s="96" t="e">
        <f>IF(ISBLANK(M198),0,L198/M198)</f>
        <v>#DIV/0!</v>
      </c>
      <c r="R198" s="96" t="e">
        <f>IF(ISBLANK(M198),0,Q198*N198)</f>
        <v>#DIV/0!</v>
      </c>
      <c r="S198" s="26" t="e">
        <f>P198*Q198</f>
        <v>#DIV/0!</v>
      </c>
      <c r="T198" s="96" t="e">
        <f>Q198*dagenperjaar1</f>
        <v>#DIV/0!</v>
      </c>
      <c r="U198" s="27" t="e">
        <f>T198*P198</f>
        <v>#DIV/0!</v>
      </c>
    </row>
    <row r="199" spans="1:21" x14ac:dyDescent="0.3">
      <c r="A199" s="93" t="s">
        <v>512</v>
      </c>
      <c r="B199" s="94" t="s">
        <v>40</v>
      </c>
      <c r="C199" s="94" t="s">
        <v>290</v>
      </c>
      <c r="D199" s="94" t="s">
        <v>536</v>
      </c>
      <c r="E199" s="95" t="s">
        <v>537</v>
      </c>
      <c r="F199" s="94" t="s">
        <v>296</v>
      </c>
      <c r="G199" s="94" t="s">
        <v>241</v>
      </c>
      <c r="H199" s="94" t="s">
        <v>11</v>
      </c>
      <c r="I199" s="94" t="s">
        <v>219</v>
      </c>
      <c r="J199" s="94"/>
      <c r="K199" s="96">
        <v>104</v>
      </c>
      <c r="L199" s="96">
        <f>K199*VLOOKUP(H199,dagsoorttabel1,2,FALSE)</f>
        <v>104</v>
      </c>
      <c r="M199" s="97">
        <f>prodnorm38</f>
        <v>0</v>
      </c>
      <c r="N199" s="41">
        <f>dagwerk38</f>
        <v>0</v>
      </c>
      <c r="O199" s="94" t="s">
        <v>106</v>
      </c>
      <c r="P199" s="26">
        <f>uurtarief38</f>
        <v>0</v>
      </c>
      <c r="Q199" s="96" t="e">
        <f>IF(ISBLANK(M199),0,L199/M199)</f>
        <v>#DIV/0!</v>
      </c>
      <c r="R199" s="96" t="e">
        <f>IF(ISBLANK(M199),0,Q199*N199)</f>
        <v>#DIV/0!</v>
      </c>
      <c r="S199" s="26" t="e">
        <f>P199*Q199</f>
        <v>#DIV/0!</v>
      </c>
      <c r="T199" s="96" t="e">
        <f>Q199*dagenperjaar1</f>
        <v>#DIV/0!</v>
      </c>
      <c r="U199" s="27" t="e">
        <f>T199*P199</f>
        <v>#DIV/0!</v>
      </c>
    </row>
    <row r="200" spans="1:21" x14ac:dyDescent="0.3">
      <c r="A200" s="93" t="s">
        <v>512</v>
      </c>
      <c r="B200" s="94" t="s">
        <v>40</v>
      </c>
      <c r="C200" s="94" t="s">
        <v>290</v>
      </c>
      <c r="D200" s="94" t="s">
        <v>538</v>
      </c>
      <c r="E200" s="95" t="s">
        <v>308</v>
      </c>
      <c r="F200" s="94" t="s">
        <v>532</v>
      </c>
      <c r="G200" s="94" t="s">
        <v>223</v>
      </c>
      <c r="H200" s="94" t="s">
        <v>11</v>
      </c>
      <c r="I200" s="94" t="s">
        <v>219</v>
      </c>
      <c r="J200" s="94"/>
      <c r="K200" s="96">
        <v>5.7</v>
      </c>
      <c r="L200" s="96">
        <f>K200*VLOOKUP(H200,dagsoorttabel1,2,FALSE)</f>
        <v>5.7</v>
      </c>
      <c r="M200" s="97">
        <f>prodnorm18</f>
        <v>0</v>
      </c>
      <c r="N200" s="41">
        <f>dagwerk18</f>
        <v>0</v>
      </c>
      <c r="O200" s="94" t="s">
        <v>106</v>
      </c>
      <c r="P200" s="26">
        <f>uurtarief18</f>
        <v>0</v>
      </c>
      <c r="Q200" s="96" t="e">
        <f>IF(ISBLANK(M200),0,L200/M200)</f>
        <v>#DIV/0!</v>
      </c>
      <c r="R200" s="96" t="e">
        <f>IF(ISBLANK(M200),0,Q200*N200)</f>
        <v>#DIV/0!</v>
      </c>
      <c r="S200" s="26" t="e">
        <f>P200*Q200</f>
        <v>#DIV/0!</v>
      </c>
      <c r="T200" s="96" t="e">
        <f>Q200*dagenperjaar1</f>
        <v>#DIV/0!</v>
      </c>
      <c r="U200" s="27" t="e">
        <f>T200*P200</f>
        <v>#DIV/0!</v>
      </c>
    </row>
    <row r="201" spans="1:21" x14ac:dyDescent="0.3">
      <c r="A201" s="93" t="s">
        <v>512</v>
      </c>
      <c r="B201" s="94" t="s">
        <v>40</v>
      </c>
      <c r="C201" s="94" t="s">
        <v>290</v>
      </c>
      <c r="D201" s="94" t="s">
        <v>539</v>
      </c>
      <c r="E201" s="95" t="s">
        <v>303</v>
      </c>
      <c r="F201" s="94" t="s">
        <v>296</v>
      </c>
      <c r="G201" s="94" t="s">
        <v>265</v>
      </c>
      <c r="H201" s="94" t="s">
        <v>11</v>
      </c>
      <c r="I201" s="94" t="s">
        <v>219</v>
      </c>
      <c r="J201" s="94"/>
      <c r="K201" s="96">
        <v>30</v>
      </c>
      <c r="L201" s="96">
        <f>K201*VLOOKUP(H201,dagsoorttabel1,2,FALSE)</f>
        <v>30</v>
      </c>
      <c r="M201" s="97">
        <f>prodnorm61</f>
        <v>0</v>
      </c>
      <c r="N201" s="41">
        <f>dagwerk61</f>
        <v>0</v>
      </c>
      <c r="O201" s="94" t="s">
        <v>106</v>
      </c>
      <c r="P201" s="26">
        <f>uurtarief61</f>
        <v>0</v>
      </c>
      <c r="Q201" s="96" t="e">
        <f>IF(ISBLANK(M201),0,L201/M201)</f>
        <v>#DIV/0!</v>
      </c>
      <c r="R201" s="96" t="e">
        <f>IF(ISBLANK(M201),0,Q201*N201)</f>
        <v>#DIV/0!</v>
      </c>
      <c r="S201" s="26" t="e">
        <f>P201*Q201</f>
        <v>#DIV/0!</v>
      </c>
      <c r="T201" s="96" t="e">
        <f>Q201*dagenperjaar1</f>
        <v>#DIV/0!</v>
      </c>
      <c r="U201" s="27" t="e">
        <f>T201*P201</f>
        <v>#DIV/0!</v>
      </c>
    </row>
    <row r="202" spans="1:21" x14ac:dyDescent="0.3">
      <c r="A202" s="93" t="s">
        <v>512</v>
      </c>
      <c r="B202" s="94" t="s">
        <v>40</v>
      </c>
      <c r="C202" s="94" t="s">
        <v>290</v>
      </c>
      <c r="D202" s="94" t="s">
        <v>540</v>
      </c>
      <c r="E202" s="95" t="s">
        <v>338</v>
      </c>
      <c r="F202" s="94" t="s">
        <v>296</v>
      </c>
      <c r="G202" s="94" t="s">
        <v>267</v>
      </c>
      <c r="H202" s="94" t="s">
        <v>11</v>
      </c>
      <c r="I202" s="94" t="s">
        <v>219</v>
      </c>
      <c r="J202" s="94"/>
      <c r="K202" s="96">
        <v>9</v>
      </c>
      <c r="L202" s="96">
        <f>K202*VLOOKUP(H202,dagsoorttabel1,2,FALSE)</f>
        <v>9</v>
      </c>
      <c r="M202" s="97">
        <f>prodnorm63</f>
        <v>0</v>
      </c>
      <c r="N202" s="41">
        <f>dagwerk63</f>
        <v>0</v>
      </c>
      <c r="O202" s="94" t="s">
        <v>106</v>
      </c>
      <c r="P202" s="26">
        <f>uurtarief63</f>
        <v>0</v>
      </c>
      <c r="Q202" s="96" t="e">
        <f>IF(ISBLANK(M202),0,L202/M202)</f>
        <v>#DIV/0!</v>
      </c>
      <c r="R202" s="96" t="e">
        <f>IF(ISBLANK(M202),0,Q202*N202)</f>
        <v>#DIV/0!</v>
      </c>
      <c r="S202" s="26" t="e">
        <f>P202*Q202</f>
        <v>#DIV/0!</v>
      </c>
      <c r="T202" s="96" t="e">
        <f>Q202*dagenperjaar1</f>
        <v>#DIV/0!</v>
      </c>
      <c r="U202" s="27" t="e">
        <f>T202*P202</f>
        <v>#DIV/0!</v>
      </c>
    </row>
    <row r="203" spans="1:21" x14ac:dyDescent="0.3">
      <c r="A203" s="93" t="s">
        <v>512</v>
      </c>
      <c r="B203" s="94" t="s">
        <v>40</v>
      </c>
      <c r="C203" s="94" t="s">
        <v>290</v>
      </c>
      <c r="D203" s="94" t="s">
        <v>541</v>
      </c>
      <c r="E203" s="95" t="s">
        <v>308</v>
      </c>
      <c r="F203" s="94" t="s">
        <v>296</v>
      </c>
      <c r="G203" s="94" t="s">
        <v>223</v>
      </c>
      <c r="H203" s="94" t="s">
        <v>11</v>
      </c>
      <c r="I203" s="94" t="s">
        <v>219</v>
      </c>
      <c r="J203" s="94"/>
      <c r="K203" s="96">
        <v>24</v>
      </c>
      <c r="L203" s="96">
        <f>K203*VLOOKUP(H203,dagsoorttabel1,2,FALSE)</f>
        <v>24</v>
      </c>
      <c r="M203" s="97">
        <f>prodnorm18</f>
        <v>0</v>
      </c>
      <c r="N203" s="41">
        <f>dagwerk18</f>
        <v>0</v>
      </c>
      <c r="O203" s="94" t="s">
        <v>106</v>
      </c>
      <c r="P203" s="26">
        <f>uurtarief18</f>
        <v>0</v>
      </c>
      <c r="Q203" s="96" t="e">
        <f>IF(ISBLANK(M203),0,L203/M203)</f>
        <v>#DIV/0!</v>
      </c>
      <c r="R203" s="96" t="e">
        <f>IF(ISBLANK(M203),0,Q203*N203)</f>
        <v>#DIV/0!</v>
      </c>
      <c r="S203" s="26" t="e">
        <f>P203*Q203</f>
        <v>#DIV/0!</v>
      </c>
      <c r="T203" s="96" t="e">
        <f>Q203*dagenperjaar1</f>
        <v>#DIV/0!</v>
      </c>
      <c r="U203" s="27" t="e">
        <f>T203*P203</f>
        <v>#DIV/0!</v>
      </c>
    </row>
    <row r="204" spans="1:21" x14ac:dyDescent="0.3">
      <c r="A204" s="93" t="s">
        <v>512</v>
      </c>
      <c r="B204" s="94" t="s">
        <v>40</v>
      </c>
      <c r="C204" s="94" t="s">
        <v>290</v>
      </c>
      <c r="D204" s="94" t="s">
        <v>542</v>
      </c>
      <c r="E204" s="95" t="s">
        <v>308</v>
      </c>
      <c r="F204" s="94" t="s">
        <v>293</v>
      </c>
      <c r="G204" s="94" t="s">
        <v>225</v>
      </c>
      <c r="H204" s="94" t="s">
        <v>11</v>
      </c>
      <c r="I204" s="94" t="s">
        <v>219</v>
      </c>
      <c r="J204" s="94"/>
      <c r="K204" s="96">
        <v>18</v>
      </c>
      <c r="L204" s="96">
        <f>K204*VLOOKUP(H204,dagsoorttabel1,2,FALSE)</f>
        <v>18</v>
      </c>
      <c r="M204" s="97">
        <f>prodnorm22</f>
        <v>0</v>
      </c>
      <c r="N204" s="41">
        <f>dagwerk22</f>
        <v>0</v>
      </c>
      <c r="O204" s="94" t="s">
        <v>106</v>
      </c>
      <c r="P204" s="26">
        <f>uurtarief22</f>
        <v>0</v>
      </c>
      <c r="Q204" s="96" t="e">
        <f>IF(ISBLANK(M204),0,L204/M204)</f>
        <v>#DIV/0!</v>
      </c>
      <c r="R204" s="96" t="e">
        <f>IF(ISBLANK(M204),0,Q204*N204)</f>
        <v>#DIV/0!</v>
      </c>
      <c r="S204" s="26" t="e">
        <f>P204*Q204</f>
        <v>#DIV/0!</v>
      </c>
      <c r="T204" s="96" t="e">
        <f>Q204*dagenperjaar1</f>
        <v>#DIV/0!</v>
      </c>
      <c r="U204" s="27" t="e">
        <f>T204*P204</f>
        <v>#DIV/0!</v>
      </c>
    </row>
    <row r="205" spans="1:21" x14ac:dyDescent="0.3">
      <c r="A205" s="93" t="s">
        <v>512</v>
      </c>
      <c r="B205" s="94" t="s">
        <v>40</v>
      </c>
      <c r="C205" s="94" t="s">
        <v>290</v>
      </c>
      <c r="D205" s="94" t="s">
        <v>543</v>
      </c>
      <c r="E205" s="95" t="s">
        <v>308</v>
      </c>
      <c r="F205" s="94" t="s">
        <v>293</v>
      </c>
      <c r="G205" s="94" t="s">
        <v>225</v>
      </c>
      <c r="H205" s="94" t="s">
        <v>11</v>
      </c>
      <c r="I205" s="94" t="s">
        <v>219</v>
      </c>
      <c r="J205" s="94"/>
      <c r="K205" s="96">
        <v>30</v>
      </c>
      <c r="L205" s="96">
        <f>K205*VLOOKUP(H205,dagsoorttabel1,2,FALSE)</f>
        <v>30</v>
      </c>
      <c r="M205" s="97">
        <f>prodnorm22</f>
        <v>0</v>
      </c>
      <c r="N205" s="41">
        <f>dagwerk22</f>
        <v>0</v>
      </c>
      <c r="O205" s="94" t="s">
        <v>106</v>
      </c>
      <c r="P205" s="26">
        <f>uurtarief22</f>
        <v>0</v>
      </c>
      <c r="Q205" s="96" t="e">
        <f>IF(ISBLANK(M205),0,L205/M205)</f>
        <v>#DIV/0!</v>
      </c>
      <c r="R205" s="96" t="e">
        <f>IF(ISBLANK(M205),0,Q205*N205)</f>
        <v>#DIV/0!</v>
      </c>
      <c r="S205" s="26" t="e">
        <f>P205*Q205</f>
        <v>#DIV/0!</v>
      </c>
      <c r="T205" s="96" t="e">
        <f>Q205*dagenperjaar1</f>
        <v>#DIV/0!</v>
      </c>
      <c r="U205" s="27" t="e">
        <f>T205*P205</f>
        <v>#DIV/0!</v>
      </c>
    </row>
    <row r="206" spans="1:21" x14ac:dyDescent="0.3">
      <c r="A206" s="93" t="s">
        <v>512</v>
      </c>
      <c r="B206" s="94" t="s">
        <v>40</v>
      </c>
      <c r="C206" s="94" t="s">
        <v>290</v>
      </c>
      <c r="D206" s="94" t="s">
        <v>544</v>
      </c>
      <c r="E206" s="95" t="s">
        <v>295</v>
      </c>
      <c r="F206" s="94" t="s">
        <v>296</v>
      </c>
      <c r="G206" s="94" t="s">
        <v>241</v>
      </c>
      <c r="H206" s="94" t="s">
        <v>11</v>
      </c>
      <c r="I206" s="94" t="s">
        <v>219</v>
      </c>
      <c r="J206" s="94"/>
      <c r="K206" s="96">
        <v>59</v>
      </c>
      <c r="L206" s="96">
        <f>K206*VLOOKUP(H206,dagsoorttabel1,2,FALSE)</f>
        <v>59</v>
      </c>
      <c r="M206" s="97">
        <f>prodnorm38</f>
        <v>0</v>
      </c>
      <c r="N206" s="41">
        <f>dagwerk38</f>
        <v>0</v>
      </c>
      <c r="O206" s="94" t="s">
        <v>106</v>
      </c>
      <c r="P206" s="26">
        <f>uurtarief38</f>
        <v>0</v>
      </c>
      <c r="Q206" s="96" t="e">
        <f>IF(ISBLANK(M206),0,L206/M206)</f>
        <v>#DIV/0!</v>
      </c>
      <c r="R206" s="96" t="e">
        <f>IF(ISBLANK(M206),0,Q206*N206)</f>
        <v>#DIV/0!</v>
      </c>
      <c r="S206" s="26" t="e">
        <f>P206*Q206</f>
        <v>#DIV/0!</v>
      </c>
      <c r="T206" s="96" t="e">
        <f>Q206*dagenperjaar1</f>
        <v>#DIV/0!</v>
      </c>
      <c r="U206" s="27" t="e">
        <f>T206*P206</f>
        <v>#DIV/0!</v>
      </c>
    </row>
    <row r="207" spans="1:21" x14ac:dyDescent="0.3">
      <c r="A207" s="93" t="s">
        <v>512</v>
      </c>
      <c r="B207" s="94" t="s">
        <v>40</v>
      </c>
      <c r="C207" s="94" t="s">
        <v>290</v>
      </c>
      <c r="D207" s="94" t="s">
        <v>545</v>
      </c>
      <c r="E207" s="95" t="s">
        <v>295</v>
      </c>
      <c r="F207" s="94" t="s">
        <v>296</v>
      </c>
      <c r="G207" s="94" t="s">
        <v>241</v>
      </c>
      <c r="H207" s="94" t="s">
        <v>11</v>
      </c>
      <c r="I207" s="94" t="s">
        <v>219</v>
      </c>
      <c r="J207" s="94"/>
      <c r="K207" s="96">
        <v>59</v>
      </c>
      <c r="L207" s="96">
        <f>K207*VLOOKUP(H207,dagsoorttabel1,2,FALSE)</f>
        <v>59</v>
      </c>
      <c r="M207" s="97">
        <f>prodnorm38</f>
        <v>0</v>
      </c>
      <c r="N207" s="41">
        <f>dagwerk38</f>
        <v>0</v>
      </c>
      <c r="O207" s="94" t="s">
        <v>106</v>
      </c>
      <c r="P207" s="26">
        <f>uurtarief38</f>
        <v>0</v>
      </c>
      <c r="Q207" s="96" t="e">
        <f>IF(ISBLANK(M207),0,L207/M207)</f>
        <v>#DIV/0!</v>
      </c>
      <c r="R207" s="96" t="e">
        <f>IF(ISBLANK(M207),0,Q207*N207)</f>
        <v>#DIV/0!</v>
      </c>
      <c r="S207" s="26" t="e">
        <f>P207*Q207</f>
        <v>#DIV/0!</v>
      </c>
      <c r="T207" s="96" t="e">
        <f>Q207*dagenperjaar1</f>
        <v>#DIV/0!</v>
      </c>
      <c r="U207" s="27" t="e">
        <f>T207*P207</f>
        <v>#DIV/0!</v>
      </c>
    </row>
    <row r="208" spans="1:21" x14ac:dyDescent="0.3">
      <c r="A208" s="93" t="s">
        <v>512</v>
      </c>
      <c r="B208" s="94" t="s">
        <v>40</v>
      </c>
      <c r="C208" s="94" t="s">
        <v>290</v>
      </c>
      <c r="D208" s="94" t="s">
        <v>546</v>
      </c>
      <c r="E208" s="95" t="s">
        <v>380</v>
      </c>
      <c r="F208" s="94" t="s">
        <v>296</v>
      </c>
      <c r="G208" s="94" t="s">
        <v>237</v>
      </c>
      <c r="H208" s="94" t="s">
        <v>11</v>
      </c>
      <c r="I208" s="94" t="s">
        <v>219</v>
      </c>
      <c r="J208" s="94"/>
      <c r="K208" s="96">
        <v>4</v>
      </c>
      <c r="L208" s="96">
        <f>K208*VLOOKUP(H208,dagsoorttabel1,2,FALSE)</f>
        <v>4</v>
      </c>
      <c r="M208" s="97">
        <f>prodnorm35</f>
        <v>0</v>
      </c>
      <c r="N208" s="41">
        <f>dagwerk35</f>
        <v>0</v>
      </c>
      <c r="O208" s="94" t="s">
        <v>106</v>
      </c>
      <c r="P208" s="26">
        <f>uurtarief35</f>
        <v>0</v>
      </c>
      <c r="Q208" s="96" t="e">
        <f>IF(ISBLANK(M208),0,L208/M208)</f>
        <v>#DIV/0!</v>
      </c>
      <c r="R208" s="96" t="e">
        <f>IF(ISBLANK(M208),0,Q208*N208)</f>
        <v>#DIV/0!</v>
      </c>
      <c r="S208" s="26" t="e">
        <f>P208*Q208</f>
        <v>#DIV/0!</v>
      </c>
      <c r="T208" s="96" t="e">
        <f>Q208*dagenperjaar1</f>
        <v>#DIV/0!</v>
      </c>
      <c r="U208" s="27" t="e">
        <f>T208*P208</f>
        <v>#DIV/0!</v>
      </c>
    </row>
    <row r="209" spans="1:21" x14ac:dyDescent="0.3">
      <c r="A209" s="93" t="s">
        <v>512</v>
      </c>
      <c r="B209" s="94" t="s">
        <v>40</v>
      </c>
      <c r="C209" s="94" t="s">
        <v>290</v>
      </c>
      <c r="D209" s="94" t="s">
        <v>547</v>
      </c>
      <c r="E209" s="95" t="s">
        <v>329</v>
      </c>
      <c r="F209" s="94" t="s">
        <v>296</v>
      </c>
      <c r="G209" s="94" t="s">
        <v>218</v>
      </c>
      <c r="H209" s="94" t="s">
        <v>11</v>
      </c>
      <c r="I209" s="94" t="s">
        <v>219</v>
      </c>
      <c r="J209" s="94"/>
      <c r="K209" s="96">
        <v>293</v>
      </c>
      <c r="L209" s="96">
        <f>K209*VLOOKUP(H209,dagsoorttabel1,2,FALSE)</f>
        <v>293</v>
      </c>
      <c r="M209" s="97">
        <f>prodnorm16</f>
        <v>0</v>
      </c>
      <c r="N209" s="41">
        <f>dagwerk16</f>
        <v>0</v>
      </c>
      <c r="O209" s="94" t="s">
        <v>106</v>
      </c>
      <c r="P209" s="26">
        <f>uurtarief16</f>
        <v>0</v>
      </c>
      <c r="Q209" s="96" t="e">
        <f>IF(ISBLANK(M209),0,L209/M209)</f>
        <v>#DIV/0!</v>
      </c>
      <c r="R209" s="96" t="e">
        <f>IF(ISBLANK(M209),0,Q209*N209)</f>
        <v>#DIV/0!</v>
      </c>
      <c r="S209" s="26" t="e">
        <f>P209*Q209</f>
        <v>#DIV/0!</v>
      </c>
      <c r="T209" s="96" t="e">
        <f>Q209*dagenperjaar1</f>
        <v>#DIV/0!</v>
      </c>
      <c r="U209" s="27" t="e">
        <f>T209*P209</f>
        <v>#DIV/0!</v>
      </c>
    </row>
    <row r="210" spans="1:21" x14ac:dyDescent="0.3">
      <c r="A210" s="93" t="s">
        <v>512</v>
      </c>
      <c r="B210" s="94" t="s">
        <v>40</v>
      </c>
      <c r="C210" s="94" t="s">
        <v>290</v>
      </c>
      <c r="D210" s="94" t="s">
        <v>548</v>
      </c>
      <c r="E210" s="95" t="s">
        <v>549</v>
      </c>
      <c r="F210" s="94" t="s">
        <v>296</v>
      </c>
      <c r="G210" s="94" t="s">
        <v>251</v>
      </c>
      <c r="H210" s="94" t="s">
        <v>11</v>
      </c>
      <c r="I210" s="94" t="s">
        <v>219</v>
      </c>
      <c r="J210" s="94"/>
      <c r="K210" s="96">
        <v>20</v>
      </c>
      <c r="L210" s="96">
        <f>K210*VLOOKUP(H210,dagsoorttabel1,2,FALSE)</f>
        <v>20</v>
      </c>
      <c r="M210" s="97">
        <f>prodnorm48</f>
        <v>0</v>
      </c>
      <c r="N210" s="41">
        <f>dagwerk48</f>
        <v>0</v>
      </c>
      <c r="O210" s="94" t="s">
        <v>106</v>
      </c>
      <c r="P210" s="26">
        <f>uurtarief48</f>
        <v>0</v>
      </c>
      <c r="Q210" s="96" t="e">
        <f>IF(ISBLANK(M210),0,L210/M210)</f>
        <v>#DIV/0!</v>
      </c>
      <c r="R210" s="96" t="e">
        <f>IF(ISBLANK(M210),0,Q210*N210)</f>
        <v>#DIV/0!</v>
      </c>
      <c r="S210" s="26" t="e">
        <f>P210*Q210</f>
        <v>#DIV/0!</v>
      </c>
      <c r="T210" s="96" t="e">
        <f>Q210*dagenperjaar1</f>
        <v>#DIV/0!</v>
      </c>
      <c r="U210" s="27" t="e">
        <f>T210*P210</f>
        <v>#DIV/0!</v>
      </c>
    </row>
    <row r="211" spans="1:21" x14ac:dyDescent="0.3">
      <c r="A211" s="93" t="s">
        <v>512</v>
      </c>
      <c r="B211" s="94" t="s">
        <v>40</v>
      </c>
      <c r="C211" s="94" t="s">
        <v>290</v>
      </c>
      <c r="D211" s="94" t="s">
        <v>550</v>
      </c>
      <c r="E211" s="95" t="s">
        <v>303</v>
      </c>
      <c r="F211" s="94" t="s">
        <v>296</v>
      </c>
      <c r="G211" s="94" t="s">
        <v>265</v>
      </c>
      <c r="H211" s="94" t="s">
        <v>11</v>
      </c>
      <c r="I211" s="94" t="s">
        <v>219</v>
      </c>
      <c r="J211" s="94"/>
      <c r="K211" s="96">
        <v>10</v>
      </c>
      <c r="L211" s="96">
        <f>K211*VLOOKUP(H211,dagsoorttabel1,2,FALSE)</f>
        <v>10</v>
      </c>
      <c r="M211" s="97">
        <f>prodnorm61</f>
        <v>0</v>
      </c>
      <c r="N211" s="41">
        <f>dagwerk61</f>
        <v>0</v>
      </c>
      <c r="O211" s="94" t="s">
        <v>106</v>
      </c>
      <c r="P211" s="26">
        <f>uurtarief61</f>
        <v>0</v>
      </c>
      <c r="Q211" s="96" t="e">
        <f>IF(ISBLANK(M211),0,L211/M211)</f>
        <v>#DIV/0!</v>
      </c>
      <c r="R211" s="96" t="e">
        <f>IF(ISBLANK(M211),0,Q211*N211)</f>
        <v>#DIV/0!</v>
      </c>
      <c r="S211" s="26" t="e">
        <f>P211*Q211</f>
        <v>#DIV/0!</v>
      </c>
      <c r="T211" s="96" t="e">
        <f>Q211*dagenperjaar1</f>
        <v>#DIV/0!</v>
      </c>
      <c r="U211" s="27" t="e">
        <f>T211*P211</f>
        <v>#DIV/0!</v>
      </c>
    </row>
    <row r="212" spans="1:21" x14ac:dyDescent="0.3">
      <c r="A212" s="93" t="s">
        <v>512</v>
      </c>
      <c r="B212" s="94" t="s">
        <v>40</v>
      </c>
      <c r="C212" s="94" t="s">
        <v>290</v>
      </c>
      <c r="D212" s="94" t="s">
        <v>551</v>
      </c>
      <c r="E212" s="95" t="s">
        <v>351</v>
      </c>
      <c r="F212" s="94" t="s">
        <v>304</v>
      </c>
      <c r="G212" s="94" t="s">
        <v>239</v>
      </c>
      <c r="H212" s="94" t="s">
        <v>11</v>
      </c>
      <c r="I212" s="94" t="s">
        <v>219</v>
      </c>
      <c r="J212" s="94"/>
      <c r="K212" s="96">
        <v>20</v>
      </c>
      <c r="L212" s="96">
        <f>K212*VLOOKUP(H212,dagsoorttabel1,2,FALSE)</f>
        <v>20</v>
      </c>
      <c r="M212" s="97">
        <f>prodnorm36</f>
        <v>0</v>
      </c>
      <c r="N212" s="41">
        <f>dagwerk36</f>
        <v>0</v>
      </c>
      <c r="O212" s="94" t="s">
        <v>106</v>
      </c>
      <c r="P212" s="26">
        <f>uurtarief36</f>
        <v>0</v>
      </c>
      <c r="Q212" s="96" t="e">
        <f>IF(ISBLANK(M212),0,L212/M212)</f>
        <v>#DIV/0!</v>
      </c>
      <c r="R212" s="96" t="e">
        <f>IF(ISBLANK(M212),0,Q212*N212)</f>
        <v>#DIV/0!</v>
      </c>
      <c r="S212" s="26" t="e">
        <f>P212*Q212</f>
        <v>#DIV/0!</v>
      </c>
      <c r="T212" s="96" t="e">
        <f>Q212*dagenperjaar1</f>
        <v>#DIV/0!</v>
      </c>
      <c r="U212" s="27" t="e">
        <f>T212*P212</f>
        <v>#DIV/0!</v>
      </c>
    </row>
    <row r="213" spans="1:21" x14ac:dyDescent="0.3">
      <c r="A213" s="93" t="s">
        <v>512</v>
      </c>
      <c r="B213" s="94" t="s">
        <v>40</v>
      </c>
      <c r="C213" s="94" t="s">
        <v>290</v>
      </c>
      <c r="D213" s="94" t="s">
        <v>552</v>
      </c>
      <c r="E213" s="95" t="s">
        <v>315</v>
      </c>
      <c r="F213" s="94" t="s">
        <v>304</v>
      </c>
      <c r="G213" s="94" t="s">
        <v>261</v>
      </c>
      <c r="H213" s="94" t="s">
        <v>11</v>
      </c>
      <c r="I213" s="94" t="s">
        <v>219</v>
      </c>
      <c r="J213" s="94"/>
      <c r="K213" s="96">
        <v>1</v>
      </c>
      <c r="L213" s="96">
        <f>K213*VLOOKUP(H213,dagsoorttabel1,2,FALSE)</f>
        <v>1</v>
      </c>
      <c r="M213" s="97">
        <f>prodnorm56</f>
        <v>0</v>
      </c>
      <c r="N213" s="41">
        <f>dagwerk56</f>
        <v>0</v>
      </c>
      <c r="O213" s="94" t="s">
        <v>106</v>
      </c>
      <c r="P213" s="26">
        <f>uurtarief56</f>
        <v>0</v>
      </c>
      <c r="Q213" s="96" t="e">
        <f>IF(ISBLANK(M213),0,L213/M213)</f>
        <v>#DIV/0!</v>
      </c>
      <c r="R213" s="96" t="e">
        <f>IF(ISBLANK(M213),0,Q213*N213)</f>
        <v>#DIV/0!</v>
      </c>
      <c r="S213" s="26" t="e">
        <f>P213*Q213</f>
        <v>#DIV/0!</v>
      </c>
      <c r="T213" s="96" t="e">
        <f>Q213*dagenperjaar1</f>
        <v>#DIV/0!</v>
      </c>
      <c r="U213" s="27" t="e">
        <f>T213*P213</f>
        <v>#DIV/0!</v>
      </c>
    </row>
    <row r="214" spans="1:21" x14ac:dyDescent="0.3">
      <c r="A214" s="93" t="s">
        <v>512</v>
      </c>
      <c r="B214" s="94" t="s">
        <v>40</v>
      </c>
      <c r="C214" s="94" t="s">
        <v>290</v>
      </c>
      <c r="D214" s="94" t="s">
        <v>553</v>
      </c>
      <c r="E214" s="95" t="s">
        <v>554</v>
      </c>
      <c r="F214" s="94" t="s">
        <v>304</v>
      </c>
      <c r="G214" s="94" t="s">
        <v>227</v>
      </c>
      <c r="H214" s="94" t="s">
        <v>11</v>
      </c>
      <c r="I214" s="94" t="s">
        <v>219</v>
      </c>
      <c r="J214" s="94"/>
      <c r="K214" s="96">
        <v>1</v>
      </c>
      <c r="L214" s="96">
        <f>K214*VLOOKUP(H214,dagsoorttabel1,2,FALSE)</f>
        <v>1</v>
      </c>
      <c r="M214" s="97">
        <f>prodnorm25</f>
        <v>0</v>
      </c>
      <c r="N214" s="41">
        <f>dagwerk25</f>
        <v>0</v>
      </c>
      <c r="O214" s="94" t="s">
        <v>106</v>
      </c>
      <c r="P214" s="26">
        <f>uurtarief25</f>
        <v>0</v>
      </c>
      <c r="Q214" s="96" t="e">
        <f>IF(ISBLANK(M214),0,L214/M214)</f>
        <v>#DIV/0!</v>
      </c>
      <c r="R214" s="96" t="e">
        <f>IF(ISBLANK(M214),0,Q214*N214)</f>
        <v>#DIV/0!</v>
      </c>
      <c r="S214" s="26" t="e">
        <f>P214*Q214</f>
        <v>#DIV/0!</v>
      </c>
      <c r="T214" s="96" t="e">
        <f>Q214*dagenperjaar1</f>
        <v>#DIV/0!</v>
      </c>
      <c r="U214" s="27" t="e">
        <f>T214*P214</f>
        <v>#DIV/0!</v>
      </c>
    </row>
    <row r="215" spans="1:21" x14ac:dyDescent="0.3">
      <c r="A215" s="93" t="s">
        <v>512</v>
      </c>
      <c r="B215" s="94" t="s">
        <v>40</v>
      </c>
      <c r="C215" s="94" t="s">
        <v>290</v>
      </c>
      <c r="D215" s="94" t="s">
        <v>555</v>
      </c>
      <c r="E215" s="95" t="s">
        <v>554</v>
      </c>
      <c r="F215" s="94" t="s">
        <v>304</v>
      </c>
      <c r="G215" s="94" t="s">
        <v>227</v>
      </c>
      <c r="H215" s="94" t="s">
        <v>11</v>
      </c>
      <c r="I215" s="94" t="s">
        <v>219</v>
      </c>
      <c r="J215" s="94"/>
      <c r="K215" s="96">
        <v>1</v>
      </c>
      <c r="L215" s="96">
        <f>K215*VLOOKUP(H215,dagsoorttabel1,2,FALSE)</f>
        <v>1</v>
      </c>
      <c r="M215" s="97">
        <f>prodnorm25</f>
        <v>0</v>
      </c>
      <c r="N215" s="41">
        <f>dagwerk25</f>
        <v>0</v>
      </c>
      <c r="O215" s="94" t="s">
        <v>106</v>
      </c>
      <c r="P215" s="26">
        <f>uurtarief25</f>
        <v>0</v>
      </c>
      <c r="Q215" s="96" t="e">
        <f>IF(ISBLANK(M215),0,L215/M215)</f>
        <v>#DIV/0!</v>
      </c>
      <c r="R215" s="96" t="e">
        <f>IF(ISBLANK(M215),0,Q215*N215)</f>
        <v>#DIV/0!</v>
      </c>
      <c r="S215" s="26" t="e">
        <f>P215*Q215</f>
        <v>#DIV/0!</v>
      </c>
      <c r="T215" s="96" t="e">
        <f>Q215*dagenperjaar1</f>
        <v>#DIV/0!</v>
      </c>
      <c r="U215" s="27" t="e">
        <f>T215*P215</f>
        <v>#DIV/0!</v>
      </c>
    </row>
    <row r="216" spans="1:21" x14ac:dyDescent="0.3">
      <c r="A216" s="93" t="s">
        <v>512</v>
      </c>
      <c r="B216" s="94" t="s">
        <v>40</v>
      </c>
      <c r="C216" s="94" t="s">
        <v>290</v>
      </c>
      <c r="D216" s="94" t="s">
        <v>556</v>
      </c>
      <c r="E216" s="95" t="s">
        <v>554</v>
      </c>
      <c r="F216" s="94" t="s">
        <v>304</v>
      </c>
      <c r="G216" s="94" t="s">
        <v>227</v>
      </c>
      <c r="H216" s="94" t="s">
        <v>11</v>
      </c>
      <c r="I216" s="94" t="s">
        <v>219</v>
      </c>
      <c r="J216" s="94"/>
      <c r="K216" s="96">
        <v>1</v>
      </c>
      <c r="L216" s="96">
        <f>K216*VLOOKUP(H216,dagsoorttabel1,2,FALSE)</f>
        <v>1</v>
      </c>
      <c r="M216" s="97">
        <f>prodnorm25</f>
        <v>0</v>
      </c>
      <c r="N216" s="41">
        <f>dagwerk25</f>
        <v>0</v>
      </c>
      <c r="O216" s="94" t="s">
        <v>106</v>
      </c>
      <c r="P216" s="26">
        <f>uurtarief25</f>
        <v>0</v>
      </c>
      <c r="Q216" s="96" t="e">
        <f>IF(ISBLANK(M216),0,L216/M216)</f>
        <v>#DIV/0!</v>
      </c>
      <c r="R216" s="96" t="e">
        <f>IF(ISBLANK(M216),0,Q216*N216)</f>
        <v>#DIV/0!</v>
      </c>
      <c r="S216" s="26" t="e">
        <f>P216*Q216</f>
        <v>#DIV/0!</v>
      </c>
      <c r="T216" s="96" t="e">
        <f>Q216*dagenperjaar1</f>
        <v>#DIV/0!</v>
      </c>
      <c r="U216" s="27" t="e">
        <f>T216*P216</f>
        <v>#DIV/0!</v>
      </c>
    </row>
    <row r="217" spans="1:21" x14ac:dyDescent="0.3">
      <c r="A217" s="93" t="s">
        <v>512</v>
      </c>
      <c r="B217" s="94" t="s">
        <v>40</v>
      </c>
      <c r="C217" s="94" t="s">
        <v>290</v>
      </c>
      <c r="D217" s="94" t="s">
        <v>557</v>
      </c>
      <c r="E217" s="95" t="s">
        <v>554</v>
      </c>
      <c r="F217" s="94" t="s">
        <v>304</v>
      </c>
      <c r="G217" s="94" t="s">
        <v>227</v>
      </c>
      <c r="H217" s="94" t="s">
        <v>11</v>
      </c>
      <c r="I217" s="94" t="s">
        <v>219</v>
      </c>
      <c r="J217" s="94"/>
      <c r="K217" s="96">
        <v>1</v>
      </c>
      <c r="L217" s="96">
        <f>K217*VLOOKUP(H217,dagsoorttabel1,2,FALSE)</f>
        <v>1</v>
      </c>
      <c r="M217" s="97">
        <f>prodnorm25</f>
        <v>0</v>
      </c>
      <c r="N217" s="41">
        <f>dagwerk25</f>
        <v>0</v>
      </c>
      <c r="O217" s="94" t="s">
        <v>106</v>
      </c>
      <c r="P217" s="26">
        <f>uurtarief25</f>
        <v>0</v>
      </c>
      <c r="Q217" s="96" t="e">
        <f>IF(ISBLANK(M217),0,L217/M217)</f>
        <v>#DIV/0!</v>
      </c>
      <c r="R217" s="96" t="e">
        <f>IF(ISBLANK(M217),0,Q217*N217)</f>
        <v>#DIV/0!</v>
      </c>
      <c r="S217" s="26" t="e">
        <f>P217*Q217</f>
        <v>#DIV/0!</v>
      </c>
      <c r="T217" s="96" t="e">
        <f>Q217*dagenperjaar1</f>
        <v>#DIV/0!</v>
      </c>
      <c r="U217" s="27" t="e">
        <f>T217*P217</f>
        <v>#DIV/0!</v>
      </c>
    </row>
    <row r="218" spans="1:21" x14ac:dyDescent="0.3">
      <c r="A218" s="93" t="s">
        <v>512</v>
      </c>
      <c r="B218" s="94" t="s">
        <v>40</v>
      </c>
      <c r="C218" s="94" t="s">
        <v>290</v>
      </c>
      <c r="D218" s="94" t="s">
        <v>558</v>
      </c>
      <c r="E218" s="95" t="s">
        <v>303</v>
      </c>
      <c r="F218" s="94" t="s">
        <v>296</v>
      </c>
      <c r="G218" s="94" t="s">
        <v>265</v>
      </c>
      <c r="H218" s="94" t="s">
        <v>11</v>
      </c>
      <c r="I218" s="94" t="s">
        <v>219</v>
      </c>
      <c r="J218" s="94"/>
      <c r="K218" s="96">
        <v>3</v>
      </c>
      <c r="L218" s="96">
        <f>K218*VLOOKUP(H218,dagsoorttabel1,2,FALSE)</f>
        <v>3</v>
      </c>
      <c r="M218" s="97">
        <f>prodnorm61</f>
        <v>0</v>
      </c>
      <c r="N218" s="41">
        <f>dagwerk61</f>
        <v>0</v>
      </c>
      <c r="O218" s="94" t="s">
        <v>106</v>
      </c>
      <c r="P218" s="26">
        <f>uurtarief61</f>
        <v>0</v>
      </c>
      <c r="Q218" s="96" t="e">
        <f>IF(ISBLANK(M218),0,L218/M218)</f>
        <v>#DIV/0!</v>
      </c>
      <c r="R218" s="96" t="e">
        <f>IF(ISBLANK(M218),0,Q218*N218)</f>
        <v>#DIV/0!</v>
      </c>
      <c r="S218" s="26" t="e">
        <f>P218*Q218</f>
        <v>#DIV/0!</v>
      </c>
      <c r="T218" s="96" t="e">
        <f>Q218*dagenperjaar1</f>
        <v>#DIV/0!</v>
      </c>
      <c r="U218" s="27" t="e">
        <f>T218*P218</f>
        <v>#DIV/0!</v>
      </c>
    </row>
    <row r="219" spans="1:21" x14ac:dyDescent="0.3">
      <c r="A219" s="93" t="s">
        <v>512</v>
      </c>
      <c r="B219" s="94" t="s">
        <v>40</v>
      </c>
      <c r="C219" s="94" t="s">
        <v>290</v>
      </c>
      <c r="D219" s="94" t="s">
        <v>559</v>
      </c>
      <c r="E219" s="95" t="s">
        <v>295</v>
      </c>
      <c r="F219" s="94" t="s">
        <v>293</v>
      </c>
      <c r="G219" s="94" t="s">
        <v>243</v>
      </c>
      <c r="H219" s="94" t="s">
        <v>11</v>
      </c>
      <c r="I219" s="94" t="s">
        <v>219</v>
      </c>
      <c r="J219" s="94"/>
      <c r="K219" s="96">
        <v>99.8</v>
      </c>
      <c r="L219" s="96">
        <f>K219*VLOOKUP(H219,dagsoorttabel1,2,FALSE)</f>
        <v>99.8</v>
      </c>
      <c r="M219" s="97">
        <f>prodnorm40</f>
        <v>0</v>
      </c>
      <c r="N219" s="41">
        <f>dagwerk40</f>
        <v>0</v>
      </c>
      <c r="O219" s="94" t="s">
        <v>106</v>
      </c>
      <c r="P219" s="26">
        <f>uurtarief40</f>
        <v>0</v>
      </c>
      <c r="Q219" s="96" t="e">
        <f>IF(ISBLANK(M219),0,L219/M219)</f>
        <v>#DIV/0!</v>
      </c>
      <c r="R219" s="96" t="e">
        <f>IF(ISBLANK(M219),0,Q219*N219)</f>
        <v>#DIV/0!</v>
      </c>
      <c r="S219" s="26" t="e">
        <f>P219*Q219</f>
        <v>#DIV/0!</v>
      </c>
      <c r="T219" s="96" t="e">
        <f>Q219*dagenperjaar1</f>
        <v>#DIV/0!</v>
      </c>
      <c r="U219" s="27" t="e">
        <f>T219*P219</f>
        <v>#DIV/0!</v>
      </c>
    </row>
    <row r="220" spans="1:21" x14ac:dyDescent="0.3">
      <c r="A220" s="93" t="s">
        <v>512</v>
      </c>
      <c r="B220" s="94" t="s">
        <v>40</v>
      </c>
      <c r="C220" s="94" t="s">
        <v>290</v>
      </c>
      <c r="D220" s="94" t="s">
        <v>560</v>
      </c>
      <c r="E220" s="95" t="s">
        <v>292</v>
      </c>
      <c r="F220" s="94" t="s">
        <v>296</v>
      </c>
      <c r="G220" s="94" t="s">
        <v>229</v>
      </c>
      <c r="H220" s="94" t="s">
        <v>11</v>
      </c>
      <c r="I220" s="94" t="s">
        <v>219</v>
      </c>
      <c r="J220" s="94"/>
      <c r="K220" s="96">
        <v>24</v>
      </c>
      <c r="L220" s="96">
        <f>K220*VLOOKUP(H220,dagsoorttabel1,2,FALSE)</f>
        <v>24</v>
      </c>
      <c r="M220" s="97">
        <f>prodnorm27</f>
        <v>0</v>
      </c>
      <c r="N220" s="41">
        <f>dagwerk27</f>
        <v>0</v>
      </c>
      <c r="O220" s="94" t="s">
        <v>106</v>
      </c>
      <c r="P220" s="26">
        <f>uurtarief27</f>
        <v>0</v>
      </c>
      <c r="Q220" s="96" t="e">
        <f>IF(ISBLANK(M220),0,L220/M220)</f>
        <v>#DIV/0!</v>
      </c>
      <c r="R220" s="96" t="e">
        <f>IF(ISBLANK(M220),0,Q220*N220)</f>
        <v>#DIV/0!</v>
      </c>
      <c r="S220" s="26" t="e">
        <f>P220*Q220</f>
        <v>#DIV/0!</v>
      </c>
      <c r="T220" s="96" t="e">
        <f>Q220*dagenperjaar1</f>
        <v>#DIV/0!</v>
      </c>
      <c r="U220" s="27" t="e">
        <f>T220*P220</f>
        <v>#DIV/0!</v>
      </c>
    </row>
    <row r="221" spans="1:21" x14ac:dyDescent="0.3">
      <c r="A221" s="93" t="s">
        <v>512</v>
      </c>
      <c r="B221" s="94" t="s">
        <v>40</v>
      </c>
      <c r="C221" s="94" t="s">
        <v>290</v>
      </c>
      <c r="D221" s="94" t="s">
        <v>561</v>
      </c>
      <c r="E221" s="95" t="s">
        <v>562</v>
      </c>
      <c r="F221" s="94" t="s">
        <v>320</v>
      </c>
      <c r="G221" s="94" t="s">
        <v>253</v>
      </c>
      <c r="H221" s="94" t="s">
        <v>11</v>
      </c>
      <c r="I221" s="94" t="s">
        <v>219</v>
      </c>
      <c r="J221" s="94"/>
      <c r="K221" s="96">
        <v>73</v>
      </c>
      <c r="L221" s="96">
        <f>K221*VLOOKUP(H221,dagsoorttabel1,2,FALSE)</f>
        <v>73</v>
      </c>
      <c r="M221" s="97">
        <f>prodnorm49</f>
        <v>0</v>
      </c>
      <c r="N221" s="41">
        <f>dagwerk49</f>
        <v>0</v>
      </c>
      <c r="O221" s="94" t="s">
        <v>106</v>
      </c>
      <c r="P221" s="26">
        <f>uurtarief49</f>
        <v>0</v>
      </c>
      <c r="Q221" s="96" t="e">
        <f>IF(ISBLANK(M221),0,L221/M221)</f>
        <v>#DIV/0!</v>
      </c>
      <c r="R221" s="96" t="e">
        <f>IF(ISBLANK(M221),0,Q221*N221)</f>
        <v>#DIV/0!</v>
      </c>
      <c r="S221" s="26" t="e">
        <f>P221*Q221</f>
        <v>#DIV/0!</v>
      </c>
      <c r="T221" s="96" t="e">
        <f>Q221*dagenperjaar1</f>
        <v>#DIV/0!</v>
      </c>
      <c r="U221" s="27" t="e">
        <f>T221*P221</f>
        <v>#DIV/0!</v>
      </c>
    </row>
    <row r="222" spans="1:21" x14ac:dyDescent="0.3">
      <c r="A222" s="93" t="s">
        <v>512</v>
      </c>
      <c r="B222" s="94" t="s">
        <v>40</v>
      </c>
      <c r="C222" s="94" t="s">
        <v>419</v>
      </c>
      <c r="D222" s="94" t="s">
        <v>563</v>
      </c>
      <c r="E222" s="95" t="s">
        <v>564</v>
      </c>
      <c r="F222" s="94" t="s">
        <v>418</v>
      </c>
      <c r="G222" s="94" t="s">
        <v>247</v>
      </c>
      <c r="H222" s="94" t="s">
        <v>11</v>
      </c>
      <c r="I222" s="94" t="s">
        <v>219</v>
      </c>
      <c r="J222" s="94"/>
      <c r="K222" s="96">
        <v>113.4</v>
      </c>
      <c r="L222" s="96">
        <f>K222*VLOOKUP(H222,dagsoorttabel1,2,FALSE)</f>
        <v>113.4</v>
      </c>
      <c r="M222" s="97">
        <f>prodnorm43</f>
        <v>0</v>
      </c>
      <c r="N222" s="41">
        <f>dagwerk43</f>
        <v>0</v>
      </c>
      <c r="O222" s="94" t="s">
        <v>106</v>
      </c>
      <c r="P222" s="26">
        <f>uurtarief43</f>
        <v>0</v>
      </c>
      <c r="Q222" s="96" t="e">
        <f>IF(ISBLANK(M222),0,L222/M222)</f>
        <v>#DIV/0!</v>
      </c>
      <c r="R222" s="96" t="e">
        <f>IF(ISBLANK(M222),0,Q222*N222)</f>
        <v>#DIV/0!</v>
      </c>
      <c r="S222" s="26" t="e">
        <f>P222*Q222</f>
        <v>#DIV/0!</v>
      </c>
      <c r="T222" s="96" t="e">
        <f>Q222*dagenperjaar1</f>
        <v>#DIV/0!</v>
      </c>
      <c r="U222" s="27" t="e">
        <f>T222*P222</f>
        <v>#DIV/0!</v>
      </c>
    </row>
    <row r="223" spans="1:21" x14ac:dyDescent="0.3">
      <c r="A223" s="93" t="s">
        <v>512</v>
      </c>
      <c r="B223" s="94" t="s">
        <v>40</v>
      </c>
      <c r="C223" s="94" t="s">
        <v>419</v>
      </c>
      <c r="D223" s="94" t="s">
        <v>565</v>
      </c>
      <c r="E223" s="95" t="s">
        <v>338</v>
      </c>
      <c r="F223" s="94" t="s">
        <v>296</v>
      </c>
      <c r="G223" s="94" t="s">
        <v>267</v>
      </c>
      <c r="H223" s="94" t="s">
        <v>11</v>
      </c>
      <c r="I223" s="94" t="s">
        <v>219</v>
      </c>
      <c r="J223" s="94"/>
      <c r="K223" s="96">
        <v>82.72</v>
      </c>
      <c r="L223" s="96">
        <f>K223*VLOOKUP(H223,dagsoorttabel1,2,FALSE)</f>
        <v>82.72</v>
      </c>
      <c r="M223" s="97">
        <f>prodnorm63</f>
        <v>0</v>
      </c>
      <c r="N223" s="41">
        <f>dagwerk63</f>
        <v>0</v>
      </c>
      <c r="O223" s="94" t="s">
        <v>106</v>
      </c>
      <c r="P223" s="26">
        <f>uurtarief63</f>
        <v>0</v>
      </c>
      <c r="Q223" s="96" t="e">
        <f>IF(ISBLANK(M223),0,L223/M223)</f>
        <v>#DIV/0!</v>
      </c>
      <c r="R223" s="96" t="e">
        <f>IF(ISBLANK(M223),0,Q223*N223)</f>
        <v>#DIV/0!</v>
      </c>
      <c r="S223" s="26" t="e">
        <f>P223*Q223</f>
        <v>#DIV/0!</v>
      </c>
      <c r="T223" s="96" t="e">
        <f>Q223*dagenperjaar1</f>
        <v>#DIV/0!</v>
      </c>
      <c r="U223" s="27" t="e">
        <f>T223*P223</f>
        <v>#DIV/0!</v>
      </c>
    </row>
    <row r="224" spans="1:21" x14ac:dyDescent="0.3">
      <c r="A224" s="93" t="s">
        <v>512</v>
      </c>
      <c r="B224" s="94" t="s">
        <v>40</v>
      </c>
      <c r="C224" s="94" t="s">
        <v>419</v>
      </c>
      <c r="D224" s="94" t="s">
        <v>566</v>
      </c>
      <c r="E224" s="95" t="s">
        <v>338</v>
      </c>
      <c r="F224" s="94" t="s">
        <v>296</v>
      </c>
      <c r="G224" s="94" t="s">
        <v>267</v>
      </c>
      <c r="H224" s="94" t="s">
        <v>11</v>
      </c>
      <c r="I224" s="94" t="s">
        <v>219</v>
      </c>
      <c r="J224" s="94"/>
      <c r="K224" s="96">
        <v>30</v>
      </c>
      <c r="L224" s="96">
        <f>K224*VLOOKUP(H224,dagsoorttabel1,2,FALSE)</f>
        <v>30</v>
      </c>
      <c r="M224" s="97">
        <f>prodnorm63</f>
        <v>0</v>
      </c>
      <c r="N224" s="41">
        <f>dagwerk63</f>
        <v>0</v>
      </c>
      <c r="O224" s="94" t="s">
        <v>106</v>
      </c>
      <c r="P224" s="26">
        <f>uurtarief63</f>
        <v>0</v>
      </c>
      <c r="Q224" s="96" t="e">
        <f>IF(ISBLANK(M224),0,L224/M224)</f>
        <v>#DIV/0!</v>
      </c>
      <c r="R224" s="96" t="e">
        <f>IF(ISBLANK(M224),0,Q224*N224)</f>
        <v>#DIV/0!</v>
      </c>
      <c r="S224" s="26" t="e">
        <f>P224*Q224</f>
        <v>#DIV/0!</v>
      </c>
      <c r="T224" s="96" t="e">
        <f>Q224*dagenperjaar1</f>
        <v>#DIV/0!</v>
      </c>
      <c r="U224" s="27" t="e">
        <f>T224*P224</f>
        <v>#DIV/0!</v>
      </c>
    </row>
    <row r="225" spans="1:21" x14ac:dyDescent="0.3">
      <c r="A225" s="93" t="s">
        <v>512</v>
      </c>
      <c r="B225" s="94" t="s">
        <v>40</v>
      </c>
      <c r="C225" s="94" t="s">
        <v>419</v>
      </c>
      <c r="D225" s="94" t="s">
        <v>567</v>
      </c>
      <c r="E225" s="95" t="s">
        <v>518</v>
      </c>
      <c r="F225" s="94" t="s">
        <v>296</v>
      </c>
      <c r="G225" s="94" t="s">
        <v>245</v>
      </c>
      <c r="H225" s="94" t="s">
        <v>11</v>
      </c>
      <c r="I225" s="94" t="s">
        <v>219</v>
      </c>
      <c r="J225" s="94"/>
      <c r="K225" s="96">
        <v>93.2</v>
      </c>
      <c r="L225" s="96">
        <f>K225*VLOOKUP(H225,dagsoorttabel1,2,FALSE)</f>
        <v>93.2</v>
      </c>
      <c r="M225" s="97">
        <f>prodnorm42</f>
        <v>0</v>
      </c>
      <c r="N225" s="41">
        <f>dagwerk42</f>
        <v>0</v>
      </c>
      <c r="O225" s="94" t="s">
        <v>106</v>
      </c>
      <c r="P225" s="26">
        <f>uurtarief42</f>
        <v>0</v>
      </c>
      <c r="Q225" s="96" t="e">
        <f>IF(ISBLANK(M225),0,L225/M225)</f>
        <v>#DIV/0!</v>
      </c>
      <c r="R225" s="96" t="e">
        <f>IF(ISBLANK(M225),0,Q225*N225)</f>
        <v>#DIV/0!</v>
      </c>
      <c r="S225" s="26" t="e">
        <f>P225*Q225</f>
        <v>#DIV/0!</v>
      </c>
      <c r="T225" s="96" t="e">
        <f>Q225*dagenperjaar1</f>
        <v>#DIV/0!</v>
      </c>
      <c r="U225" s="27" t="e">
        <f>T225*P225</f>
        <v>#DIV/0!</v>
      </c>
    </row>
    <row r="226" spans="1:21" x14ac:dyDescent="0.3">
      <c r="A226" s="93" t="s">
        <v>512</v>
      </c>
      <c r="B226" s="94" t="s">
        <v>40</v>
      </c>
      <c r="C226" s="94" t="s">
        <v>419</v>
      </c>
      <c r="D226" s="94" t="s">
        <v>568</v>
      </c>
      <c r="E226" s="95" t="s">
        <v>303</v>
      </c>
      <c r="F226" s="94" t="s">
        <v>296</v>
      </c>
      <c r="G226" s="94" t="s">
        <v>265</v>
      </c>
      <c r="H226" s="94" t="s">
        <v>11</v>
      </c>
      <c r="I226" s="94" t="s">
        <v>219</v>
      </c>
      <c r="J226" s="94"/>
      <c r="K226" s="96">
        <v>20</v>
      </c>
      <c r="L226" s="96">
        <f>K226*VLOOKUP(H226,dagsoorttabel1,2,FALSE)</f>
        <v>20</v>
      </c>
      <c r="M226" s="97">
        <f>prodnorm61</f>
        <v>0</v>
      </c>
      <c r="N226" s="41">
        <f>dagwerk61</f>
        <v>0</v>
      </c>
      <c r="O226" s="94" t="s">
        <v>106</v>
      </c>
      <c r="P226" s="26">
        <f>uurtarief61</f>
        <v>0</v>
      </c>
      <c r="Q226" s="96" t="e">
        <f>IF(ISBLANK(M226),0,L226/M226)</f>
        <v>#DIV/0!</v>
      </c>
      <c r="R226" s="96" t="e">
        <f>IF(ISBLANK(M226),0,Q226*N226)</f>
        <v>#DIV/0!</v>
      </c>
      <c r="S226" s="26" t="e">
        <f>P226*Q226</f>
        <v>#DIV/0!</v>
      </c>
      <c r="T226" s="96" t="e">
        <f>Q226*dagenperjaar1</f>
        <v>#DIV/0!</v>
      </c>
      <c r="U226" s="27" t="e">
        <f>T226*P226</f>
        <v>#DIV/0!</v>
      </c>
    </row>
    <row r="227" spans="1:21" x14ac:dyDescent="0.3">
      <c r="A227" s="93" t="s">
        <v>512</v>
      </c>
      <c r="B227" s="94" t="s">
        <v>40</v>
      </c>
      <c r="C227" s="94" t="s">
        <v>419</v>
      </c>
      <c r="D227" s="94" t="s">
        <v>569</v>
      </c>
      <c r="E227" s="95" t="s">
        <v>308</v>
      </c>
      <c r="F227" s="94" t="s">
        <v>296</v>
      </c>
      <c r="G227" s="94" t="s">
        <v>223</v>
      </c>
      <c r="H227" s="94" t="s">
        <v>11</v>
      </c>
      <c r="I227" s="94" t="s">
        <v>219</v>
      </c>
      <c r="J227" s="94"/>
      <c r="K227" s="96">
        <v>20</v>
      </c>
      <c r="L227" s="96">
        <f>K227*VLOOKUP(H227,dagsoorttabel1,2,FALSE)</f>
        <v>20</v>
      </c>
      <c r="M227" s="97">
        <f>prodnorm18</f>
        <v>0</v>
      </c>
      <c r="N227" s="41">
        <f>dagwerk18</f>
        <v>0</v>
      </c>
      <c r="O227" s="94" t="s">
        <v>106</v>
      </c>
      <c r="P227" s="26">
        <f>uurtarief18</f>
        <v>0</v>
      </c>
      <c r="Q227" s="96" t="e">
        <f>IF(ISBLANK(M227),0,L227/M227)</f>
        <v>#DIV/0!</v>
      </c>
      <c r="R227" s="96" t="e">
        <f>IF(ISBLANK(M227),0,Q227*N227)</f>
        <v>#DIV/0!</v>
      </c>
      <c r="S227" s="26" t="e">
        <f>P227*Q227</f>
        <v>#DIV/0!</v>
      </c>
      <c r="T227" s="96" t="e">
        <f>Q227*dagenperjaar1</f>
        <v>#DIV/0!</v>
      </c>
      <c r="U227" s="27" t="e">
        <f>T227*P227</f>
        <v>#DIV/0!</v>
      </c>
    </row>
    <row r="228" spans="1:21" x14ac:dyDescent="0.3">
      <c r="A228" s="93" t="s">
        <v>512</v>
      </c>
      <c r="B228" s="94" t="s">
        <v>40</v>
      </c>
      <c r="C228" s="94" t="s">
        <v>419</v>
      </c>
      <c r="D228" s="94" t="s">
        <v>570</v>
      </c>
      <c r="E228" s="95" t="s">
        <v>564</v>
      </c>
      <c r="F228" s="94" t="s">
        <v>296</v>
      </c>
      <c r="G228" s="94" t="s">
        <v>245</v>
      </c>
      <c r="H228" s="94" t="s">
        <v>11</v>
      </c>
      <c r="I228" s="94" t="s">
        <v>219</v>
      </c>
      <c r="J228" s="94"/>
      <c r="K228" s="96">
        <v>148</v>
      </c>
      <c r="L228" s="96">
        <f>K228*VLOOKUP(H228,dagsoorttabel1,2,FALSE)</f>
        <v>148</v>
      </c>
      <c r="M228" s="97">
        <f>prodnorm42</f>
        <v>0</v>
      </c>
      <c r="N228" s="41">
        <f>dagwerk42</f>
        <v>0</v>
      </c>
      <c r="O228" s="94" t="s">
        <v>106</v>
      </c>
      <c r="P228" s="26">
        <f>uurtarief42</f>
        <v>0</v>
      </c>
      <c r="Q228" s="96" t="e">
        <f>IF(ISBLANK(M228),0,L228/M228)</f>
        <v>#DIV/0!</v>
      </c>
      <c r="R228" s="96" t="e">
        <f>IF(ISBLANK(M228),0,Q228*N228)</f>
        <v>#DIV/0!</v>
      </c>
      <c r="S228" s="26" t="e">
        <f>P228*Q228</f>
        <v>#DIV/0!</v>
      </c>
      <c r="T228" s="96" t="e">
        <f>Q228*dagenperjaar1</f>
        <v>#DIV/0!</v>
      </c>
      <c r="U228" s="27" t="e">
        <f>T228*P228</f>
        <v>#DIV/0!</v>
      </c>
    </row>
    <row r="229" spans="1:21" x14ac:dyDescent="0.3">
      <c r="A229" s="93" t="s">
        <v>512</v>
      </c>
      <c r="B229" s="94" t="s">
        <v>40</v>
      </c>
      <c r="C229" s="94" t="s">
        <v>419</v>
      </c>
      <c r="D229" s="94" t="s">
        <v>571</v>
      </c>
      <c r="E229" s="95" t="s">
        <v>295</v>
      </c>
      <c r="F229" s="94" t="s">
        <v>296</v>
      </c>
      <c r="G229" s="94" t="s">
        <v>241</v>
      </c>
      <c r="H229" s="94" t="s">
        <v>11</v>
      </c>
      <c r="I229" s="94" t="s">
        <v>219</v>
      </c>
      <c r="J229" s="94"/>
      <c r="K229" s="96">
        <v>61</v>
      </c>
      <c r="L229" s="96">
        <f>K229*VLOOKUP(H229,dagsoorttabel1,2,FALSE)</f>
        <v>61</v>
      </c>
      <c r="M229" s="97">
        <f>prodnorm38</f>
        <v>0</v>
      </c>
      <c r="N229" s="41">
        <f>dagwerk38</f>
        <v>0</v>
      </c>
      <c r="O229" s="94" t="s">
        <v>106</v>
      </c>
      <c r="P229" s="26">
        <f>uurtarief38</f>
        <v>0</v>
      </c>
      <c r="Q229" s="96" t="e">
        <f>IF(ISBLANK(M229),0,L229/M229)</f>
        <v>#DIV/0!</v>
      </c>
      <c r="R229" s="96" t="e">
        <f>IF(ISBLANK(M229),0,Q229*N229)</f>
        <v>#DIV/0!</v>
      </c>
      <c r="S229" s="26" t="e">
        <f>P229*Q229</f>
        <v>#DIV/0!</v>
      </c>
      <c r="T229" s="96" t="e">
        <f>Q229*dagenperjaar1</f>
        <v>#DIV/0!</v>
      </c>
      <c r="U229" s="27" t="e">
        <f>T229*P229</f>
        <v>#DIV/0!</v>
      </c>
    </row>
    <row r="230" spans="1:21" x14ac:dyDescent="0.3">
      <c r="A230" s="93" t="s">
        <v>512</v>
      </c>
      <c r="B230" s="94" t="s">
        <v>40</v>
      </c>
      <c r="C230" s="94" t="s">
        <v>419</v>
      </c>
      <c r="D230" s="94" t="s">
        <v>572</v>
      </c>
      <c r="E230" s="95" t="s">
        <v>295</v>
      </c>
      <c r="F230" s="94" t="s">
        <v>296</v>
      </c>
      <c r="G230" s="94" t="s">
        <v>241</v>
      </c>
      <c r="H230" s="94" t="s">
        <v>11</v>
      </c>
      <c r="I230" s="94" t="s">
        <v>219</v>
      </c>
      <c r="J230" s="94"/>
      <c r="K230" s="96">
        <v>64</v>
      </c>
      <c r="L230" s="96">
        <f>K230*VLOOKUP(H230,dagsoorttabel1,2,FALSE)</f>
        <v>64</v>
      </c>
      <c r="M230" s="97">
        <f>prodnorm38</f>
        <v>0</v>
      </c>
      <c r="N230" s="41">
        <f>dagwerk38</f>
        <v>0</v>
      </c>
      <c r="O230" s="94" t="s">
        <v>106</v>
      </c>
      <c r="P230" s="26">
        <f>uurtarief38</f>
        <v>0</v>
      </c>
      <c r="Q230" s="96" t="e">
        <f>IF(ISBLANK(M230),0,L230/M230)</f>
        <v>#DIV/0!</v>
      </c>
      <c r="R230" s="96" t="e">
        <f>IF(ISBLANK(M230),0,Q230*N230)</f>
        <v>#DIV/0!</v>
      </c>
      <c r="S230" s="26" t="e">
        <f>P230*Q230</f>
        <v>#DIV/0!</v>
      </c>
      <c r="T230" s="96" t="e">
        <f>Q230*dagenperjaar1</f>
        <v>#DIV/0!</v>
      </c>
      <c r="U230" s="27" t="e">
        <f>T230*P230</f>
        <v>#DIV/0!</v>
      </c>
    </row>
    <row r="231" spans="1:21" x14ac:dyDescent="0.3">
      <c r="A231" s="93" t="s">
        <v>512</v>
      </c>
      <c r="B231" s="94" t="s">
        <v>40</v>
      </c>
      <c r="C231" s="94" t="s">
        <v>419</v>
      </c>
      <c r="D231" s="94" t="s">
        <v>573</v>
      </c>
      <c r="E231" s="95" t="s">
        <v>574</v>
      </c>
      <c r="F231" s="94" t="s">
        <v>296</v>
      </c>
      <c r="G231" s="94" t="s">
        <v>257</v>
      </c>
      <c r="H231" s="94" t="s">
        <v>11</v>
      </c>
      <c r="I231" s="94" t="s">
        <v>219</v>
      </c>
      <c r="J231" s="94"/>
      <c r="K231" s="96">
        <v>91</v>
      </c>
      <c r="L231" s="96">
        <f>K231*VLOOKUP(H231,dagsoorttabel1,2,FALSE)</f>
        <v>91</v>
      </c>
      <c r="M231" s="97">
        <f>prodnorm52</f>
        <v>0</v>
      </c>
      <c r="N231" s="41">
        <f>dagwerk52</f>
        <v>0</v>
      </c>
      <c r="O231" s="94" t="s">
        <v>106</v>
      </c>
      <c r="P231" s="26">
        <f>uurtarief52</f>
        <v>0</v>
      </c>
      <c r="Q231" s="96" t="e">
        <f>IF(ISBLANK(M231),0,L231/M231)</f>
        <v>#DIV/0!</v>
      </c>
      <c r="R231" s="96" t="e">
        <f>IF(ISBLANK(M231),0,Q231*N231)</f>
        <v>#DIV/0!</v>
      </c>
      <c r="S231" s="26" t="e">
        <f>P231*Q231</f>
        <v>#DIV/0!</v>
      </c>
      <c r="T231" s="96" t="e">
        <f>Q231*dagenperjaar1</f>
        <v>#DIV/0!</v>
      </c>
      <c r="U231" s="27" t="e">
        <f>T231*P231</f>
        <v>#DIV/0!</v>
      </c>
    </row>
    <row r="232" spans="1:21" x14ac:dyDescent="0.3">
      <c r="A232" s="93" t="s">
        <v>512</v>
      </c>
      <c r="B232" s="94" t="s">
        <v>40</v>
      </c>
      <c r="C232" s="94" t="s">
        <v>419</v>
      </c>
      <c r="D232" s="94" t="s">
        <v>575</v>
      </c>
      <c r="E232" s="95" t="s">
        <v>481</v>
      </c>
      <c r="F232" s="94" t="s">
        <v>304</v>
      </c>
      <c r="G232" s="94" t="s">
        <v>261</v>
      </c>
      <c r="H232" s="94" t="s">
        <v>11</v>
      </c>
      <c r="I232" s="94" t="s">
        <v>219</v>
      </c>
      <c r="J232" s="94"/>
      <c r="K232" s="96">
        <v>6</v>
      </c>
      <c r="L232" s="96">
        <f>K232*VLOOKUP(H232,dagsoorttabel1,2,FALSE)</f>
        <v>6</v>
      </c>
      <c r="M232" s="97">
        <f>prodnorm56</f>
        <v>0</v>
      </c>
      <c r="N232" s="41">
        <f>dagwerk56</f>
        <v>0</v>
      </c>
      <c r="O232" s="94" t="s">
        <v>106</v>
      </c>
      <c r="P232" s="26">
        <f>uurtarief56</f>
        <v>0</v>
      </c>
      <c r="Q232" s="96" t="e">
        <f>IF(ISBLANK(M232),0,L232/M232)</f>
        <v>#DIV/0!</v>
      </c>
      <c r="R232" s="96" t="e">
        <f>IF(ISBLANK(M232),0,Q232*N232)</f>
        <v>#DIV/0!</v>
      </c>
      <c r="S232" s="26" t="e">
        <f>P232*Q232</f>
        <v>#DIV/0!</v>
      </c>
      <c r="T232" s="96" t="e">
        <f>Q232*dagenperjaar1</f>
        <v>#DIV/0!</v>
      </c>
      <c r="U232" s="27" t="e">
        <f>T232*P232</f>
        <v>#DIV/0!</v>
      </c>
    </row>
    <row r="233" spans="1:21" x14ac:dyDescent="0.3">
      <c r="A233" s="93" t="s">
        <v>512</v>
      </c>
      <c r="B233" s="94" t="s">
        <v>40</v>
      </c>
      <c r="C233" s="94" t="s">
        <v>419</v>
      </c>
      <c r="D233" s="94" t="s">
        <v>576</v>
      </c>
      <c r="E233" s="95" t="s">
        <v>315</v>
      </c>
      <c r="F233" s="94" t="s">
        <v>304</v>
      </c>
      <c r="G233" s="94" t="s">
        <v>261</v>
      </c>
      <c r="H233" s="94" t="s">
        <v>11</v>
      </c>
      <c r="I233" s="94" t="s">
        <v>219</v>
      </c>
      <c r="J233" s="94"/>
      <c r="K233" s="96">
        <v>6</v>
      </c>
      <c r="L233" s="96">
        <f>K233*VLOOKUP(H233,dagsoorttabel1,2,FALSE)</f>
        <v>6</v>
      </c>
      <c r="M233" s="97">
        <f>prodnorm56</f>
        <v>0</v>
      </c>
      <c r="N233" s="41">
        <f>dagwerk56</f>
        <v>0</v>
      </c>
      <c r="O233" s="94" t="s">
        <v>106</v>
      </c>
      <c r="P233" s="26">
        <f>uurtarief56</f>
        <v>0</v>
      </c>
      <c r="Q233" s="96" t="e">
        <f>IF(ISBLANK(M233),0,L233/M233)</f>
        <v>#DIV/0!</v>
      </c>
      <c r="R233" s="96" t="e">
        <f>IF(ISBLANK(M233),0,Q233*N233)</f>
        <v>#DIV/0!</v>
      </c>
      <c r="S233" s="26" t="e">
        <f>P233*Q233</f>
        <v>#DIV/0!</v>
      </c>
      <c r="T233" s="96" t="e">
        <f>Q233*dagenperjaar1</f>
        <v>#DIV/0!</v>
      </c>
      <c r="U233" s="27" t="e">
        <f>T233*P233</f>
        <v>#DIV/0!</v>
      </c>
    </row>
    <row r="234" spans="1:21" x14ac:dyDescent="0.3">
      <c r="A234" s="93" t="s">
        <v>512</v>
      </c>
      <c r="B234" s="94" t="s">
        <v>40</v>
      </c>
      <c r="C234" s="94" t="s">
        <v>419</v>
      </c>
      <c r="D234" s="94" t="s">
        <v>577</v>
      </c>
      <c r="E234" s="95" t="s">
        <v>315</v>
      </c>
      <c r="F234" s="94" t="s">
        <v>304</v>
      </c>
      <c r="G234" s="94" t="s">
        <v>261</v>
      </c>
      <c r="H234" s="94" t="s">
        <v>11</v>
      </c>
      <c r="I234" s="94" t="s">
        <v>219</v>
      </c>
      <c r="J234" s="94"/>
      <c r="K234" s="96">
        <v>4</v>
      </c>
      <c r="L234" s="96">
        <f>K234*VLOOKUP(H234,dagsoorttabel1,2,FALSE)</f>
        <v>4</v>
      </c>
      <c r="M234" s="97">
        <f>prodnorm56</f>
        <v>0</v>
      </c>
      <c r="N234" s="41">
        <f>dagwerk56</f>
        <v>0</v>
      </c>
      <c r="O234" s="94" t="s">
        <v>106</v>
      </c>
      <c r="P234" s="26">
        <f>uurtarief56</f>
        <v>0</v>
      </c>
      <c r="Q234" s="96" t="e">
        <f>IF(ISBLANK(M234),0,L234/M234)</f>
        <v>#DIV/0!</v>
      </c>
      <c r="R234" s="96" t="e">
        <f>IF(ISBLANK(M234),0,Q234*N234)</f>
        <v>#DIV/0!</v>
      </c>
      <c r="S234" s="26" t="e">
        <f>P234*Q234</f>
        <v>#DIV/0!</v>
      </c>
      <c r="T234" s="96" t="e">
        <f>Q234*dagenperjaar1</f>
        <v>#DIV/0!</v>
      </c>
      <c r="U234" s="27" t="e">
        <f>T234*P234</f>
        <v>#DIV/0!</v>
      </c>
    </row>
    <row r="235" spans="1:21" x14ac:dyDescent="0.3">
      <c r="A235" s="93" t="s">
        <v>512</v>
      </c>
      <c r="B235" s="94" t="s">
        <v>40</v>
      </c>
      <c r="C235" s="94" t="s">
        <v>419</v>
      </c>
      <c r="D235" s="94" t="s">
        <v>578</v>
      </c>
      <c r="E235" s="95" t="s">
        <v>494</v>
      </c>
      <c r="F235" s="94" t="s">
        <v>296</v>
      </c>
      <c r="G235" s="94" t="s">
        <v>223</v>
      </c>
      <c r="H235" s="94" t="s">
        <v>11</v>
      </c>
      <c r="I235" s="94" t="s">
        <v>219</v>
      </c>
      <c r="J235" s="94"/>
      <c r="K235" s="96">
        <v>36</v>
      </c>
      <c r="L235" s="96">
        <f>K235*VLOOKUP(H235,dagsoorttabel1,2,FALSE)</f>
        <v>36</v>
      </c>
      <c r="M235" s="97">
        <f>prodnorm18</f>
        <v>0</v>
      </c>
      <c r="N235" s="41">
        <f>dagwerk18</f>
        <v>0</v>
      </c>
      <c r="O235" s="94" t="s">
        <v>106</v>
      </c>
      <c r="P235" s="26">
        <f>uurtarief18</f>
        <v>0</v>
      </c>
      <c r="Q235" s="96" t="e">
        <f>IF(ISBLANK(M235),0,L235/M235)</f>
        <v>#DIV/0!</v>
      </c>
      <c r="R235" s="96" t="e">
        <f>IF(ISBLANK(M235),0,Q235*N235)</f>
        <v>#DIV/0!</v>
      </c>
      <c r="S235" s="26" t="e">
        <f>P235*Q235</f>
        <v>#DIV/0!</v>
      </c>
      <c r="T235" s="96" t="e">
        <f>Q235*dagenperjaar1</f>
        <v>#DIV/0!</v>
      </c>
      <c r="U235" s="27" t="e">
        <f>T235*P235</f>
        <v>#DIV/0!</v>
      </c>
    </row>
    <row r="236" spans="1:21" x14ac:dyDescent="0.3">
      <c r="A236" s="93" t="s">
        <v>512</v>
      </c>
      <c r="B236" s="94" t="s">
        <v>40</v>
      </c>
      <c r="C236" s="94" t="s">
        <v>419</v>
      </c>
      <c r="D236" s="94" t="s">
        <v>579</v>
      </c>
      <c r="E236" s="95" t="s">
        <v>580</v>
      </c>
      <c r="F236" s="94" t="s">
        <v>296</v>
      </c>
      <c r="G236" s="94" t="s">
        <v>257</v>
      </c>
      <c r="H236" s="94" t="s">
        <v>11</v>
      </c>
      <c r="I236" s="94" t="s">
        <v>219</v>
      </c>
      <c r="J236" s="94"/>
      <c r="K236" s="96">
        <v>82</v>
      </c>
      <c r="L236" s="96">
        <f>K236*VLOOKUP(H236,dagsoorttabel1,2,FALSE)</f>
        <v>82</v>
      </c>
      <c r="M236" s="97">
        <f>prodnorm52</f>
        <v>0</v>
      </c>
      <c r="N236" s="41">
        <f>dagwerk52</f>
        <v>0</v>
      </c>
      <c r="O236" s="94" t="s">
        <v>106</v>
      </c>
      <c r="P236" s="26">
        <f>uurtarief52</f>
        <v>0</v>
      </c>
      <c r="Q236" s="96" t="e">
        <f>IF(ISBLANK(M236),0,L236/M236)</f>
        <v>#DIV/0!</v>
      </c>
      <c r="R236" s="96" t="e">
        <f>IF(ISBLANK(M236),0,Q236*N236)</f>
        <v>#DIV/0!</v>
      </c>
      <c r="S236" s="26" t="e">
        <f>P236*Q236</f>
        <v>#DIV/0!</v>
      </c>
      <c r="T236" s="96" t="e">
        <f>Q236*dagenperjaar1</f>
        <v>#DIV/0!</v>
      </c>
      <c r="U236" s="27" t="e">
        <f>T236*P236</f>
        <v>#DIV/0!</v>
      </c>
    </row>
    <row r="237" spans="1:21" x14ac:dyDescent="0.3">
      <c r="A237" s="93" t="s">
        <v>512</v>
      </c>
      <c r="B237" s="94" t="s">
        <v>40</v>
      </c>
      <c r="C237" s="94" t="s">
        <v>419</v>
      </c>
      <c r="D237" s="94" t="s">
        <v>581</v>
      </c>
      <c r="E237" s="95" t="s">
        <v>308</v>
      </c>
      <c r="F237" s="94" t="s">
        <v>296</v>
      </c>
      <c r="G237" s="94" t="s">
        <v>223</v>
      </c>
      <c r="H237" s="94" t="s">
        <v>11</v>
      </c>
      <c r="I237" s="94" t="s">
        <v>219</v>
      </c>
      <c r="J237" s="94"/>
      <c r="K237" s="96">
        <v>24</v>
      </c>
      <c r="L237" s="96">
        <f>K237*VLOOKUP(H237,dagsoorttabel1,2,FALSE)</f>
        <v>24</v>
      </c>
      <c r="M237" s="97">
        <f>prodnorm18</f>
        <v>0</v>
      </c>
      <c r="N237" s="41">
        <f>dagwerk18</f>
        <v>0</v>
      </c>
      <c r="O237" s="94" t="s">
        <v>106</v>
      </c>
      <c r="P237" s="26">
        <f>uurtarief18</f>
        <v>0</v>
      </c>
      <c r="Q237" s="96" t="e">
        <f>IF(ISBLANK(M237),0,L237/M237)</f>
        <v>#DIV/0!</v>
      </c>
      <c r="R237" s="96" t="e">
        <f>IF(ISBLANK(M237),0,Q237*N237)</f>
        <v>#DIV/0!</v>
      </c>
      <c r="S237" s="26" t="e">
        <f>P237*Q237</f>
        <v>#DIV/0!</v>
      </c>
      <c r="T237" s="96" t="e">
        <f>Q237*dagenperjaar1</f>
        <v>#DIV/0!</v>
      </c>
      <c r="U237" s="27" t="e">
        <f>T237*P237</f>
        <v>#DIV/0!</v>
      </c>
    </row>
    <row r="238" spans="1:21" x14ac:dyDescent="0.3">
      <c r="A238" s="93" t="s">
        <v>512</v>
      </c>
      <c r="B238" s="94" t="s">
        <v>40</v>
      </c>
      <c r="C238" s="94" t="s">
        <v>419</v>
      </c>
      <c r="D238" s="94" t="s">
        <v>582</v>
      </c>
      <c r="E238" s="95" t="s">
        <v>583</v>
      </c>
      <c r="F238" s="94" t="s">
        <v>293</v>
      </c>
      <c r="G238" s="94" t="s">
        <v>221</v>
      </c>
      <c r="H238" s="94" t="s">
        <v>11</v>
      </c>
      <c r="I238" s="94" t="s">
        <v>219</v>
      </c>
      <c r="J238" s="94"/>
      <c r="K238" s="96">
        <v>65.7</v>
      </c>
      <c r="L238" s="96">
        <f>K238*VLOOKUP(H238,dagsoorttabel1,2,FALSE)</f>
        <v>65.7</v>
      </c>
      <c r="M238" s="97">
        <f>prodnorm17</f>
        <v>0</v>
      </c>
      <c r="N238" s="41">
        <f>dagwerk17</f>
        <v>0</v>
      </c>
      <c r="O238" s="94" t="s">
        <v>106</v>
      </c>
      <c r="P238" s="26">
        <f>uurtarief17</f>
        <v>0</v>
      </c>
      <c r="Q238" s="96" t="e">
        <f>IF(ISBLANK(M238),0,L238/M238)</f>
        <v>#DIV/0!</v>
      </c>
      <c r="R238" s="96" t="e">
        <f>IF(ISBLANK(M238),0,Q238*N238)</f>
        <v>#DIV/0!</v>
      </c>
      <c r="S238" s="26" t="e">
        <f>P238*Q238</f>
        <v>#DIV/0!</v>
      </c>
      <c r="T238" s="96" t="e">
        <f>Q238*dagenperjaar1</f>
        <v>#DIV/0!</v>
      </c>
      <c r="U238" s="27" t="e">
        <f>T238*P238</f>
        <v>#DIV/0!</v>
      </c>
    </row>
    <row r="239" spans="1:21" x14ac:dyDescent="0.3">
      <c r="A239" s="93" t="s">
        <v>512</v>
      </c>
      <c r="B239" s="94" t="s">
        <v>40</v>
      </c>
      <c r="C239" s="94" t="s">
        <v>419</v>
      </c>
      <c r="D239" s="94" t="s">
        <v>584</v>
      </c>
      <c r="E239" s="95" t="s">
        <v>585</v>
      </c>
      <c r="F239" s="94" t="s">
        <v>293</v>
      </c>
      <c r="G239" s="94" t="s">
        <v>225</v>
      </c>
      <c r="H239" s="94" t="s">
        <v>11</v>
      </c>
      <c r="I239" s="94" t="s">
        <v>219</v>
      </c>
      <c r="J239" s="94"/>
      <c r="K239" s="96">
        <v>14.5</v>
      </c>
      <c r="L239" s="96">
        <f>K239*VLOOKUP(H239,dagsoorttabel1,2,FALSE)</f>
        <v>14.5</v>
      </c>
      <c r="M239" s="97">
        <f>prodnorm22</f>
        <v>0</v>
      </c>
      <c r="N239" s="41">
        <f>dagwerk22</f>
        <v>0</v>
      </c>
      <c r="O239" s="94" t="s">
        <v>106</v>
      </c>
      <c r="P239" s="26">
        <f>uurtarief22</f>
        <v>0</v>
      </c>
      <c r="Q239" s="96" t="e">
        <f>IF(ISBLANK(M239),0,L239/M239)</f>
        <v>#DIV/0!</v>
      </c>
      <c r="R239" s="96" t="e">
        <f>IF(ISBLANK(M239),0,Q239*N239)</f>
        <v>#DIV/0!</v>
      </c>
      <c r="S239" s="26" t="e">
        <f>P239*Q239</f>
        <v>#DIV/0!</v>
      </c>
      <c r="T239" s="96" t="e">
        <f>Q239*dagenperjaar1</f>
        <v>#DIV/0!</v>
      </c>
      <c r="U239" s="27" t="e">
        <f>T239*P239</f>
        <v>#DIV/0!</v>
      </c>
    </row>
    <row r="240" spans="1:21" x14ac:dyDescent="0.3">
      <c r="A240" s="93" t="s">
        <v>512</v>
      </c>
      <c r="B240" s="94" t="s">
        <v>40</v>
      </c>
      <c r="C240" s="94" t="s">
        <v>419</v>
      </c>
      <c r="D240" s="94" t="s">
        <v>586</v>
      </c>
      <c r="E240" s="95" t="s">
        <v>298</v>
      </c>
      <c r="F240" s="94" t="s">
        <v>293</v>
      </c>
      <c r="G240" s="94" t="s">
        <v>225</v>
      </c>
      <c r="H240" s="94" t="s">
        <v>11</v>
      </c>
      <c r="I240" s="94" t="s">
        <v>219</v>
      </c>
      <c r="J240" s="94"/>
      <c r="K240" s="96">
        <v>8.6999999999999993</v>
      </c>
      <c r="L240" s="96">
        <f>K240*VLOOKUP(H240,dagsoorttabel1,2,FALSE)</f>
        <v>8.6999999999999993</v>
      </c>
      <c r="M240" s="97">
        <f>prodnorm22</f>
        <v>0</v>
      </c>
      <c r="N240" s="41">
        <f>dagwerk22</f>
        <v>0</v>
      </c>
      <c r="O240" s="94" t="s">
        <v>106</v>
      </c>
      <c r="P240" s="26">
        <f>uurtarief22</f>
        <v>0</v>
      </c>
      <c r="Q240" s="96" t="e">
        <f>IF(ISBLANK(M240),0,L240/M240)</f>
        <v>#DIV/0!</v>
      </c>
      <c r="R240" s="96" t="e">
        <f>IF(ISBLANK(M240),0,Q240*N240)</f>
        <v>#DIV/0!</v>
      </c>
      <c r="S240" s="26" t="e">
        <f>P240*Q240</f>
        <v>#DIV/0!</v>
      </c>
      <c r="T240" s="96" t="e">
        <f>Q240*dagenperjaar1</f>
        <v>#DIV/0!</v>
      </c>
      <c r="U240" s="27" t="e">
        <f>T240*P240</f>
        <v>#DIV/0!</v>
      </c>
    </row>
    <row r="241" spans="1:21" x14ac:dyDescent="0.3">
      <c r="A241" s="93" t="s">
        <v>512</v>
      </c>
      <c r="B241" s="94" t="s">
        <v>40</v>
      </c>
      <c r="C241" s="94" t="s">
        <v>419</v>
      </c>
      <c r="D241" s="94" t="s">
        <v>587</v>
      </c>
      <c r="E241" s="95" t="s">
        <v>338</v>
      </c>
      <c r="F241" s="94" t="s">
        <v>296</v>
      </c>
      <c r="G241" s="94" t="s">
        <v>267</v>
      </c>
      <c r="H241" s="94" t="s">
        <v>11</v>
      </c>
      <c r="I241" s="94" t="s">
        <v>219</v>
      </c>
      <c r="J241" s="94"/>
      <c r="K241" s="96">
        <v>18.399999999999999</v>
      </c>
      <c r="L241" s="96">
        <f>K241*VLOOKUP(H241,dagsoorttabel1,2,FALSE)</f>
        <v>18.399999999999999</v>
      </c>
      <c r="M241" s="97">
        <f>prodnorm63</f>
        <v>0</v>
      </c>
      <c r="N241" s="41">
        <f>dagwerk63</f>
        <v>0</v>
      </c>
      <c r="O241" s="94" t="s">
        <v>106</v>
      </c>
      <c r="P241" s="26">
        <f>uurtarief63</f>
        <v>0</v>
      </c>
      <c r="Q241" s="96" t="e">
        <f>IF(ISBLANK(M241),0,L241/M241)</f>
        <v>#DIV/0!</v>
      </c>
      <c r="R241" s="96" t="e">
        <f>IF(ISBLANK(M241),0,Q241*N241)</f>
        <v>#DIV/0!</v>
      </c>
      <c r="S241" s="26" t="e">
        <f>P241*Q241</f>
        <v>#DIV/0!</v>
      </c>
      <c r="T241" s="96" t="e">
        <f>Q241*dagenperjaar1</f>
        <v>#DIV/0!</v>
      </c>
      <c r="U241" s="27" t="e">
        <f>T241*P241</f>
        <v>#DIV/0!</v>
      </c>
    </row>
    <row r="242" spans="1:21" x14ac:dyDescent="0.3">
      <c r="A242" s="93" t="s">
        <v>512</v>
      </c>
      <c r="B242" s="94" t="s">
        <v>40</v>
      </c>
      <c r="C242" s="94" t="s">
        <v>419</v>
      </c>
      <c r="D242" s="94" t="s">
        <v>588</v>
      </c>
      <c r="E242" s="95" t="s">
        <v>303</v>
      </c>
      <c r="F242" s="94" t="s">
        <v>296</v>
      </c>
      <c r="G242" s="94" t="s">
        <v>265</v>
      </c>
      <c r="H242" s="94" t="s">
        <v>11</v>
      </c>
      <c r="I242" s="94" t="s">
        <v>219</v>
      </c>
      <c r="J242" s="94"/>
      <c r="K242" s="96">
        <v>30</v>
      </c>
      <c r="L242" s="96">
        <f>K242*VLOOKUP(H242,dagsoorttabel1,2,FALSE)</f>
        <v>30</v>
      </c>
      <c r="M242" s="97">
        <f>prodnorm61</f>
        <v>0</v>
      </c>
      <c r="N242" s="41">
        <f>dagwerk61</f>
        <v>0</v>
      </c>
      <c r="O242" s="94" t="s">
        <v>106</v>
      </c>
      <c r="P242" s="26">
        <f>uurtarief61</f>
        <v>0</v>
      </c>
      <c r="Q242" s="96" t="e">
        <f>IF(ISBLANK(M242),0,L242/M242)</f>
        <v>#DIV/0!</v>
      </c>
      <c r="R242" s="96" t="e">
        <f>IF(ISBLANK(M242),0,Q242*N242)</f>
        <v>#DIV/0!</v>
      </c>
      <c r="S242" s="26" t="e">
        <f>P242*Q242</f>
        <v>#DIV/0!</v>
      </c>
      <c r="T242" s="96" t="e">
        <f>Q242*dagenperjaar1</f>
        <v>#DIV/0!</v>
      </c>
      <c r="U242" s="27" t="e">
        <f>T242*P242</f>
        <v>#DIV/0!</v>
      </c>
    </row>
    <row r="243" spans="1:21" x14ac:dyDescent="0.3">
      <c r="A243" s="93" t="s">
        <v>512</v>
      </c>
      <c r="B243" s="94" t="s">
        <v>40</v>
      </c>
      <c r="C243" s="94" t="s">
        <v>419</v>
      </c>
      <c r="D243" s="94" t="s">
        <v>589</v>
      </c>
      <c r="E243" s="95" t="s">
        <v>590</v>
      </c>
      <c r="F243" s="94" t="s">
        <v>296</v>
      </c>
      <c r="G243" s="94" t="s">
        <v>257</v>
      </c>
      <c r="H243" s="94" t="s">
        <v>11</v>
      </c>
      <c r="I243" s="94" t="s">
        <v>219</v>
      </c>
      <c r="J243" s="94"/>
      <c r="K243" s="96">
        <v>170</v>
      </c>
      <c r="L243" s="96">
        <f>K243*VLOOKUP(H243,dagsoorttabel1,2,FALSE)</f>
        <v>170</v>
      </c>
      <c r="M243" s="97">
        <f>prodnorm52</f>
        <v>0</v>
      </c>
      <c r="N243" s="41">
        <f>dagwerk52</f>
        <v>0</v>
      </c>
      <c r="O243" s="94" t="s">
        <v>106</v>
      </c>
      <c r="P243" s="26">
        <f>uurtarief52</f>
        <v>0</v>
      </c>
      <c r="Q243" s="96" t="e">
        <f>IF(ISBLANK(M243),0,L243/M243)</f>
        <v>#DIV/0!</v>
      </c>
      <c r="R243" s="96" t="e">
        <f>IF(ISBLANK(M243),0,Q243*N243)</f>
        <v>#DIV/0!</v>
      </c>
      <c r="S243" s="26" t="e">
        <f>P243*Q243</f>
        <v>#DIV/0!</v>
      </c>
      <c r="T243" s="96" t="e">
        <f>Q243*dagenperjaar1</f>
        <v>#DIV/0!</v>
      </c>
      <c r="U243" s="27" t="e">
        <f>T243*P243</f>
        <v>#DIV/0!</v>
      </c>
    </row>
    <row r="244" spans="1:21" x14ac:dyDescent="0.3">
      <c r="A244" s="93" t="s">
        <v>512</v>
      </c>
      <c r="B244" s="94" t="s">
        <v>40</v>
      </c>
      <c r="C244" s="94" t="s">
        <v>419</v>
      </c>
      <c r="D244" s="94" t="s">
        <v>591</v>
      </c>
      <c r="E244" s="95" t="s">
        <v>592</v>
      </c>
      <c r="F244" s="94" t="s">
        <v>296</v>
      </c>
      <c r="G244" s="94" t="s">
        <v>223</v>
      </c>
      <c r="H244" s="94" t="s">
        <v>11</v>
      </c>
      <c r="I244" s="94" t="s">
        <v>219</v>
      </c>
      <c r="J244" s="94"/>
      <c r="K244" s="96">
        <v>10</v>
      </c>
      <c r="L244" s="96">
        <f>K244*VLOOKUP(H244,dagsoorttabel1,2,FALSE)</f>
        <v>10</v>
      </c>
      <c r="M244" s="97">
        <f>prodnorm18</f>
        <v>0</v>
      </c>
      <c r="N244" s="41">
        <f>dagwerk18</f>
        <v>0</v>
      </c>
      <c r="O244" s="94" t="s">
        <v>106</v>
      </c>
      <c r="P244" s="26">
        <f>uurtarief18</f>
        <v>0</v>
      </c>
      <c r="Q244" s="96" t="e">
        <f>IF(ISBLANK(M244),0,L244/M244)</f>
        <v>#DIV/0!</v>
      </c>
      <c r="R244" s="96" t="e">
        <f>IF(ISBLANK(M244),0,Q244*N244)</f>
        <v>#DIV/0!</v>
      </c>
      <c r="S244" s="26" t="e">
        <f>P244*Q244</f>
        <v>#DIV/0!</v>
      </c>
      <c r="T244" s="96" t="e">
        <f>Q244*dagenperjaar1</f>
        <v>#DIV/0!</v>
      </c>
      <c r="U244" s="27" t="e">
        <f>T244*P244</f>
        <v>#DIV/0!</v>
      </c>
    </row>
    <row r="245" spans="1:21" x14ac:dyDescent="0.3">
      <c r="A245" s="93" t="s">
        <v>512</v>
      </c>
      <c r="B245" s="94" t="s">
        <v>40</v>
      </c>
      <c r="C245" s="94" t="s">
        <v>419</v>
      </c>
      <c r="D245" s="94" t="s">
        <v>593</v>
      </c>
      <c r="E245" s="95" t="s">
        <v>306</v>
      </c>
      <c r="F245" s="94" t="s">
        <v>296</v>
      </c>
      <c r="G245" s="94" t="s">
        <v>267</v>
      </c>
      <c r="H245" s="94" t="s">
        <v>11</v>
      </c>
      <c r="I245" s="94" t="s">
        <v>219</v>
      </c>
      <c r="J245" s="94"/>
      <c r="K245" s="96">
        <v>8</v>
      </c>
      <c r="L245" s="96">
        <f>K245*VLOOKUP(H245,dagsoorttabel1,2,FALSE)</f>
        <v>8</v>
      </c>
      <c r="M245" s="97">
        <f>prodnorm63</f>
        <v>0</v>
      </c>
      <c r="N245" s="41">
        <f>dagwerk63</f>
        <v>0</v>
      </c>
      <c r="O245" s="94" t="s">
        <v>106</v>
      </c>
      <c r="P245" s="26">
        <f>uurtarief63</f>
        <v>0</v>
      </c>
      <c r="Q245" s="96" t="e">
        <f>IF(ISBLANK(M245),0,L245/M245)</f>
        <v>#DIV/0!</v>
      </c>
      <c r="R245" s="96" t="e">
        <f>IF(ISBLANK(M245),0,Q245*N245)</f>
        <v>#DIV/0!</v>
      </c>
      <c r="S245" s="26" t="e">
        <f>P245*Q245</f>
        <v>#DIV/0!</v>
      </c>
      <c r="T245" s="96" t="e">
        <f>Q245*dagenperjaar1</f>
        <v>#DIV/0!</v>
      </c>
      <c r="U245" s="27" t="e">
        <f>T245*P245</f>
        <v>#DIV/0!</v>
      </c>
    </row>
    <row r="246" spans="1:21" x14ac:dyDescent="0.3">
      <c r="A246" s="93" t="s">
        <v>512</v>
      </c>
      <c r="B246" s="94" t="s">
        <v>40</v>
      </c>
      <c r="C246" s="94" t="s">
        <v>419</v>
      </c>
      <c r="D246" s="94" t="s">
        <v>594</v>
      </c>
      <c r="E246" s="95" t="s">
        <v>351</v>
      </c>
      <c r="F246" s="94" t="s">
        <v>304</v>
      </c>
      <c r="G246" s="94" t="s">
        <v>239</v>
      </c>
      <c r="H246" s="94" t="s">
        <v>11</v>
      </c>
      <c r="I246" s="94" t="s">
        <v>219</v>
      </c>
      <c r="J246" s="94"/>
      <c r="K246" s="96">
        <v>40</v>
      </c>
      <c r="L246" s="96">
        <f>K246*VLOOKUP(H246,dagsoorttabel1,2,FALSE)</f>
        <v>40</v>
      </c>
      <c r="M246" s="97">
        <f>prodnorm36</f>
        <v>0</v>
      </c>
      <c r="N246" s="41">
        <f>dagwerk36</f>
        <v>0</v>
      </c>
      <c r="O246" s="94" t="s">
        <v>106</v>
      </c>
      <c r="P246" s="26">
        <f>uurtarief36</f>
        <v>0</v>
      </c>
      <c r="Q246" s="96" t="e">
        <f>IF(ISBLANK(M246),0,L246/M246)</f>
        <v>#DIV/0!</v>
      </c>
      <c r="R246" s="96" t="e">
        <f>IF(ISBLANK(M246),0,Q246*N246)</f>
        <v>#DIV/0!</v>
      </c>
      <c r="S246" s="26" t="e">
        <f>P246*Q246</f>
        <v>#DIV/0!</v>
      </c>
      <c r="T246" s="96" t="e">
        <f>Q246*dagenperjaar1</f>
        <v>#DIV/0!</v>
      </c>
      <c r="U246" s="27" t="e">
        <f>T246*P246</f>
        <v>#DIV/0!</v>
      </c>
    </row>
    <row r="247" spans="1:21" x14ac:dyDescent="0.3">
      <c r="A247" s="93" t="s">
        <v>512</v>
      </c>
      <c r="B247" s="94" t="s">
        <v>40</v>
      </c>
      <c r="C247" s="94" t="s">
        <v>419</v>
      </c>
      <c r="D247" s="94" t="s">
        <v>595</v>
      </c>
      <c r="E247" s="95" t="s">
        <v>554</v>
      </c>
      <c r="F247" s="94" t="s">
        <v>304</v>
      </c>
      <c r="G247" s="94" t="s">
        <v>227</v>
      </c>
      <c r="H247" s="94" t="s">
        <v>11</v>
      </c>
      <c r="I247" s="94" t="s">
        <v>219</v>
      </c>
      <c r="J247" s="94"/>
      <c r="K247" s="96">
        <v>1</v>
      </c>
      <c r="L247" s="96">
        <f>K247*VLOOKUP(H247,dagsoorttabel1,2,FALSE)</f>
        <v>1</v>
      </c>
      <c r="M247" s="97">
        <f>prodnorm25</f>
        <v>0</v>
      </c>
      <c r="N247" s="41">
        <f>dagwerk25</f>
        <v>0</v>
      </c>
      <c r="O247" s="94" t="s">
        <v>106</v>
      </c>
      <c r="P247" s="26">
        <f>uurtarief25</f>
        <v>0</v>
      </c>
      <c r="Q247" s="96" t="e">
        <f>IF(ISBLANK(M247),0,L247/M247)</f>
        <v>#DIV/0!</v>
      </c>
      <c r="R247" s="96" t="e">
        <f>IF(ISBLANK(M247),0,Q247*N247)</f>
        <v>#DIV/0!</v>
      </c>
      <c r="S247" s="26" t="e">
        <f>P247*Q247</f>
        <v>#DIV/0!</v>
      </c>
      <c r="T247" s="96" t="e">
        <f>Q247*dagenperjaar1</f>
        <v>#DIV/0!</v>
      </c>
      <c r="U247" s="27" t="e">
        <f>T247*P247</f>
        <v>#DIV/0!</v>
      </c>
    </row>
    <row r="248" spans="1:21" x14ac:dyDescent="0.3">
      <c r="A248" s="93" t="s">
        <v>512</v>
      </c>
      <c r="B248" s="94" t="s">
        <v>40</v>
      </c>
      <c r="C248" s="94" t="s">
        <v>419</v>
      </c>
      <c r="D248" s="94" t="s">
        <v>596</v>
      </c>
      <c r="E248" s="95" t="s">
        <v>554</v>
      </c>
      <c r="F248" s="94" t="s">
        <v>304</v>
      </c>
      <c r="G248" s="94" t="s">
        <v>227</v>
      </c>
      <c r="H248" s="94" t="s">
        <v>11</v>
      </c>
      <c r="I248" s="94" t="s">
        <v>219</v>
      </c>
      <c r="J248" s="94"/>
      <c r="K248" s="96">
        <v>1</v>
      </c>
      <c r="L248" s="96">
        <f>K248*VLOOKUP(H248,dagsoorttabel1,2,FALSE)</f>
        <v>1</v>
      </c>
      <c r="M248" s="97">
        <f>prodnorm25</f>
        <v>0</v>
      </c>
      <c r="N248" s="41">
        <f>dagwerk25</f>
        <v>0</v>
      </c>
      <c r="O248" s="94" t="s">
        <v>106</v>
      </c>
      <c r="P248" s="26">
        <f>uurtarief25</f>
        <v>0</v>
      </c>
      <c r="Q248" s="96" t="e">
        <f>IF(ISBLANK(M248),0,L248/M248)</f>
        <v>#DIV/0!</v>
      </c>
      <c r="R248" s="96" t="e">
        <f>IF(ISBLANK(M248),0,Q248*N248)</f>
        <v>#DIV/0!</v>
      </c>
      <c r="S248" s="26" t="e">
        <f>P248*Q248</f>
        <v>#DIV/0!</v>
      </c>
      <c r="T248" s="96" t="e">
        <f>Q248*dagenperjaar1</f>
        <v>#DIV/0!</v>
      </c>
      <c r="U248" s="27" t="e">
        <f>T248*P248</f>
        <v>#DIV/0!</v>
      </c>
    </row>
    <row r="249" spans="1:21" x14ac:dyDescent="0.3">
      <c r="A249" s="93" t="s">
        <v>512</v>
      </c>
      <c r="B249" s="94" t="s">
        <v>40</v>
      </c>
      <c r="C249" s="94" t="s">
        <v>419</v>
      </c>
      <c r="D249" s="94" t="s">
        <v>597</v>
      </c>
      <c r="E249" s="95" t="s">
        <v>554</v>
      </c>
      <c r="F249" s="94" t="s">
        <v>304</v>
      </c>
      <c r="G249" s="94" t="s">
        <v>227</v>
      </c>
      <c r="H249" s="94" t="s">
        <v>11</v>
      </c>
      <c r="I249" s="94" t="s">
        <v>219</v>
      </c>
      <c r="J249" s="94"/>
      <c r="K249" s="96">
        <v>1</v>
      </c>
      <c r="L249" s="96">
        <f>K249*VLOOKUP(H249,dagsoorttabel1,2,FALSE)</f>
        <v>1</v>
      </c>
      <c r="M249" s="97">
        <f>prodnorm25</f>
        <v>0</v>
      </c>
      <c r="N249" s="41">
        <f>dagwerk25</f>
        <v>0</v>
      </c>
      <c r="O249" s="94" t="s">
        <v>106</v>
      </c>
      <c r="P249" s="26">
        <f>uurtarief25</f>
        <v>0</v>
      </c>
      <c r="Q249" s="96" t="e">
        <f>IF(ISBLANK(M249),0,L249/M249)</f>
        <v>#DIV/0!</v>
      </c>
      <c r="R249" s="96" t="e">
        <f>IF(ISBLANK(M249),0,Q249*N249)</f>
        <v>#DIV/0!</v>
      </c>
      <c r="S249" s="26" t="e">
        <f>P249*Q249</f>
        <v>#DIV/0!</v>
      </c>
      <c r="T249" s="96" t="e">
        <f>Q249*dagenperjaar1</f>
        <v>#DIV/0!</v>
      </c>
      <c r="U249" s="27" t="e">
        <f>T249*P249</f>
        <v>#DIV/0!</v>
      </c>
    </row>
    <row r="250" spans="1:21" x14ac:dyDescent="0.3">
      <c r="A250" s="93" t="s">
        <v>512</v>
      </c>
      <c r="B250" s="94" t="s">
        <v>40</v>
      </c>
      <c r="C250" s="94" t="s">
        <v>419</v>
      </c>
      <c r="D250" s="94" t="s">
        <v>598</v>
      </c>
      <c r="E250" s="95" t="s">
        <v>554</v>
      </c>
      <c r="F250" s="94" t="s">
        <v>304</v>
      </c>
      <c r="G250" s="94" t="s">
        <v>227</v>
      </c>
      <c r="H250" s="94" t="s">
        <v>11</v>
      </c>
      <c r="I250" s="94" t="s">
        <v>219</v>
      </c>
      <c r="J250" s="94"/>
      <c r="K250" s="96">
        <v>1</v>
      </c>
      <c r="L250" s="96">
        <f>K250*VLOOKUP(H250,dagsoorttabel1,2,FALSE)</f>
        <v>1</v>
      </c>
      <c r="M250" s="97">
        <f>prodnorm25</f>
        <v>0</v>
      </c>
      <c r="N250" s="41">
        <f>dagwerk25</f>
        <v>0</v>
      </c>
      <c r="O250" s="94" t="s">
        <v>106</v>
      </c>
      <c r="P250" s="26">
        <f>uurtarief25</f>
        <v>0</v>
      </c>
      <c r="Q250" s="96" t="e">
        <f>IF(ISBLANK(M250),0,L250/M250)</f>
        <v>#DIV/0!</v>
      </c>
      <c r="R250" s="96" t="e">
        <f>IF(ISBLANK(M250),0,Q250*N250)</f>
        <v>#DIV/0!</v>
      </c>
      <c r="S250" s="26" t="e">
        <f>P250*Q250</f>
        <v>#DIV/0!</v>
      </c>
      <c r="T250" s="96" t="e">
        <f>Q250*dagenperjaar1</f>
        <v>#DIV/0!</v>
      </c>
      <c r="U250" s="27" t="e">
        <f>T250*P250</f>
        <v>#DIV/0!</v>
      </c>
    </row>
    <row r="251" spans="1:21" x14ac:dyDescent="0.3">
      <c r="A251" s="93" t="s">
        <v>512</v>
      </c>
      <c r="B251" s="94" t="s">
        <v>40</v>
      </c>
      <c r="C251" s="94" t="s">
        <v>419</v>
      </c>
      <c r="D251" s="94" t="s">
        <v>599</v>
      </c>
      <c r="E251" s="95" t="s">
        <v>315</v>
      </c>
      <c r="F251" s="94" t="s">
        <v>304</v>
      </c>
      <c r="G251" s="94" t="s">
        <v>261</v>
      </c>
      <c r="H251" s="94" t="s">
        <v>11</v>
      </c>
      <c r="I251" s="94" t="s">
        <v>219</v>
      </c>
      <c r="J251" s="94"/>
      <c r="K251" s="96">
        <v>1</v>
      </c>
      <c r="L251" s="96">
        <f>K251*VLOOKUP(H251,dagsoorttabel1,2,FALSE)</f>
        <v>1</v>
      </c>
      <c r="M251" s="97">
        <f>prodnorm56</f>
        <v>0</v>
      </c>
      <c r="N251" s="41">
        <f>dagwerk56</f>
        <v>0</v>
      </c>
      <c r="O251" s="94" t="s">
        <v>106</v>
      </c>
      <c r="P251" s="26">
        <f>uurtarief56</f>
        <v>0</v>
      </c>
      <c r="Q251" s="96" t="e">
        <f>IF(ISBLANK(M251),0,L251/M251)</f>
        <v>#DIV/0!</v>
      </c>
      <c r="R251" s="96" t="e">
        <f>IF(ISBLANK(M251),0,Q251*N251)</f>
        <v>#DIV/0!</v>
      </c>
      <c r="S251" s="26" t="e">
        <f>P251*Q251</f>
        <v>#DIV/0!</v>
      </c>
      <c r="T251" s="96" t="e">
        <f>Q251*dagenperjaar1</f>
        <v>#DIV/0!</v>
      </c>
      <c r="U251" s="27" t="e">
        <f>T251*P251</f>
        <v>#DIV/0!</v>
      </c>
    </row>
    <row r="252" spans="1:21" x14ac:dyDescent="0.3">
      <c r="A252" s="93" t="s">
        <v>512</v>
      </c>
      <c r="B252" s="94" t="s">
        <v>40</v>
      </c>
      <c r="C252" s="94" t="s">
        <v>419</v>
      </c>
      <c r="D252" s="94" t="s">
        <v>600</v>
      </c>
      <c r="E252" s="95" t="s">
        <v>353</v>
      </c>
      <c r="F252" s="94" t="s">
        <v>296</v>
      </c>
      <c r="G252" s="94" t="s">
        <v>239</v>
      </c>
      <c r="H252" s="94" t="s">
        <v>11</v>
      </c>
      <c r="I252" s="94" t="s">
        <v>219</v>
      </c>
      <c r="J252" s="94"/>
      <c r="K252" s="96">
        <v>10</v>
      </c>
      <c r="L252" s="96">
        <f>K252*VLOOKUP(H252,dagsoorttabel1,2,FALSE)</f>
        <v>10</v>
      </c>
      <c r="M252" s="97">
        <f>prodnorm36</f>
        <v>0</v>
      </c>
      <c r="N252" s="41">
        <f>dagwerk36</f>
        <v>0</v>
      </c>
      <c r="O252" s="94" t="s">
        <v>106</v>
      </c>
      <c r="P252" s="26">
        <f>uurtarief36</f>
        <v>0</v>
      </c>
      <c r="Q252" s="96" t="e">
        <f>IF(ISBLANK(M252),0,L252/M252)</f>
        <v>#DIV/0!</v>
      </c>
      <c r="R252" s="96" t="e">
        <f>IF(ISBLANK(M252),0,Q252*N252)</f>
        <v>#DIV/0!</v>
      </c>
      <c r="S252" s="26" t="e">
        <f>P252*Q252</f>
        <v>#DIV/0!</v>
      </c>
      <c r="T252" s="96" t="e">
        <f>Q252*dagenperjaar1</f>
        <v>#DIV/0!</v>
      </c>
      <c r="U252" s="27" t="e">
        <f>T252*P252</f>
        <v>#DIV/0!</v>
      </c>
    </row>
    <row r="253" spans="1:21" x14ac:dyDescent="0.3">
      <c r="A253" s="98" t="s">
        <v>512</v>
      </c>
      <c r="B253" s="99" t="s">
        <v>40</v>
      </c>
      <c r="C253" s="99" t="s">
        <v>419</v>
      </c>
      <c r="D253" s="99" t="s">
        <v>601</v>
      </c>
      <c r="E253" s="100" t="s">
        <v>580</v>
      </c>
      <c r="F253" s="99" t="s">
        <v>296</v>
      </c>
      <c r="G253" s="99" t="s">
        <v>257</v>
      </c>
      <c r="H253" s="99" t="s">
        <v>11</v>
      </c>
      <c r="I253" s="99" t="s">
        <v>219</v>
      </c>
      <c r="J253" s="99"/>
      <c r="K253" s="101">
        <v>73</v>
      </c>
      <c r="L253" s="101">
        <f>K253*VLOOKUP(H253,dagsoorttabel1,2,FALSE)</f>
        <v>73</v>
      </c>
      <c r="M253" s="102">
        <f>prodnorm52</f>
        <v>0</v>
      </c>
      <c r="N253" s="103">
        <f>dagwerk52</f>
        <v>0</v>
      </c>
      <c r="O253" s="99" t="s">
        <v>106</v>
      </c>
      <c r="P253" s="36">
        <f>uurtarief52</f>
        <v>0</v>
      </c>
      <c r="Q253" s="101" t="e">
        <f>IF(ISBLANK(M253),0,L253/M253)</f>
        <v>#DIV/0!</v>
      </c>
      <c r="R253" s="101" t="e">
        <f>IF(ISBLANK(M253),0,Q253*N253)</f>
        <v>#DIV/0!</v>
      </c>
      <c r="S253" s="36" t="e">
        <f>P253*Q253</f>
        <v>#DIV/0!</v>
      </c>
      <c r="T253" s="101" t="e">
        <f>Q253*dagenperjaar1</f>
        <v>#DIV/0!</v>
      </c>
      <c r="U253" s="37" t="e">
        <f>T253*P253</f>
        <v>#DIV/0!</v>
      </c>
    </row>
    <row r="254" spans="1:21" x14ac:dyDescent="0.3">
      <c r="A254" s="104" t="s">
        <v>510</v>
      </c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8" t="e">
        <f>IF(_xlfn.SINGLE(object2_urenjaar1)&gt;0,_xlfn.SINGLE(object2_prijsjaar1)/_xlfn.SINGLE(object2_urenjaar1),0)</f>
        <v>#DIV/0!</v>
      </c>
      <c r="Q254" s="77" t="e">
        <f>SUM(Q178:Q253)</f>
        <v>#DIV/0!</v>
      </c>
      <c r="R254" s="77" t="e">
        <f>SUM(R178:R253)</f>
        <v>#DIV/0!</v>
      </c>
      <c r="S254" s="78" t="e">
        <f>SUM(S178:S253)</f>
        <v>#DIV/0!</v>
      </c>
      <c r="T254" s="77" t="e">
        <f>SUM(T178:T253)</f>
        <v>#DIV/0!</v>
      </c>
      <c r="U254" s="79" t="e">
        <f>SUM(U178:U253)</f>
        <v>#DIV/0!</v>
      </c>
    </row>
    <row r="255" spans="1:21" x14ac:dyDescent="0.3">
      <c r="A255" s="84" t="s">
        <v>602</v>
      </c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74"/>
    </row>
    <row r="256" spans="1:21" x14ac:dyDescent="0.3">
      <c r="A256" s="85" t="s">
        <v>603</v>
      </c>
      <c r="B256" s="86" t="s">
        <v>40</v>
      </c>
      <c r="C256" s="86" t="s">
        <v>604</v>
      </c>
      <c r="D256" s="86" t="s">
        <v>605</v>
      </c>
      <c r="E256" s="87" t="s">
        <v>606</v>
      </c>
      <c r="F256" s="86" t="s">
        <v>607</v>
      </c>
      <c r="G256" s="86" t="s">
        <v>265</v>
      </c>
      <c r="H256" s="86" t="s">
        <v>11</v>
      </c>
      <c r="I256" s="86" t="s">
        <v>219</v>
      </c>
      <c r="J256" s="86"/>
      <c r="K256" s="88">
        <v>25</v>
      </c>
      <c r="L256" s="88">
        <f>K256*VLOOKUP(H256,dagsoorttabel1,2,FALSE)</f>
        <v>25</v>
      </c>
      <c r="M256" s="89">
        <f>prodnorm61</f>
        <v>0</v>
      </c>
      <c r="N256" s="90">
        <f>dagwerk61</f>
        <v>0</v>
      </c>
      <c r="O256" s="86" t="s">
        <v>106</v>
      </c>
      <c r="P256" s="91">
        <f>uurtarief61</f>
        <v>0</v>
      </c>
      <c r="Q256" s="88" t="e">
        <f>IF(ISBLANK(M256),0,L256/M256)</f>
        <v>#DIV/0!</v>
      </c>
      <c r="R256" s="88" t="e">
        <f>IF(ISBLANK(M256),0,Q256*N256)</f>
        <v>#DIV/0!</v>
      </c>
      <c r="S256" s="91" t="e">
        <f>P256*Q256</f>
        <v>#DIV/0!</v>
      </c>
      <c r="T256" s="88" t="e">
        <f>Q256*dagenperjaar1</f>
        <v>#DIV/0!</v>
      </c>
      <c r="U256" s="92" t="e">
        <f>T256*P256</f>
        <v>#DIV/0!</v>
      </c>
    </row>
    <row r="257" spans="1:21" x14ac:dyDescent="0.3">
      <c r="A257" s="93" t="s">
        <v>603</v>
      </c>
      <c r="B257" s="94" t="s">
        <v>40</v>
      </c>
      <c r="C257" s="94" t="s">
        <v>604</v>
      </c>
      <c r="D257" s="94" t="s">
        <v>608</v>
      </c>
      <c r="E257" s="95" t="s">
        <v>609</v>
      </c>
      <c r="F257" s="94" t="s">
        <v>383</v>
      </c>
      <c r="G257" s="94" t="s">
        <v>243</v>
      </c>
      <c r="H257" s="94" t="s">
        <v>11</v>
      </c>
      <c r="I257" s="94" t="s">
        <v>219</v>
      </c>
      <c r="J257" s="94"/>
      <c r="K257" s="96">
        <v>49</v>
      </c>
      <c r="L257" s="96">
        <f>K257*VLOOKUP(H257,dagsoorttabel1,2,FALSE)</f>
        <v>49</v>
      </c>
      <c r="M257" s="97">
        <f>prodnorm40</f>
        <v>0</v>
      </c>
      <c r="N257" s="41">
        <f>dagwerk40</f>
        <v>0</v>
      </c>
      <c r="O257" s="94" t="s">
        <v>106</v>
      </c>
      <c r="P257" s="26">
        <f>uurtarief40</f>
        <v>0</v>
      </c>
      <c r="Q257" s="96" t="e">
        <f>IF(ISBLANK(M257),0,L257/M257)</f>
        <v>#DIV/0!</v>
      </c>
      <c r="R257" s="96" t="e">
        <f>IF(ISBLANK(M257),0,Q257*N257)</f>
        <v>#DIV/0!</v>
      </c>
      <c r="S257" s="26" t="e">
        <f>P257*Q257</f>
        <v>#DIV/0!</v>
      </c>
      <c r="T257" s="96" t="e">
        <f>Q257*dagenperjaar1</f>
        <v>#DIV/0!</v>
      </c>
      <c r="U257" s="27" t="e">
        <f>T257*P257</f>
        <v>#DIV/0!</v>
      </c>
    </row>
    <row r="258" spans="1:21" x14ac:dyDescent="0.3">
      <c r="A258" s="93" t="s">
        <v>603</v>
      </c>
      <c r="B258" s="94" t="s">
        <v>40</v>
      </c>
      <c r="C258" s="94" t="s">
        <v>604</v>
      </c>
      <c r="D258" s="94" t="s">
        <v>610</v>
      </c>
      <c r="E258" s="95" t="s">
        <v>338</v>
      </c>
      <c r="F258" s="94" t="s">
        <v>383</v>
      </c>
      <c r="G258" s="94" t="s">
        <v>267</v>
      </c>
      <c r="H258" s="94" t="s">
        <v>11</v>
      </c>
      <c r="I258" s="94" t="s">
        <v>219</v>
      </c>
      <c r="J258" s="94"/>
      <c r="K258" s="96">
        <v>52</v>
      </c>
      <c r="L258" s="96">
        <f>K258*VLOOKUP(H258,dagsoorttabel1,2,FALSE)</f>
        <v>52</v>
      </c>
      <c r="M258" s="97">
        <f>prodnorm63</f>
        <v>0</v>
      </c>
      <c r="N258" s="41">
        <f>dagwerk63</f>
        <v>0</v>
      </c>
      <c r="O258" s="94" t="s">
        <v>106</v>
      </c>
      <c r="P258" s="26">
        <f>uurtarief63</f>
        <v>0</v>
      </c>
      <c r="Q258" s="96" t="e">
        <f>IF(ISBLANK(M258),0,L258/M258)</f>
        <v>#DIV/0!</v>
      </c>
      <c r="R258" s="96" t="e">
        <f>IF(ISBLANK(M258),0,Q258*N258)</f>
        <v>#DIV/0!</v>
      </c>
      <c r="S258" s="26" t="e">
        <f>P258*Q258</f>
        <v>#DIV/0!</v>
      </c>
      <c r="T258" s="96" t="e">
        <f>Q258*dagenperjaar1</f>
        <v>#DIV/0!</v>
      </c>
      <c r="U258" s="27" t="e">
        <f>T258*P258</f>
        <v>#DIV/0!</v>
      </c>
    </row>
    <row r="259" spans="1:21" x14ac:dyDescent="0.3">
      <c r="A259" s="93" t="s">
        <v>603</v>
      </c>
      <c r="B259" s="94" t="s">
        <v>40</v>
      </c>
      <c r="C259" s="94" t="s">
        <v>604</v>
      </c>
      <c r="D259" s="94" t="s">
        <v>611</v>
      </c>
      <c r="E259" s="95" t="s">
        <v>329</v>
      </c>
      <c r="F259" s="94" t="s">
        <v>383</v>
      </c>
      <c r="G259" s="94" t="s">
        <v>218</v>
      </c>
      <c r="H259" s="94" t="s">
        <v>11</v>
      </c>
      <c r="I259" s="94" t="s">
        <v>219</v>
      </c>
      <c r="J259" s="94"/>
      <c r="K259" s="96">
        <v>106</v>
      </c>
      <c r="L259" s="96">
        <f>K259*VLOOKUP(H259,dagsoorttabel1,2,FALSE)</f>
        <v>106</v>
      </c>
      <c r="M259" s="97">
        <f>prodnorm16</f>
        <v>0</v>
      </c>
      <c r="N259" s="41">
        <f>dagwerk16</f>
        <v>0</v>
      </c>
      <c r="O259" s="94" t="s">
        <v>106</v>
      </c>
      <c r="P259" s="26">
        <f>uurtarief16</f>
        <v>0</v>
      </c>
      <c r="Q259" s="96" t="e">
        <f>IF(ISBLANK(M259),0,L259/M259)</f>
        <v>#DIV/0!</v>
      </c>
      <c r="R259" s="96" t="e">
        <f>IF(ISBLANK(M259),0,Q259*N259)</f>
        <v>#DIV/0!</v>
      </c>
      <c r="S259" s="26" t="e">
        <f>P259*Q259</f>
        <v>#DIV/0!</v>
      </c>
      <c r="T259" s="96" t="e">
        <f>Q259*dagenperjaar1</f>
        <v>#DIV/0!</v>
      </c>
      <c r="U259" s="27" t="e">
        <f>T259*P259</f>
        <v>#DIV/0!</v>
      </c>
    </row>
    <row r="260" spans="1:21" x14ac:dyDescent="0.3">
      <c r="A260" s="93" t="s">
        <v>603</v>
      </c>
      <c r="B260" s="94" t="s">
        <v>40</v>
      </c>
      <c r="C260" s="94" t="s">
        <v>290</v>
      </c>
      <c r="D260" s="94" t="s">
        <v>513</v>
      </c>
      <c r="E260" s="95" t="s">
        <v>292</v>
      </c>
      <c r="F260" s="94" t="s">
        <v>612</v>
      </c>
      <c r="G260" s="94" t="s">
        <v>231</v>
      </c>
      <c r="H260" s="94" t="s">
        <v>11</v>
      </c>
      <c r="I260" s="94" t="s">
        <v>219</v>
      </c>
      <c r="J260" s="94"/>
      <c r="K260" s="96">
        <v>12.8</v>
      </c>
      <c r="L260" s="96">
        <f>K260*VLOOKUP(H260,dagsoorttabel1,2,FALSE)</f>
        <v>12.8</v>
      </c>
      <c r="M260" s="97">
        <f>prodnorm29</f>
        <v>0</v>
      </c>
      <c r="N260" s="41">
        <f>dagwerk29</f>
        <v>0</v>
      </c>
      <c r="O260" s="94" t="s">
        <v>106</v>
      </c>
      <c r="P260" s="26">
        <f>uurtarief29</f>
        <v>0</v>
      </c>
      <c r="Q260" s="96" t="e">
        <f>IF(ISBLANK(M260),0,L260/M260)</f>
        <v>#DIV/0!</v>
      </c>
      <c r="R260" s="96" t="e">
        <f>IF(ISBLANK(M260),0,Q260*N260)</f>
        <v>#DIV/0!</v>
      </c>
      <c r="S260" s="26" t="e">
        <f>P260*Q260</f>
        <v>#DIV/0!</v>
      </c>
      <c r="T260" s="96" t="e">
        <f>Q260*dagenperjaar1</f>
        <v>#DIV/0!</v>
      </c>
      <c r="U260" s="27" t="e">
        <f>T260*P260</f>
        <v>#DIV/0!</v>
      </c>
    </row>
    <row r="261" spans="1:21" x14ac:dyDescent="0.3">
      <c r="A261" s="93" t="s">
        <v>603</v>
      </c>
      <c r="B261" s="94" t="s">
        <v>40</v>
      </c>
      <c r="C261" s="94" t="s">
        <v>290</v>
      </c>
      <c r="D261" s="94" t="s">
        <v>514</v>
      </c>
      <c r="E261" s="95" t="s">
        <v>613</v>
      </c>
      <c r="F261" s="94" t="s">
        <v>296</v>
      </c>
      <c r="G261" s="94" t="s">
        <v>223</v>
      </c>
      <c r="H261" s="94" t="s">
        <v>16</v>
      </c>
      <c r="I261" s="94" t="s">
        <v>219</v>
      </c>
      <c r="J261" s="94"/>
      <c r="K261" s="96">
        <v>20</v>
      </c>
      <c r="L261" s="96">
        <f>K261*VLOOKUP(H261,dagsoorttabel1,2,FALSE)</f>
        <v>8</v>
      </c>
      <c r="M261" s="97">
        <f>prodnorm20</f>
        <v>0</v>
      </c>
      <c r="N261" s="41">
        <f>dagwerk20</f>
        <v>0</v>
      </c>
      <c r="O261" s="94" t="s">
        <v>106</v>
      </c>
      <c r="P261" s="26">
        <f>uurtarief20</f>
        <v>0</v>
      </c>
      <c r="Q261" s="96" t="e">
        <f>IF(ISBLANK(M261),0,L261/M261)</f>
        <v>#DIV/0!</v>
      </c>
      <c r="R261" s="96" t="e">
        <f>IF(ISBLANK(M261),0,Q261*N261)</f>
        <v>#DIV/0!</v>
      </c>
      <c r="S261" s="26" t="e">
        <f>P261*Q261</f>
        <v>#DIV/0!</v>
      </c>
      <c r="T261" s="96" t="e">
        <f>Q261*dagenperjaar1</f>
        <v>#DIV/0!</v>
      </c>
      <c r="U261" s="27" t="e">
        <f>T261*P261</f>
        <v>#DIV/0!</v>
      </c>
    </row>
    <row r="262" spans="1:21" x14ac:dyDescent="0.3">
      <c r="A262" s="93" t="s">
        <v>603</v>
      </c>
      <c r="B262" s="94" t="s">
        <v>40</v>
      </c>
      <c r="C262" s="94" t="s">
        <v>290</v>
      </c>
      <c r="D262" s="94" t="s">
        <v>516</v>
      </c>
      <c r="E262" s="95" t="s">
        <v>338</v>
      </c>
      <c r="F262" s="94" t="s">
        <v>614</v>
      </c>
      <c r="G262" s="94" t="s">
        <v>267</v>
      </c>
      <c r="H262" s="94" t="s">
        <v>11</v>
      </c>
      <c r="I262" s="94" t="s">
        <v>219</v>
      </c>
      <c r="J262" s="94"/>
      <c r="K262" s="96">
        <v>188</v>
      </c>
      <c r="L262" s="96">
        <f>K262*VLOOKUP(H262,dagsoorttabel1,2,FALSE)</f>
        <v>188</v>
      </c>
      <c r="M262" s="97">
        <f>prodnorm63</f>
        <v>0</v>
      </c>
      <c r="N262" s="41">
        <f>dagwerk63</f>
        <v>0</v>
      </c>
      <c r="O262" s="94" t="s">
        <v>106</v>
      </c>
      <c r="P262" s="26">
        <f>uurtarief63</f>
        <v>0</v>
      </c>
      <c r="Q262" s="96" t="e">
        <f>IF(ISBLANK(M262),0,L262/M262)</f>
        <v>#DIV/0!</v>
      </c>
      <c r="R262" s="96" t="e">
        <f>IF(ISBLANK(M262),0,Q262*N262)</f>
        <v>#DIV/0!</v>
      </c>
      <c r="S262" s="26" t="e">
        <f>P262*Q262</f>
        <v>#DIV/0!</v>
      </c>
      <c r="T262" s="96" t="e">
        <f>Q262*dagenperjaar1</f>
        <v>#DIV/0!</v>
      </c>
      <c r="U262" s="27" t="e">
        <f>T262*P262</f>
        <v>#DIV/0!</v>
      </c>
    </row>
    <row r="263" spans="1:21" x14ac:dyDescent="0.3">
      <c r="A263" s="93" t="s">
        <v>603</v>
      </c>
      <c r="B263" s="94" t="s">
        <v>40</v>
      </c>
      <c r="C263" s="94" t="s">
        <v>290</v>
      </c>
      <c r="D263" s="94" t="s">
        <v>517</v>
      </c>
      <c r="E263" s="95" t="s">
        <v>615</v>
      </c>
      <c r="F263" s="94" t="s">
        <v>316</v>
      </c>
      <c r="G263" s="94" t="s">
        <v>261</v>
      </c>
      <c r="H263" s="94" t="s">
        <v>11</v>
      </c>
      <c r="I263" s="94" t="s">
        <v>219</v>
      </c>
      <c r="J263" s="94"/>
      <c r="K263" s="96">
        <v>11</v>
      </c>
      <c r="L263" s="96">
        <f>K263*VLOOKUP(H263,dagsoorttabel1,2,FALSE)</f>
        <v>11</v>
      </c>
      <c r="M263" s="97">
        <f>prodnorm56</f>
        <v>0</v>
      </c>
      <c r="N263" s="41">
        <f>dagwerk56</f>
        <v>0</v>
      </c>
      <c r="O263" s="94" t="s">
        <v>106</v>
      </c>
      <c r="P263" s="26">
        <f>uurtarief56</f>
        <v>0</v>
      </c>
      <c r="Q263" s="96" t="e">
        <f>IF(ISBLANK(M263),0,L263/M263)</f>
        <v>#DIV/0!</v>
      </c>
      <c r="R263" s="96" t="e">
        <f>IF(ISBLANK(M263),0,Q263*N263)</f>
        <v>#DIV/0!</v>
      </c>
      <c r="S263" s="26" t="e">
        <f>P263*Q263</f>
        <v>#DIV/0!</v>
      </c>
      <c r="T263" s="96" t="e">
        <f>Q263*dagenperjaar1</f>
        <v>#DIV/0!</v>
      </c>
      <c r="U263" s="27" t="e">
        <f>T263*P263</f>
        <v>#DIV/0!</v>
      </c>
    </row>
    <row r="264" spans="1:21" x14ac:dyDescent="0.3">
      <c r="A264" s="93" t="s">
        <v>603</v>
      </c>
      <c r="B264" s="94" t="s">
        <v>40</v>
      </c>
      <c r="C264" s="94" t="s">
        <v>290</v>
      </c>
      <c r="D264" s="94" t="s">
        <v>519</v>
      </c>
      <c r="E264" s="95" t="s">
        <v>616</v>
      </c>
      <c r="F264" s="94" t="s">
        <v>293</v>
      </c>
      <c r="G264" s="94" t="s">
        <v>225</v>
      </c>
      <c r="H264" s="94" t="s">
        <v>11</v>
      </c>
      <c r="I264" s="94" t="s">
        <v>219</v>
      </c>
      <c r="J264" s="94"/>
      <c r="K264" s="96">
        <v>42</v>
      </c>
      <c r="L264" s="96">
        <f>K264*VLOOKUP(H264,dagsoorttabel1,2,FALSE)</f>
        <v>42</v>
      </c>
      <c r="M264" s="97">
        <f>prodnorm22</f>
        <v>0</v>
      </c>
      <c r="N264" s="41">
        <f>dagwerk22</f>
        <v>0</v>
      </c>
      <c r="O264" s="94" t="s">
        <v>106</v>
      </c>
      <c r="P264" s="26">
        <f>uurtarief22</f>
        <v>0</v>
      </c>
      <c r="Q264" s="96" t="e">
        <f>IF(ISBLANK(M264),0,L264/M264)</f>
        <v>#DIV/0!</v>
      </c>
      <c r="R264" s="96" t="e">
        <f>IF(ISBLANK(M264),0,Q264*N264)</f>
        <v>#DIV/0!</v>
      </c>
      <c r="S264" s="26" t="e">
        <f>P264*Q264</f>
        <v>#DIV/0!</v>
      </c>
      <c r="T264" s="96" t="e">
        <f>Q264*dagenperjaar1</f>
        <v>#DIV/0!</v>
      </c>
      <c r="U264" s="27" t="e">
        <f>T264*P264</f>
        <v>#DIV/0!</v>
      </c>
    </row>
    <row r="265" spans="1:21" x14ac:dyDescent="0.3">
      <c r="A265" s="93" t="s">
        <v>603</v>
      </c>
      <c r="B265" s="94" t="s">
        <v>40</v>
      </c>
      <c r="C265" s="94" t="s">
        <v>290</v>
      </c>
      <c r="D265" s="94" t="s">
        <v>520</v>
      </c>
      <c r="E265" s="95" t="s">
        <v>308</v>
      </c>
      <c r="F265" s="94" t="s">
        <v>293</v>
      </c>
      <c r="G265" s="94" t="s">
        <v>225</v>
      </c>
      <c r="H265" s="94" t="s">
        <v>16</v>
      </c>
      <c r="I265" s="94" t="s">
        <v>219</v>
      </c>
      <c r="J265" s="94"/>
      <c r="K265" s="96">
        <v>16</v>
      </c>
      <c r="L265" s="96">
        <f>K265*VLOOKUP(H265,dagsoorttabel1,2,FALSE)</f>
        <v>6.4</v>
      </c>
      <c r="M265" s="97">
        <f>prodnorm24</f>
        <v>0</v>
      </c>
      <c r="N265" s="41">
        <f>dagwerk24</f>
        <v>0</v>
      </c>
      <c r="O265" s="94" t="s">
        <v>106</v>
      </c>
      <c r="P265" s="26">
        <f>uurtarief24</f>
        <v>0</v>
      </c>
      <c r="Q265" s="96" t="e">
        <f>IF(ISBLANK(M265),0,L265/M265)</f>
        <v>#DIV/0!</v>
      </c>
      <c r="R265" s="96" t="e">
        <f>IF(ISBLANK(M265),0,Q265*N265)</f>
        <v>#DIV/0!</v>
      </c>
      <c r="S265" s="26" t="e">
        <f>P265*Q265</f>
        <v>#DIV/0!</v>
      </c>
      <c r="T265" s="96" t="e">
        <f>Q265*dagenperjaar1</f>
        <v>#DIV/0!</v>
      </c>
      <c r="U265" s="27" t="e">
        <f>T265*P265</f>
        <v>#DIV/0!</v>
      </c>
    </row>
    <row r="266" spans="1:21" x14ac:dyDescent="0.3">
      <c r="A266" s="93" t="s">
        <v>603</v>
      </c>
      <c r="B266" s="94" t="s">
        <v>40</v>
      </c>
      <c r="C266" s="94" t="s">
        <v>290</v>
      </c>
      <c r="D266" s="94" t="s">
        <v>521</v>
      </c>
      <c r="E266" s="95" t="s">
        <v>462</v>
      </c>
      <c r="F266" s="94" t="s">
        <v>293</v>
      </c>
      <c r="G266" s="94" t="s">
        <v>225</v>
      </c>
      <c r="H266" s="94" t="s">
        <v>16</v>
      </c>
      <c r="I266" s="94" t="s">
        <v>219</v>
      </c>
      <c r="J266" s="94"/>
      <c r="K266" s="96">
        <v>26</v>
      </c>
      <c r="L266" s="96">
        <f>K266*VLOOKUP(H266,dagsoorttabel1,2,FALSE)</f>
        <v>10.4</v>
      </c>
      <c r="M266" s="97">
        <f>prodnorm24</f>
        <v>0</v>
      </c>
      <c r="N266" s="41">
        <f>dagwerk24</f>
        <v>0</v>
      </c>
      <c r="O266" s="94" t="s">
        <v>106</v>
      </c>
      <c r="P266" s="26">
        <f>uurtarief24</f>
        <v>0</v>
      </c>
      <c r="Q266" s="96" t="e">
        <f>IF(ISBLANK(M266),0,L266/M266)</f>
        <v>#DIV/0!</v>
      </c>
      <c r="R266" s="96" t="e">
        <f>IF(ISBLANK(M266),0,Q266*N266)</f>
        <v>#DIV/0!</v>
      </c>
      <c r="S266" s="26" t="e">
        <f>P266*Q266</f>
        <v>#DIV/0!</v>
      </c>
      <c r="T266" s="96" t="e">
        <f>Q266*dagenperjaar1</f>
        <v>#DIV/0!</v>
      </c>
      <c r="U266" s="27" t="e">
        <f>T266*P266</f>
        <v>#DIV/0!</v>
      </c>
    </row>
    <row r="267" spans="1:21" x14ac:dyDescent="0.3">
      <c r="A267" s="93" t="s">
        <v>603</v>
      </c>
      <c r="B267" s="94" t="s">
        <v>40</v>
      </c>
      <c r="C267" s="94" t="s">
        <v>290</v>
      </c>
      <c r="D267" s="94" t="s">
        <v>522</v>
      </c>
      <c r="E267" s="95" t="s">
        <v>617</v>
      </c>
      <c r="F267" s="94" t="s">
        <v>293</v>
      </c>
      <c r="G267" s="94" t="s">
        <v>267</v>
      </c>
      <c r="H267" s="94" t="s">
        <v>11</v>
      </c>
      <c r="I267" s="94" t="s">
        <v>219</v>
      </c>
      <c r="J267" s="94"/>
      <c r="K267" s="96">
        <v>12</v>
      </c>
      <c r="L267" s="96">
        <f>K267*VLOOKUP(H267,dagsoorttabel1,2,FALSE)</f>
        <v>12</v>
      </c>
      <c r="M267" s="97">
        <f>prodnorm63</f>
        <v>0</v>
      </c>
      <c r="N267" s="41">
        <f>dagwerk63</f>
        <v>0</v>
      </c>
      <c r="O267" s="94" t="s">
        <v>106</v>
      </c>
      <c r="P267" s="26">
        <f>uurtarief63</f>
        <v>0</v>
      </c>
      <c r="Q267" s="96" t="e">
        <f>IF(ISBLANK(M267),0,L267/M267)</f>
        <v>#DIV/0!</v>
      </c>
      <c r="R267" s="96" t="e">
        <f>IF(ISBLANK(M267),0,Q267*N267)</f>
        <v>#DIV/0!</v>
      </c>
      <c r="S267" s="26" t="e">
        <f>P267*Q267</f>
        <v>#DIV/0!</v>
      </c>
      <c r="T267" s="96" t="e">
        <f>Q267*dagenperjaar1</f>
        <v>#DIV/0!</v>
      </c>
      <c r="U267" s="27" t="e">
        <f>T267*P267</f>
        <v>#DIV/0!</v>
      </c>
    </row>
    <row r="268" spans="1:21" x14ac:dyDescent="0.3">
      <c r="A268" s="93" t="s">
        <v>603</v>
      </c>
      <c r="B268" s="94" t="s">
        <v>40</v>
      </c>
      <c r="C268" s="94" t="s">
        <v>290</v>
      </c>
      <c r="D268" s="94" t="s">
        <v>523</v>
      </c>
      <c r="E268" s="95" t="s">
        <v>618</v>
      </c>
      <c r="F268" s="94" t="s">
        <v>296</v>
      </c>
      <c r="G268" s="94" t="s">
        <v>241</v>
      </c>
      <c r="H268" s="94" t="s">
        <v>11</v>
      </c>
      <c r="I268" s="94" t="s">
        <v>219</v>
      </c>
      <c r="J268" s="94"/>
      <c r="K268" s="96">
        <v>56</v>
      </c>
      <c r="L268" s="96">
        <f>K268*VLOOKUP(H268,dagsoorttabel1,2,FALSE)</f>
        <v>56</v>
      </c>
      <c r="M268" s="97">
        <f>prodnorm38</f>
        <v>0</v>
      </c>
      <c r="N268" s="41">
        <f>dagwerk38</f>
        <v>0</v>
      </c>
      <c r="O268" s="94" t="s">
        <v>106</v>
      </c>
      <c r="P268" s="26">
        <f>uurtarief38</f>
        <v>0</v>
      </c>
      <c r="Q268" s="96" t="e">
        <f>IF(ISBLANK(M268),0,L268/M268)</f>
        <v>#DIV/0!</v>
      </c>
      <c r="R268" s="96" t="e">
        <f>IF(ISBLANK(M268),0,Q268*N268)</f>
        <v>#DIV/0!</v>
      </c>
      <c r="S268" s="26" t="e">
        <f>P268*Q268</f>
        <v>#DIV/0!</v>
      </c>
      <c r="T268" s="96" t="e">
        <f>Q268*dagenperjaar1</f>
        <v>#DIV/0!</v>
      </c>
      <c r="U268" s="27" t="e">
        <f>T268*P268</f>
        <v>#DIV/0!</v>
      </c>
    </row>
    <row r="269" spans="1:21" x14ac:dyDescent="0.3">
      <c r="A269" s="93" t="s">
        <v>603</v>
      </c>
      <c r="B269" s="94" t="s">
        <v>40</v>
      </c>
      <c r="C269" s="94" t="s">
        <v>290</v>
      </c>
      <c r="D269" s="94" t="s">
        <v>524</v>
      </c>
      <c r="E269" s="95" t="s">
        <v>619</v>
      </c>
      <c r="F269" s="94" t="s">
        <v>614</v>
      </c>
      <c r="G269" s="94" t="s">
        <v>267</v>
      </c>
      <c r="H269" s="94" t="s">
        <v>11</v>
      </c>
      <c r="I269" s="94" t="s">
        <v>219</v>
      </c>
      <c r="J269" s="94"/>
      <c r="K269" s="96">
        <v>25</v>
      </c>
      <c r="L269" s="96">
        <f>K269*VLOOKUP(H269,dagsoorttabel1,2,FALSE)</f>
        <v>25</v>
      </c>
      <c r="M269" s="97">
        <f>prodnorm63</f>
        <v>0</v>
      </c>
      <c r="N269" s="41">
        <f>dagwerk63</f>
        <v>0</v>
      </c>
      <c r="O269" s="94" t="s">
        <v>106</v>
      </c>
      <c r="P269" s="26">
        <f>uurtarief63</f>
        <v>0</v>
      </c>
      <c r="Q269" s="96" t="e">
        <f>IF(ISBLANK(M269),0,L269/M269)</f>
        <v>#DIV/0!</v>
      </c>
      <c r="R269" s="96" t="e">
        <f>IF(ISBLANK(M269),0,Q269*N269)</f>
        <v>#DIV/0!</v>
      </c>
      <c r="S269" s="26" t="e">
        <f>P269*Q269</f>
        <v>#DIV/0!</v>
      </c>
      <c r="T269" s="96" t="e">
        <f>Q269*dagenperjaar1</f>
        <v>#DIV/0!</v>
      </c>
      <c r="U269" s="27" t="e">
        <f>T269*P269</f>
        <v>#DIV/0!</v>
      </c>
    </row>
    <row r="270" spans="1:21" x14ac:dyDescent="0.3">
      <c r="A270" s="93" t="s">
        <v>603</v>
      </c>
      <c r="B270" s="94" t="s">
        <v>40</v>
      </c>
      <c r="C270" s="94" t="s">
        <v>290</v>
      </c>
      <c r="D270" s="94" t="s">
        <v>525</v>
      </c>
      <c r="E270" s="95" t="s">
        <v>618</v>
      </c>
      <c r="F270" s="94" t="s">
        <v>296</v>
      </c>
      <c r="G270" s="94" t="s">
        <v>241</v>
      </c>
      <c r="H270" s="94" t="s">
        <v>11</v>
      </c>
      <c r="I270" s="94" t="s">
        <v>219</v>
      </c>
      <c r="J270" s="94"/>
      <c r="K270" s="96">
        <v>67</v>
      </c>
      <c r="L270" s="96">
        <f>K270*VLOOKUP(H270,dagsoorttabel1,2,FALSE)</f>
        <v>67</v>
      </c>
      <c r="M270" s="97">
        <f>prodnorm38</f>
        <v>0</v>
      </c>
      <c r="N270" s="41">
        <f>dagwerk38</f>
        <v>0</v>
      </c>
      <c r="O270" s="94" t="s">
        <v>106</v>
      </c>
      <c r="P270" s="26">
        <f>uurtarief38</f>
        <v>0</v>
      </c>
      <c r="Q270" s="96" t="e">
        <f>IF(ISBLANK(M270),0,L270/M270)</f>
        <v>#DIV/0!</v>
      </c>
      <c r="R270" s="96" t="e">
        <f>IF(ISBLANK(M270),0,Q270*N270)</f>
        <v>#DIV/0!</v>
      </c>
      <c r="S270" s="26" t="e">
        <f>P270*Q270</f>
        <v>#DIV/0!</v>
      </c>
      <c r="T270" s="96" t="e">
        <f>Q270*dagenperjaar1</f>
        <v>#DIV/0!</v>
      </c>
      <c r="U270" s="27" t="e">
        <f>T270*P270</f>
        <v>#DIV/0!</v>
      </c>
    </row>
    <row r="271" spans="1:21" x14ac:dyDescent="0.3">
      <c r="A271" s="93" t="s">
        <v>603</v>
      </c>
      <c r="B271" s="94" t="s">
        <v>40</v>
      </c>
      <c r="C271" s="94" t="s">
        <v>290</v>
      </c>
      <c r="D271" s="94" t="s">
        <v>526</v>
      </c>
      <c r="E271" s="95" t="s">
        <v>618</v>
      </c>
      <c r="F271" s="94" t="s">
        <v>296</v>
      </c>
      <c r="G271" s="94" t="s">
        <v>241</v>
      </c>
      <c r="H271" s="94" t="s">
        <v>11</v>
      </c>
      <c r="I271" s="94" t="s">
        <v>219</v>
      </c>
      <c r="J271" s="94"/>
      <c r="K271" s="96">
        <v>56</v>
      </c>
      <c r="L271" s="96">
        <f>K271*VLOOKUP(H271,dagsoorttabel1,2,FALSE)</f>
        <v>56</v>
      </c>
      <c r="M271" s="97">
        <f>prodnorm38</f>
        <v>0</v>
      </c>
      <c r="N271" s="41">
        <f>dagwerk38</f>
        <v>0</v>
      </c>
      <c r="O271" s="94" t="s">
        <v>106</v>
      </c>
      <c r="P271" s="26">
        <f>uurtarief38</f>
        <v>0</v>
      </c>
      <c r="Q271" s="96" t="e">
        <f>IF(ISBLANK(M271),0,L271/M271)</f>
        <v>#DIV/0!</v>
      </c>
      <c r="R271" s="96" t="e">
        <f>IF(ISBLANK(M271),0,Q271*N271)</f>
        <v>#DIV/0!</v>
      </c>
      <c r="S271" s="26" t="e">
        <f>P271*Q271</f>
        <v>#DIV/0!</v>
      </c>
      <c r="T271" s="96" t="e">
        <f>Q271*dagenperjaar1</f>
        <v>#DIV/0!</v>
      </c>
      <c r="U271" s="27" t="e">
        <f>T271*P271</f>
        <v>#DIV/0!</v>
      </c>
    </row>
    <row r="272" spans="1:21" x14ac:dyDescent="0.3">
      <c r="A272" s="93" t="s">
        <v>603</v>
      </c>
      <c r="B272" s="94" t="s">
        <v>40</v>
      </c>
      <c r="C272" s="94" t="s">
        <v>290</v>
      </c>
      <c r="D272" s="94" t="s">
        <v>527</v>
      </c>
      <c r="E272" s="95" t="s">
        <v>618</v>
      </c>
      <c r="F272" s="94" t="s">
        <v>296</v>
      </c>
      <c r="G272" s="94" t="s">
        <v>241</v>
      </c>
      <c r="H272" s="94" t="s">
        <v>11</v>
      </c>
      <c r="I272" s="94" t="s">
        <v>219</v>
      </c>
      <c r="J272" s="94"/>
      <c r="K272" s="96">
        <v>68</v>
      </c>
      <c r="L272" s="96">
        <f>K272*VLOOKUP(H272,dagsoorttabel1,2,FALSE)</f>
        <v>68</v>
      </c>
      <c r="M272" s="97">
        <f>prodnorm38</f>
        <v>0</v>
      </c>
      <c r="N272" s="41">
        <f>dagwerk38</f>
        <v>0</v>
      </c>
      <c r="O272" s="94" t="s">
        <v>106</v>
      </c>
      <c r="P272" s="26">
        <f>uurtarief38</f>
        <v>0</v>
      </c>
      <c r="Q272" s="96" t="e">
        <f>IF(ISBLANK(M272),0,L272/M272)</f>
        <v>#DIV/0!</v>
      </c>
      <c r="R272" s="96" t="e">
        <f>IF(ISBLANK(M272),0,Q272*N272)</f>
        <v>#DIV/0!</v>
      </c>
      <c r="S272" s="26" t="e">
        <f>P272*Q272</f>
        <v>#DIV/0!</v>
      </c>
      <c r="T272" s="96" t="e">
        <f>Q272*dagenperjaar1</f>
        <v>#DIV/0!</v>
      </c>
      <c r="U272" s="27" t="e">
        <f>T272*P272</f>
        <v>#DIV/0!</v>
      </c>
    </row>
    <row r="273" spans="1:21" x14ac:dyDescent="0.3">
      <c r="A273" s="93" t="s">
        <v>603</v>
      </c>
      <c r="B273" s="94" t="s">
        <v>40</v>
      </c>
      <c r="C273" s="94" t="s">
        <v>290</v>
      </c>
      <c r="D273" s="94" t="s">
        <v>528</v>
      </c>
      <c r="E273" s="95" t="s">
        <v>394</v>
      </c>
      <c r="F273" s="94" t="s">
        <v>316</v>
      </c>
      <c r="G273" s="94" t="s">
        <v>261</v>
      </c>
      <c r="H273" s="94" t="s">
        <v>11</v>
      </c>
      <c r="I273" s="94" t="s">
        <v>219</v>
      </c>
      <c r="J273" s="94"/>
      <c r="K273" s="96">
        <v>5</v>
      </c>
      <c r="L273" s="96">
        <f>K273*VLOOKUP(H273,dagsoorttabel1,2,FALSE)</f>
        <v>5</v>
      </c>
      <c r="M273" s="97">
        <f>prodnorm56</f>
        <v>0</v>
      </c>
      <c r="N273" s="41">
        <f>dagwerk56</f>
        <v>0</v>
      </c>
      <c r="O273" s="94" t="s">
        <v>106</v>
      </c>
      <c r="P273" s="26">
        <f>uurtarief56</f>
        <v>0</v>
      </c>
      <c r="Q273" s="96" t="e">
        <f>IF(ISBLANK(M273),0,L273/M273)</f>
        <v>#DIV/0!</v>
      </c>
      <c r="R273" s="96" t="e">
        <f>IF(ISBLANK(M273),0,Q273*N273)</f>
        <v>#DIV/0!</v>
      </c>
      <c r="S273" s="26" t="e">
        <f>P273*Q273</f>
        <v>#DIV/0!</v>
      </c>
      <c r="T273" s="96" t="e">
        <f>Q273*dagenperjaar1</f>
        <v>#DIV/0!</v>
      </c>
      <c r="U273" s="27" t="e">
        <f>T273*P273</f>
        <v>#DIV/0!</v>
      </c>
    </row>
    <row r="274" spans="1:21" x14ac:dyDescent="0.3">
      <c r="A274" s="93" t="s">
        <v>603</v>
      </c>
      <c r="B274" s="94" t="s">
        <v>40</v>
      </c>
      <c r="C274" s="94" t="s">
        <v>290</v>
      </c>
      <c r="D274" s="94" t="s">
        <v>620</v>
      </c>
      <c r="E274" s="95" t="s">
        <v>396</v>
      </c>
      <c r="F274" s="94" t="s">
        <v>316</v>
      </c>
      <c r="G274" s="94" t="s">
        <v>261</v>
      </c>
      <c r="H274" s="94" t="s">
        <v>11</v>
      </c>
      <c r="I274" s="94" t="s">
        <v>219</v>
      </c>
      <c r="J274" s="94"/>
      <c r="K274" s="96">
        <v>7</v>
      </c>
      <c r="L274" s="96">
        <f>K274*VLOOKUP(H274,dagsoorttabel1,2,FALSE)</f>
        <v>7</v>
      </c>
      <c r="M274" s="97">
        <f>prodnorm56</f>
        <v>0</v>
      </c>
      <c r="N274" s="41">
        <f>dagwerk56</f>
        <v>0</v>
      </c>
      <c r="O274" s="94" t="s">
        <v>106</v>
      </c>
      <c r="P274" s="26">
        <f>uurtarief56</f>
        <v>0</v>
      </c>
      <c r="Q274" s="96" t="e">
        <f>IF(ISBLANK(M274),0,L274/M274)</f>
        <v>#DIV/0!</v>
      </c>
      <c r="R274" s="96" t="e">
        <f>IF(ISBLANK(M274),0,Q274*N274)</f>
        <v>#DIV/0!</v>
      </c>
      <c r="S274" s="26" t="e">
        <f>P274*Q274</f>
        <v>#DIV/0!</v>
      </c>
      <c r="T274" s="96" t="e">
        <f>Q274*dagenperjaar1</f>
        <v>#DIV/0!</v>
      </c>
      <c r="U274" s="27" t="e">
        <f>T274*P274</f>
        <v>#DIV/0!</v>
      </c>
    </row>
    <row r="275" spans="1:21" x14ac:dyDescent="0.3">
      <c r="A275" s="93" t="s">
        <v>603</v>
      </c>
      <c r="B275" s="94" t="s">
        <v>40</v>
      </c>
      <c r="C275" s="94" t="s">
        <v>290</v>
      </c>
      <c r="D275" s="94" t="s">
        <v>529</v>
      </c>
      <c r="E275" s="95" t="s">
        <v>621</v>
      </c>
      <c r="F275" s="94" t="s">
        <v>316</v>
      </c>
      <c r="G275" s="94" t="s">
        <v>267</v>
      </c>
      <c r="H275" s="94" t="s">
        <v>11</v>
      </c>
      <c r="I275" s="94" t="s">
        <v>219</v>
      </c>
      <c r="J275" s="94"/>
      <c r="K275" s="96">
        <v>8</v>
      </c>
      <c r="L275" s="96">
        <f>K275*VLOOKUP(H275,dagsoorttabel1,2,FALSE)</f>
        <v>8</v>
      </c>
      <c r="M275" s="97">
        <f>prodnorm63</f>
        <v>0</v>
      </c>
      <c r="N275" s="41">
        <f>dagwerk63</f>
        <v>0</v>
      </c>
      <c r="O275" s="94" t="s">
        <v>106</v>
      </c>
      <c r="P275" s="26">
        <f>uurtarief63</f>
        <v>0</v>
      </c>
      <c r="Q275" s="96" t="e">
        <f>IF(ISBLANK(M275),0,L275/M275)</f>
        <v>#DIV/0!</v>
      </c>
      <c r="R275" s="96" t="e">
        <f>IF(ISBLANK(M275),0,Q275*N275)</f>
        <v>#DIV/0!</v>
      </c>
      <c r="S275" s="26" t="e">
        <f>P275*Q275</f>
        <v>#DIV/0!</v>
      </c>
      <c r="T275" s="96" t="e">
        <f>Q275*dagenperjaar1</f>
        <v>#DIV/0!</v>
      </c>
      <c r="U275" s="27" t="e">
        <f>T275*P275</f>
        <v>#DIV/0!</v>
      </c>
    </row>
    <row r="276" spans="1:21" x14ac:dyDescent="0.3">
      <c r="A276" s="93" t="s">
        <v>603</v>
      </c>
      <c r="B276" s="94" t="s">
        <v>40</v>
      </c>
      <c r="C276" s="94" t="s">
        <v>290</v>
      </c>
      <c r="D276" s="94" t="s">
        <v>530</v>
      </c>
      <c r="E276" s="95" t="s">
        <v>618</v>
      </c>
      <c r="F276" s="94" t="s">
        <v>296</v>
      </c>
      <c r="G276" s="94" t="s">
        <v>241</v>
      </c>
      <c r="H276" s="94" t="s">
        <v>11</v>
      </c>
      <c r="I276" s="94" t="s">
        <v>219</v>
      </c>
      <c r="J276" s="94"/>
      <c r="K276" s="96">
        <v>58</v>
      </c>
      <c r="L276" s="96">
        <f>K276*VLOOKUP(H276,dagsoorttabel1,2,FALSE)</f>
        <v>58</v>
      </c>
      <c r="M276" s="97">
        <f>prodnorm38</f>
        <v>0</v>
      </c>
      <c r="N276" s="41">
        <f>dagwerk38</f>
        <v>0</v>
      </c>
      <c r="O276" s="94" t="s">
        <v>106</v>
      </c>
      <c r="P276" s="26">
        <f>uurtarief38</f>
        <v>0</v>
      </c>
      <c r="Q276" s="96" t="e">
        <f>IF(ISBLANK(M276),0,L276/M276)</f>
        <v>#DIV/0!</v>
      </c>
      <c r="R276" s="96" t="e">
        <f>IF(ISBLANK(M276),0,Q276*N276)</f>
        <v>#DIV/0!</v>
      </c>
      <c r="S276" s="26" t="e">
        <f>P276*Q276</f>
        <v>#DIV/0!</v>
      </c>
      <c r="T276" s="96" t="e">
        <f>Q276*dagenperjaar1</f>
        <v>#DIV/0!</v>
      </c>
      <c r="U276" s="27" t="e">
        <f>T276*P276</f>
        <v>#DIV/0!</v>
      </c>
    </row>
    <row r="277" spans="1:21" x14ac:dyDescent="0.3">
      <c r="A277" s="93" t="s">
        <v>603</v>
      </c>
      <c r="B277" s="94" t="s">
        <v>40</v>
      </c>
      <c r="C277" s="94" t="s">
        <v>290</v>
      </c>
      <c r="D277" s="94" t="s">
        <v>622</v>
      </c>
      <c r="E277" s="95" t="s">
        <v>292</v>
      </c>
      <c r="F277" s="94" t="s">
        <v>612</v>
      </c>
      <c r="G277" s="94" t="s">
        <v>231</v>
      </c>
      <c r="H277" s="94" t="s">
        <v>11</v>
      </c>
      <c r="I277" s="94" t="s">
        <v>219</v>
      </c>
      <c r="J277" s="94"/>
      <c r="K277" s="96">
        <v>12</v>
      </c>
      <c r="L277" s="96">
        <f>K277*VLOOKUP(H277,dagsoorttabel1,2,FALSE)</f>
        <v>12</v>
      </c>
      <c r="M277" s="97">
        <f>prodnorm29</f>
        <v>0</v>
      </c>
      <c r="N277" s="41">
        <f>dagwerk29</f>
        <v>0</v>
      </c>
      <c r="O277" s="94" t="s">
        <v>106</v>
      </c>
      <c r="P277" s="26">
        <f>uurtarief29</f>
        <v>0</v>
      </c>
      <c r="Q277" s="96" t="e">
        <f>IF(ISBLANK(M277),0,L277/M277)</f>
        <v>#DIV/0!</v>
      </c>
      <c r="R277" s="96" t="e">
        <f>IF(ISBLANK(M277),0,Q277*N277)</f>
        <v>#DIV/0!</v>
      </c>
      <c r="S277" s="26" t="e">
        <f>P277*Q277</f>
        <v>#DIV/0!</v>
      </c>
      <c r="T277" s="96" t="e">
        <f>Q277*dagenperjaar1</f>
        <v>#DIV/0!</v>
      </c>
      <c r="U277" s="27" t="e">
        <f>T277*P277</f>
        <v>#DIV/0!</v>
      </c>
    </row>
    <row r="278" spans="1:21" x14ac:dyDescent="0.3">
      <c r="A278" s="93" t="s">
        <v>603</v>
      </c>
      <c r="B278" s="94" t="s">
        <v>40</v>
      </c>
      <c r="C278" s="94" t="s">
        <v>290</v>
      </c>
      <c r="D278" s="94" t="s">
        <v>536</v>
      </c>
      <c r="E278" s="95" t="s">
        <v>301</v>
      </c>
      <c r="F278" s="94" t="s">
        <v>293</v>
      </c>
      <c r="G278" s="94" t="s">
        <v>243</v>
      </c>
      <c r="H278" s="94" t="s">
        <v>11</v>
      </c>
      <c r="I278" s="94" t="s">
        <v>219</v>
      </c>
      <c r="J278" s="94"/>
      <c r="K278" s="96">
        <v>36</v>
      </c>
      <c r="L278" s="96">
        <f>K278*VLOOKUP(H278,dagsoorttabel1,2,FALSE)</f>
        <v>36</v>
      </c>
      <c r="M278" s="97">
        <f>prodnorm40</f>
        <v>0</v>
      </c>
      <c r="N278" s="41">
        <f>dagwerk40</f>
        <v>0</v>
      </c>
      <c r="O278" s="94" t="s">
        <v>106</v>
      </c>
      <c r="P278" s="26">
        <f>uurtarief40</f>
        <v>0</v>
      </c>
      <c r="Q278" s="96" t="e">
        <f>IF(ISBLANK(M278),0,L278/M278)</f>
        <v>#DIV/0!</v>
      </c>
      <c r="R278" s="96" t="e">
        <f>IF(ISBLANK(M278),0,Q278*N278)</f>
        <v>#DIV/0!</v>
      </c>
      <c r="S278" s="26" t="e">
        <f>P278*Q278</f>
        <v>#DIV/0!</v>
      </c>
      <c r="T278" s="96" t="e">
        <f>Q278*dagenperjaar1</f>
        <v>#DIV/0!</v>
      </c>
      <c r="U278" s="27" t="e">
        <f>T278*P278</f>
        <v>#DIV/0!</v>
      </c>
    </row>
    <row r="279" spans="1:21" x14ac:dyDescent="0.3">
      <c r="A279" s="93" t="s">
        <v>603</v>
      </c>
      <c r="B279" s="94" t="s">
        <v>40</v>
      </c>
      <c r="C279" s="94" t="s">
        <v>290</v>
      </c>
      <c r="D279" s="94" t="s">
        <v>623</v>
      </c>
      <c r="E279" s="95" t="s">
        <v>301</v>
      </c>
      <c r="F279" s="94" t="s">
        <v>293</v>
      </c>
      <c r="G279" s="94" t="s">
        <v>243</v>
      </c>
      <c r="H279" s="94" t="s">
        <v>11</v>
      </c>
      <c r="I279" s="94" t="s">
        <v>219</v>
      </c>
      <c r="J279" s="94"/>
      <c r="K279" s="96">
        <v>48</v>
      </c>
      <c r="L279" s="96">
        <f>K279*VLOOKUP(H279,dagsoorttabel1,2,FALSE)</f>
        <v>48</v>
      </c>
      <c r="M279" s="97">
        <f>prodnorm40</f>
        <v>0</v>
      </c>
      <c r="N279" s="41">
        <f>dagwerk40</f>
        <v>0</v>
      </c>
      <c r="O279" s="94" t="s">
        <v>106</v>
      </c>
      <c r="P279" s="26">
        <f>uurtarief40</f>
        <v>0</v>
      </c>
      <c r="Q279" s="96" t="e">
        <f>IF(ISBLANK(M279),0,L279/M279)</f>
        <v>#DIV/0!</v>
      </c>
      <c r="R279" s="96" t="e">
        <f>IF(ISBLANK(M279),0,Q279*N279)</f>
        <v>#DIV/0!</v>
      </c>
      <c r="S279" s="26" t="e">
        <f>P279*Q279</f>
        <v>#DIV/0!</v>
      </c>
      <c r="T279" s="96" t="e">
        <f>Q279*dagenperjaar1</f>
        <v>#DIV/0!</v>
      </c>
      <c r="U279" s="27" t="e">
        <f>T279*P279</f>
        <v>#DIV/0!</v>
      </c>
    </row>
    <row r="280" spans="1:21" x14ac:dyDescent="0.3">
      <c r="A280" s="93" t="s">
        <v>603</v>
      </c>
      <c r="B280" s="94" t="s">
        <v>40</v>
      </c>
      <c r="C280" s="94" t="s">
        <v>290</v>
      </c>
      <c r="D280" s="94" t="s">
        <v>538</v>
      </c>
      <c r="E280" s="95" t="s">
        <v>624</v>
      </c>
      <c r="F280" s="94" t="s">
        <v>293</v>
      </c>
      <c r="G280" s="94" t="s">
        <v>247</v>
      </c>
      <c r="H280" s="94" t="s">
        <v>11</v>
      </c>
      <c r="I280" s="94" t="s">
        <v>219</v>
      </c>
      <c r="J280" s="94"/>
      <c r="K280" s="96">
        <v>23</v>
      </c>
      <c r="L280" s="96">
        <f>K280*VLOOKUP(H280,dagsoorttabel1,2,FALSE)</f>
        <v>23</v>
      </c>
      <c r="M280" s="97">
        <f>prodnorm43</f>
        <v>0</v>
      </c>
      <c r="N280" s="41">
        <f>dagwerk43</f>
        <v>0</v>
      </c>
      <c r="O280" s="94" t="s">
        <v>106</v>
      </c>
      <c r="P280" s="26">
        <f>uurtarief43</f>
        <v>0</v>
      </c>
      <c r="Q280" s="96" t="e">
        <f>IF(ISBLANK(M280),0,L280/M280)</f>
        <v>#DIV/0!</v>
      </c>
      <c r="R280" s="96" t="e">
        <f>IF(ISBLANK(M280),0,Q280*N280)</f>
        <v>#DIV/0!</v>
      </c>
      <c r="S280" s="26" t="e">
        <f>P280*Q280</f>
        <v>#DIV/0!</v>
      </c>
      <c r="T280" s="96" t="e">
        <f>Q280*dagenperjaar1</f>
        <v>#DIV/0!</v>
      </c>
      <c r="U280" s="27" t="e">
        <f>T280*P280</f>
        <v>#DIV/0!</v>
      </c>
    </row>
    <row r="281" spans="1:21" x14ac:dyDescent="0.3">
      <c r="A281" s="93" t="s">
        <v>603</v>
      </c>
      <c r="B281" s="94" t="s">
        <v>40</v>
      </c>
      <c r="C281" s="94" t="s">
        <v>419</v>
      </c>
      <c r="D281" s="94" t="s">
        <v>563</v>
      </c>
      <c r="E281" s="95" t="s">
        <v>625</v>
      </c>
      <c r="F281" s="94" t="s">
        <v>296</v>
      </c>
      <c r="G281" s="94" t="s">
        <v>267</v>
      </c>
      <c r="H281" s="94" t="s">
        <v>11</v>
      </c>
      <c r="I281" s="94" t="s">
        <v>219</v>
      </c>
      <c r="J281" s="94"/>
      <c r="K281" s="96">
        <v>7</v>
      </c>
      <c r="L281" s="96">
        <f>K281*VLOOKUP(H281,dagsoorttabel1,2,FALSE)</f>
        <v>7</v>
      </c>
      <c r="M281" s="97">
        <f>prodnorm63</f>
        <v>0</v>
      </c>
      <c r="N281" s="41">
        <f>dagwerk63</f>
        <v>0</v>
      </c>
      <c r="O281" s="94" t="s">
        <v>106</v>
      </c>
      <c r="P281" s="26">
        <f>uurtarief63</f>
        <v>0</v>
      </c>
      <c r="Q281" s="96" t="e">
        <f>IF(ISBLANK(M281),0,L281/M281)</f>
        <v>#DIV/0!</v>
      </c>
      <c r="R281" s="96" t="e">
        <f>IF(ISBLANK(M281),0,Q281*N281)</f>
        <v>#DIV/0!</v>
      </c>
      <c r="S281" s="26" t="e">
        <f>P281*Q281</f>
        <v>#DIV/0!</v>
      </c>
      <c r="T281" s="96" t="e">
        <f>Q281*dagenperjaar1</f>
        <v>#DIV/0!</v>
      </c>
      <c r="U281" s="27" t="e">
        <f>T281*P281</f>
        <v>#DIV/0!</v>
      </c>
    </row>
    <row r="282" spans="1:21" x14ac:dyDescent="0.3">
      <c r="A282" s="93" t="s">
        <v>603</v>
      </c>
      <c r="B282" s="94" t="s">
        <v>40</v>
      </c>
      <c r="C282" s="94" t="s">
        <v>419</v>
      </c>
      <c r="D282" s="94" t="s">
        <v>565</v>
      </c>
      <c r="E282" s="95" t="s">
        <v>338</v>
      </c>
      <c r="F282" s="94" t="s">
        <v>296</v>
      </c>
      <c r="G282" s="94" t="s">
        <v>267</v>
      </c>
      <c r="H282" s="94" t="s">
        <v>11</v>
      </c>
      <c r="I282" s="94" t="s">
        <v>219</v>
      </c>
      <c r="J282" s="94"/>
      <c r="K282" s="96">
        <v>57</v>
      </c>
      <c r="L282" s="96">
        <f>K282*VLOOKUP(H282,dagsoorttabel1,2,FALSE)</f>
        <v>57</v>
      </c>
      <c r="M282" s="97">
        <f>prodnorm63</f>
        <v>0</v>
      </c>
      <c r="N282" s="41">
        <f>dagwerk63</f>
        <v>0</v>
      </c>
      <c r="O282" s="94" t="s">
        <v>106</v>
      </c>
      <c r="P282" s="26">
        <f>uurtarief63</f>
        <v>0</v>
      </c>
      <c r="Q282" s="96" t="e">
        <f>IF(ISBLANK(M282),0,L282/M282)</f>
        <v>#DIV/0!</v>
      </c>
      <c r="R282" s="96" t="e">
        <f>IF(ISBLANK(M282),0,Q282*N282)</f>
        <v>#DIV/0!</v>
      </c>
      <c r="S282" s="26" t="e">
        <f>P282*Q282</f>
        <v>#DIV/0!</v>
      </c>
      <c r="T282" s="96" t="e">
        <f>Q282*dagenperjaar1</f>
        <v>#DIV/0!</v>
      </c>
      <c r="U282" s="27" t="e">
        <f>T282*P282</f>
        <v>#DIV/0!</v>
      </c>
    </row>
    <row r="283" spans="1:21" x14ac:dyDescent="0.3">
      <c r="A283" s="93" t="s">
        <v>603</v>
      </c>
      <c r="B283" s="94" t="s">
        <v>40</v>
      </c>
      <c r="C283" s="94" t="s">
        <v>419</v>
      </c>
      <c r="D283" s="94" t="s">
        <v>566</v>
      </c>
      <c r="E283" s="95" t="s">
        <v>618</v>
      </c>
      <c r="F283" s="94" t="s">
        <v>296</v>
      </c>
      <c r="G283" s="94" t="s">
        <v>241</v>
      </c>
      <c r="H283" s="94" t="s">
        <v>11</v>
      </c>
      <c r="I283" s="94" t="s">
        <v>219</v>
      </c>
      <c r="J283" s="94"/>
      <c r="K283" s="96">
        <v>56</v>
      </c>
      <c r="L283" s="96">
        <f>K283*VLOOKUP(H283,dagsoorttabel1,2,FALSE)</f>
        <v>56</v>
      </c>
      <c r="M283" s="97">
        <f>prodnorm38</f>
        <v>0</v>
      </c>
      <c r="N283" s="41">
        <f>dagwerk38</f>
        <v>0</v>
      </c>
      <c r="O283" s="94" t="s">
        <v>106</v>
      </c>
      <c r="P283" s="26">
        <f>uurtarief38</f>
        <v>0</v>
      </c>
      <c r="Q283" s="96" t="e">
        <f>IF(ISBLANK(M283),0,L283/M283)</f>
        <v>#DIV/0!</v>
      </c>
      <c r="R283" s="96" t="e">
        <f>IF(ISBLANK(M283),0,Q283*N283)</f>
        <v>#DIV/0!</v>
      </c>
      <c r="S283" s="26" t="e">
        <f>P283*Q283</f>
        <v>#DIV/0!</v>
      </c>
      <c r="T283" s="96" t="e">
        <f>Q283*dagenperjaar1</f>
        <v>#DIV/0!</v>
      </c>
      <c r="U283" s="27" t="e">
        <f>T283*P283</f>
        <v>#DIV/0!</v>
      </c>
    </row>
    <row r="284" spans="1:21" x14ac:dyDescent="0.3">
      <c r="A284" s="93" t="s">
        <v>603</v>
      </c>
      <c r="B284" s="94" t="s">
        <v>40</v>
      </c>
      <c r="C284" s="94" t="s">
        <v>419</v>
      </c>
      <c r="D284" s="94" t="s">
        <v>567</v>
      </c>
      <c r="E284" s="95" t="s">
        <v>618</v>
      </c>
      <c r="F284" s="94" t="s">
        <v>296</v>
      </c>
      <c r="G284" s="94" t="s">
        <v>241</v>
      </c>
      <c r="H284" s="94" t="s">
        <v>11</v>
      </c>
      <c r="I284" s="94" t="s">
        <v>219</v>
      </c>
      <c r="J284" s="94"/>
      <c r="K284" s="96">
        <v>56</v>
      </c>
      <c r="L284" s="96">
        <f>K284*VLOOKUP(H284,dagsoorttabel1,2,FALSE)</f>
        <v>56</v>
      </c>
      <c r="M284" s="97">
        <f>prodnorm38</f>
        <v>0</v>
      </c>
      <c r="N284" s="41">
        <f>dagwerk38</f>
        <v>0</v>
      </c>
      <c r="O284" s="94" t="s">
        <v>106</v>
      </c>
      <c r="P284" s="26">
        <f>uurtarief38</f>
        <v>0</v>
      </c>
      <c r="Q284" s="96" t="e">
        <f>IF(ISBLANK(M284),0,L284/M284)</f>
        <v>#DIV/0!</v>
      </c>
      <c r="R284" s="96" t="e">
        <f>IF(ISBLANK(M284),0,Q284*N284)</f>
        <v>#DIV/0!</v>
      </c>
      <c r="S284" s="26" t="e">
        <f>P284*Q284</f>
        <v>#DIV/0!</v>
      </c>
      <c r="T284" s="96" t="e">
        <f>Q284*dagenperjaar1</f>
        <v>#DIV/0!</v>
      </c>
      <c r="U284" s="27" t="e">
        <f>T284*P284</f>
        <v>#DIV/0!</v>
      </c>
    </row>
    <row r="285" spans="1:21" x14ac:dyDescent="0.3">
      <c r="A285" s="93" t="s">
        <v>603</v>
      </c>
      <c r="B285" s="94" t="s">
        <v>40</v>
      </c>
      <c r="C285" s="94" t="s">
        <v>419</v>
      </c>
      <c r="D285" s="94" t="s">
        <v>568</v>
      </c>
      <c r="E285" s="95" t="s">
        <v>618</v>
      </c>
      <c r="F285" s="94" t="s">
        <v>296</v>
      </c>
      <c r="G285" s="94" t="s">
        <v>241</v>
      </c>
      <c r="H285" s="94" t="s">
        <v>11</v>
      </c>
      <c r="I285" s="94" t="s">
        <v>219</v>
      </c>
      <c r="J285" s="94"/>
      <c r="K285" s="96">
        <v>56</v>
      </c>
      <c r="L285" s="96">
        <f>K285*VLOOKUP(H285,dagsoorttabel1,2,FALSE)</f>
        <v>56</v>
      </c>
      <c r="M285" s="97">
        <f>prodnorm38</f>
        <v>0</v>
      </c>
      <c r="N285" s="41">
        <f>dagwerk38</f>
        <v>0</v>
      </c>
      <c r="O285" s="94" t="s">
        <v>106</v>
      </c>
      <c r="P285" s="26">
        <f>uurtarief38</f>
        <v>0</v>
      </c>
      <c r="Q285" s="96" t="e">
        <f>IF(ISBLANK(M285),0,L285/M285)</f>
        <v>#DIV/0!</v>
      </c>
      <c r="R285" s="96" t="e">
        <f>IF(ISBLANK(M285),0,Q285*N285)</f>
        <v>#DIV/0!</v>
      </c>
      <c r="S285" s="26" t="e">
        <f>P285*Q285</f>
        <v>#DIV/0!</v>
      </c>
      <c r="T285" s="96" t="e">
        <f>Q285*dagenperjaar1</f>
        <v>#DIV/0!</v>
      </c>
      <c r="U285" s="27" t="e">
        <f>T285*P285</f>
        <v>#DIV/0!</v>
      </c>
    </row>
    <row r="286" spans="1:21" x14ac:dyDescent="0.3">
      <c r="A286" s="93" t="s">
        <v>603</v>
      </c>
      <c r="B286" s="94" t="s">
        <v>40</v>
      </c>
      <c r="C286" s="94" t="s">
        <v>419</v>
      </c>
      <c r="D286" s="94" t="s">
        <v>569</v>
      </c>
      <c r="E286" s="95" t="s">
        <v>453</v>
      </c>
      <c r="F286" s="94" t="s">
        <v>316</v>
      </c>
      <c r="G286" s="94" t="s">
        <v>261</v>
      </c>
      <c r="H286" s="94" t="s">
        <v>11</v>
      </c>
      <c r="I286" s="94" t="s">
        <v>219</v>
      </c>
      <c r="J286" s="94"/>
      <c r="K286" s="96">
        <v>8</v>
      </c>
      <c r="L286" s="96">
        <f>K286*VLOOKUP(H286,dagsoorttabel1,2,FALSE)</f>
        <v>8</v>
      </c>
      <c r="M286" s="97">
        <f>prodnorm56</f>
        <v>0</v>
      </c>
      <c r="N286" s="41">
        <f>dagwerk56</f>
        <v>0</v>
      </c>
      <c r="O286" s="94" t="s">
        <v>106</v>
      </c>
      <c r="P286" s="26">
        <f>uurtarief56</f>
        <v>0</v>
      </c>
      <c r="Q286" s="96" t="e">
        <f>IF(ISBLANK(M286),0,L286/M286)</f>
        <v>#DIV/0!</v>
      </c>
      <c r="R286" s="96" t="e">
        <f>IF(ISBLANK(M286),0,Q286*N286)</f>
        <v>#DIV/0!</v>
      </c>
      <c r="S286" s="26" t="e">
        <f>P286*Q286</f>
        <v>#DIV/0!</v>
      </c>
      <c r="T286" s="96" t="e">
        <f>Q286*dagenperjaar1</f>
        <v>#DIV/0!</v>
      </c>
      <c r="U286" s="27" t="e">
        <f>T286*P286</f>
        <v>#DIV/0!</v>
      </c>
    </row>
    <row r="287" spans="1:21" x14ac:dyDescent="0.3">
      <c r="A287" s="93" t="s">
        <v>603</v>
      </c>
      <c r="B287" s="94" t="s">
        <v>40</v>
      </c>
      <c r="C287" s="94" t="s">
        <v>419</v>
      </c>
      <c r="D287" s="94" t="s">
        <v>570</v>
      </c>
      <c r="E287" s="95" t="s">
        <v>626</v>
      </c>
      <c r="F287" s="94" t="s">
        <v>316</v>
      </c>
      <c r="G287" s="94" t="s">
        <v>261</v>
      </c>
      <c r="H287" s="94" t="s">
        <v>11</v>
      </c>
      <c r="I287" s="94" t="s">
        <v>219</v>
      </c>
      <c r="J287" s="94"/>
      <c r="K287" s="96">
        <v>3</v>
      </c>
      <c r="L287" s="96">
        <f>K287*VLOOKUP(H287,dagsoorttabel1,2,FALSE)</f>
        <v>3</v>
      </c>
      <c r="M287" s="97">
        <f>prodnorm56</f>
        <v>0</v>
      </c>
      <c r="N287" s="41">
        <f>dagwerk56</f>
        <v>0</v>
      </c>
      <c r="O287" s="94" t="s">
        <v>106</v>
      </c>
      <c r="P287" s="26">
        <f>uurtarief56</f>
        <v>0</v>
      </c>
      <c r="Q287" s="96" t="e">
        <f>IF(ISBLANK(M287),0,L287/M287)</f>
        <v>#DIV/0!</v>
      </c>
      <c r="R287" s="96" t="e">
        <f>IF(ISBLANK(M287),0,Q287*N287)</f>
        <v>#DIV/0!</v>
      </c>
      <c r="S287" s="26" t="e">
        <f>P287*Q287</f>
        <v>#DIV/0!</v>
      </c>
      <c r="T287" s="96" t="e">
        <f>Q287*dagenperjaar1</f>
        <v>#DIV/0!</v>
      </c>
      <c r="U287" s="27" t="e">
        <f>T287*P287</f>
        <v>#DIV/0!</v>
      </c>
    </row>
    <row r="288" spans="1:21" x14ac:dyDescent="0.3">
      <c r="A288" s="93" t="s">
        <v>603</v>
      </c>
      <c r="B288" s="94" t="s">
        <v>40</v>
      </c>
      <c r="C288" s="94" t="s">
        <v>419</v>
      </c>
      <c r="D288" s="94" t="s">
        <v>571</v>
      </c>
      <c r="E288" s="95" t="s">
        <v>462</v>
      </c>
      <c r="F288" s="94" t="s">
        <v>296</v>
      </c>
      <c r="G288" s="94" t="s">
        <v>223</v>
      </c>
      <c r="H288" s="94" t="s">
        <v>16</v>
      </c>
      <c r="I288" s="94" t="s">
        <v>219</v>
      </c>
      <c r="J288" s="94"/>
      <c r="K288" s="96">
        <v>14</v>
      </c>
      <c r="L288" s="96">
        <f>K288*VLOOKUP(H288,dagsoorttabel1,2,FALSE)</f>
        <v>5.6000000000000005</v>
      </c>
      <c r="M288" s="97">
        <f>prodnorm20</f>
        <v>0</v>
      </c>
      <c r="N288" s="41">
        <f>dagwerk20</f>
        <v>0</v>
      </c>
      <c r="O288" s="94" t="s">
        <v>106</v>
      </c>
      <c r="P288" s="26">
        <f>uurtarief20</f>
        <v>0</v>
      </c>
      <c r="Q288" s="96" t="e">
        <f>IF(ISBLANK(M288),0,L288/M288)</f>
        <v>#DIV/0!</v>
      </c>
      <c r="R288" s="96" t="e">
        <f>IF(ISBLANK(M288),0,Q288*N288)</f>
        <v>#DIV/0!</v>
      </c>
      <c r="S288" s="26" t="e">
        <f>P288*Q288</f>
        <v>#DIV/0!</v>
      </c>
      <c r="T288" s="96" t="e">
        <f>Q288*dagenperjaar1</f>
        <v>#DIV/0!</v>
      </c>
      <c r="U288" s="27" t="e">
        <f>T288*P288</f>
        <v>#DIV/0!</v>
      </c>
    </row>
    <row r="289" spans="1:21" x14ac:dyDescent="0.3">
      <c r="A289" s="93" t="s">
        <v>603</v>
      </c>
      <c r="B289" s="94" t="s">
        <v>40</v>
      </c>
      <c r="C289" s="94" t="s">
        <v>419</v>
      </c>
      <c r="D289" s="94" t="s">
        <v>627</v>
      </c>
      <c r="E289" s="95" t="s">
        <v>618</v>
      </c>
      <c r="F289" s="94" t="s">
        <v>296</v>
      </c>
      <c r="G289" s="94" t="s">
        <v>241</v>
      </c>
      <c r="H289" s="94" t="s">
        <v>11</v>
      </c>
      <c r="I289" s="94" t="s">
        <v>219</v>
      </c>
      <c r="J289" s="94"/>
      <c r="K289" s="96">
        <v>40</v>
      </c>
      <c r="L289" s="96">
        <f>K289*VLOOKUP(H289,dagsoorttabel1,2,FALSE)</f>
        <v>40</v>
      </c>
      <c r="M289" s="97">
        <f>prodnorm38</f>
        <v>0</v>
      </c>
      <c r="N289" s="41">
        <f>dagwerk38</f>
        <v>0</v>
      </c>
      <c r="O289" s="94" t="s">
        <v>106</v>
      </c>
      <c r="P289" s="26">
        <f>uurtarief38</f>
        <v>0</v>
      </c>
      <c r="Q289" s="96" t="e">
        <f>IF(ISBLANK(M289),0,L289/M289)</f>
        <v>#DIV/0!</v>
      </c>
      <c r="R289" s="96" t="e">
        <f>IF(ISBLANK(M289),0,Q289*N289)</f>
        <v>#DIV/0!</v>
      </c>
      <c r="S289" s="26" t="e">
        <f>P289*Q289</f>
        <v>#DIV/0!</v>
      </c>
      <c r="T289" s="96" t="e">
        <f>Q289*dagenperjaar1</f>
        <v>#DIV/0!</v>
      </c>
      <c r="U289" s="27" t="e">
        <f>T289*P289</f>
        <v>#DIV/0!</v>
      </c>
    </row>
    <row r="290" spans="1:21" x14ac:dyDescent="0.3">
      <c r="A290" s="93" t="s">
        <v>603</v>
      </c>
      <c r="B290" s="94" t="s">
        <v>40</v>
      </c>
      <c r="C290" s="94" t="s">
        <v>419</v>
      </c>
      <c r="D290" s="94" t="s">
        <v>572</v>
      </c>
      <c r="E290" s="95" t="s">
        <v>462</v>
      </c>
      <c r="F290" s="94" t="s">
        <v>296</v>
      </c>
      <c r="G290" s="94" t="s">
        <v>223</v>
      </c>
      <c r="H290" s="94" t="s">
        <v>16</v>
      </c>
      <c r="I290" s="94" t="s">
        <v>219</v>
      </c>
      <c r="J290" s="94"/>
      <c r="K290" s="96">
        <v>14</v>
      </c>
      <c r="L290" s="96">
        <f>K290*VLOOKUP(H290,dagsoorttabel1,2,FALSE)</f>
        <v>5.6000000000000005</v>
      </c>
      <c r="M290" s="97">
        <f>prodnorm20</f>
        <v>0</v>
      </c>
      <c r="N290" s="41">
        <f>dagwerk20</f>
        <v>0</v>
      </c>
      <c r="O290" s="94" t="s">
        <v>106</v>
      </c>
      <c r="P290" s="26">
        <f>uurtarief20</f>
        <v>0</v>
      </c>
      <c r="Q290" s="96" t="e">
        <f>IF(ISBLANK(M290),0,L290/M290)</f>
        <v>#DIV/0!</v>
      </c>
      <c r="R290" s="96" t="e">
        <f>IF(ISBLANK(M290),0,Q290*N290)</f>
        <v>#DIV/0!</v>
      </c>
      <c r="S290" s="26" t="e">
        <f>P290*Q290</f>
        <v>#DIV/0!</v>
      </c>
      <c r="T290" s="96" t="e">
        <f>Q290*dagenperjaar1</f>
        <v>#DIV/0!</v>
      </c>
      <c r="U290" s="27" t="e">
        <f>T290*P290</f>
        <v>#DIV/0!</v>
      </c>
    </row>
    <row r="291" spans="1:21" x14ac:dyDescent="0.3">
      <c r="A291" s="93" t="s">
        <v>603</v>
      </c>
      <c r="B291" s="94" t="s">
        <v>40</v>
      </c>
      <c r="C291" s="94" t="s">
        <v>419</v>
      </c>
      <c r="D291" s="94" t="s">
        <v>573</v>
      </c>
      <c r="E291" s="95" t="s">
        <v>338</v>
      </c>
      <c r="F291" s="94" t="s">
        <v>296</v>
      </c>
      <c r="G291" s="94" t="s">
        <v>267</v>
      </c>
      <c r="H291" s="94" t="s">
        <v>11</v>
      </c>
      <c r="I291" s="94" t="s">
        <v>219</v>
      </c>
      <c r="J291" s="94"/>
      <c r="K291" s="96">
        <v>29</v>
      </c>
      <c r="L291" s="96">
        <f>K291*VLOOKUP(H291,dagsoorttabel1,2,FALSE)</f>
        <v>29</v>
      </c>
      <c r="M291" s="97">
        <f>prodnorm63</f>
        <v>0</v>
      </c>
      <c r="N291" s="41">
        <f>dagwerk63</f>
        <v>0</v>
      </c>
      <c r="O291" s="94" t="s">
        <v>106</v>
      </c>
      <c r="P291" s="26">
        <f>uurtarief63</f>
        <v>0</v>
      </c>
      <c r="Q291" s="96" t="e">
        <f>IF(ISBLANK(M291),0,L291/M291)</f>
        <v>#DIV/0!</v>
      </c>
      <c r="R291" s="96" t="e">
        <f>IF(ISBLANK(M291),0,Q291*N291)</f>
        <v>#DIV/0!</v>
      </c>
      <c r="S291" s="26" t="e">
        <f>P291*Q291</f>
        <v>#DIV/0!</v>
      </c>
      <c r="T291" s="96" t="e">
        <f>Q291*dagenperjaar1</f>
        <v>#DIV/0!</v>
      </c>
      <c r="U291" s="27" t="e">
        <f>T291*P291</f>
        <v>#DIV/0!</v>
      </c>
    </row>
    <row r="292" spans="1:21" x14ac:dyDescent="0.3">
      <c r="A292" s="98" t="s">
        <v>603</v>
      </c>
      <c r="B292" s="99" t="s">
        <v>40</v>
      </c>
      <c r="C292" s="99" t="s">
        <v>507</v>
      </c>
      <c r="D292" s="99" t="s">
        <v>623</v>
      </c>
      <c r="E292" s="100" t="s">
        <v>628</v>
      </c>
      <c r="F292" s="99" t="s">
        <v>383</v>
      </c>
      <c r="G292" s="99" t="s">
        <v>257</v>
      </c>
      <c r="H292" s="99" t="s">
        <v>11</v>
      </c>
      <c r="I292" s="99" t="s">
        <v>219</v>
      </c>
      <c r="J292" s="99"/>
      <c r="K292" s="101">
        <v>63</v>
      </c>
      <c r="L292" s="101">
        <f>K292*VLOOKUP(H292,dagsoorttabel1,2,FALSE)</f>
        <v>63</v>
      </c>
      <c r="M292" s="102">
        <f>prodnorm52</f>
        <v>0</v>
      </c>
      <c r="N292" s="103">
        <f>dagwerk52</f>
        <v>0</v>
      </c>
      <c r="O292" s="99" t="s">
        <v>106</v>
      </c>
      <c r="P292" s="36">
        <f>uurtarief52</f>
        <v>0</v>
      </c>
      <c r="Q292" s="101" t="e">
        <f>IF(ISBLANK(M292),0,L292/M292)</f>
        <v>#DIV/0!</v>
      </c>
      <c r="R292" s="101" t="e">
        <f>IF(ISBLANK(M292),0,Q292*N292)</f>
        <v>#DIV/0!</v>
      </c>
      <c r="S292" s="36" t="e">
        <f>P292*Q292</f>
        <v>#DIV/0!</v>
      </c>
      <c r="T292" s="101" t="e">
        <f>Q292*dagenperjaar1</f>
        <v>#DIV/0!</v>
      </c>
      <c r="U292" s="37" t="e">
        <f>T292*P292</f>
        <v>#DIV/0!</v>
      </c>
    </row>
    <row r="293" spans="1:21" x14ac:dyDescent="0.3">
      <c r="A293" s="104" t="s">
        <v>510</v>
      </c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8" t="e">
        <f>IF(_xlfn.SINGLE(object3_urenjaar1)&gt;0,_xlfn.SINGLE(object3_prijsjaar1)/_xlfn.SINGLE(object3_urenjaar1),0)</f>
        <v>#DIV/0!</v>
      </c>
      <c r="Q293" s="77" t="e">
        <f>SUM(Q256:Q292)</f>
        <v>#DIV/0!</v>
      </c>
      <c r="R293" s="77" t="e">
        <f>SUM(R256:R292)</f>
        <v>#DIV/0!</v>
      </c>
      <c r="S293" s="78" t="e">
        <f>SUM(S256:S292)</f>
        <v>#DIV/0!</v>
      </c>
      <c r="T293" s="77" t="e">
        <f>SUM(T256:T292)</f>
        <v>#DIV/0!</v>
      </c>
      <c r="U293" s="79" t="e">
        <f>SUM(U256:U292)</f>
        <v>#DIV/0!</v>
      </c>
    </row>
    <row r="294" spans="1:21" x14ac:dyDescent="0.3">
      <c r="A294" s="84" t="s">
        <v>629</v>
      </c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74"/>
    </row>
    <row r="295" spans="1:21" x14ac:dyDescent="0.3">
      <c r="A295" s="85" t="s">
        <v>630</v>
      </c>
      <c r="B295" s="86" t="s">
        <v>40</v>
      </c>
      <c r="C295" s="86" t="s">
        <v>290</v>
      </c>
      <c r="D295" s="86" t="s">
        <v>513</v>
      </c>
      <c r="E295" s="87" t="s">
        <v>631</v>
      </c>
      <c r="F295" s="86" t="s">
        <v>330</v>
      </c>
      <c r="G295" s="86" t="s">
        <v>218</v>
      </c>
      <c r="H295" s="86" t="s">
        <v>11</v>
      </c>
      <c r="I295" s="86" t="s">
        <v>219</v>
      </c>
      <c r="J295" s="86"/>
      <c r="K295" s="88">
        <v>468</v>
      </c>
      <c r="L295" s="88">
        <f>K295*VLOOKUP(H295,dagsoorttabel1,2,FALSE)</f>
        <v>468</v>
      </c>
      <c r="M295" s="89">
        <f>prodnorm16</f>
        <v>0</v>
      </c>
      <c r="N295" s="90">
        <f>dagwerk16</f>
        <v>0</v>
      </c>
      <c r="O295" s="86" t="s">
        <v>106</v>
      </c>
      <c r="P295" s="91">
        <f>uurtarief16</f>
        <v>0</v>
      </c>
      <c r="Q295" s="88" t="e">
        <f>IF(ISBLANK(M295),0,L295/M295)</f>
        <v>#DIV/0!</v>
      </c>
      <c r="R295" s="88" t="e">
        <f>IF(ISBLANK(M295),0,Q295*N295)</f>
        <v>#DIV/0!</v>
      </c>
      <c r="S295" s="91" t="e">
        <f>P295*Q295</f>
        <v>#DIV/0!</v>
      </c>
      <c r="T295" s="88" t="e">
        <f>Q295*dagenperjaar1</f>
        <v>#DIV/0!</v>
      </c>
      <c r="U295" s="92" t="e">
        <f>T295*P295</f>
        <v>#DIV/0!</v>
      </c>
    </row>
    <row r="296" spans="1:21" x14ac:dyDescent="0.3">
      <c r="A296" s="93" t="s">
        <v>630</v>
      </c>
      <c r="B296" s="94" t="s">
        <v>40</v>
      </c>
      <c r="C296" s="94" t="s">
        <v>290</v>
      </c>
      <c r="D296" s="94" t="s">
        <v>514</v>
      </c>
      <c r="E296" s="95" t="s">
        <v>632</v>
      </c>
      <c r="F296" s="94" t="s">
        <v>330</v>
      </c>
      <c r="G296" s="94" t="s">
        <v>223</v>
      </c>
      <c r="H296" s="94" t="s">
        <v>16</v>
      </c>
      <c r="I296" s="94" t="s">
        <v>219</v>
      </c>
      <c r="J296" s="94"/>
      <c r="K296" s="96">
        <v>16</v>
      </c>
      <c r="L296" s="96">
        <f>K296*VLOOKUP(H296,dagsoorttabel1,2,FALSE)</f>
        <v>6.4</v>
      </c>
      <c r="M296" s="97">
        <f>prodnorm20</f>
        <v>0</v>
      </c>
      <c r="N296" s="41">
        <f>dagwerk20</f>
        <v>0</v>
      </c>
      <c r="O296" s="94" t="s">
        <v>106</v>
      </c>
      <c r="P296" s="26">
        <f>uurtarief20</f>
        <v>0</v>
      </c>
      <c r="Q296" s="96" t="e">
        <f>IF(ISBLANK(M296),0,L296/M296)</f>
        <v>#DIV/0!</v>
      </c>
      <c r="R296" s="96" t="e">
        <f>IF(ISBLANK(M296),0,Q296*N296)</f>
        <v>#DIV/0!</v>
      </c>
      <c r="S296" s="26" t="e">
        <f>P296*Q296</f>
        <v>#DIV/0!</v>
      </c>
      <c r="T296" s="96" t="e">
        <f>Q296*dagenperjaar1</f>
        <v>#DIV/0!</v>
      </c>
      <c r="U296" s="27" t="e">
        <f>T296*P296</f>
        <v>#DIV/0!</v>
      </c>
    </row>
    <row r="297" spans="1:21" x14ac:dyDescent="0.3">
      <c r="A297" s="93" t="s">
        <v>630</v>
      </c>
      <c r="B297" s="94" t="s">
        <v>40</v>
      </c>
      <c r="C297" s="94" t="s">
        <v>290</v>
      </c>
      <c r="D297" s="94" t="s">
        <v>633</v>
      </c>
      <c r="E297" s="95" t="s">
        <v>634</v>
      </c>
      <c r="F297" s="94" t="s">
        <v>330</v>
      </c>
      <c r="G297" s="94" t="s">
        <v>223</v>
      </c>
      <c r="H297" s="94" t="s">
        <v>16</v>
      </c>
      <c r="I297" s="94" t="s">
        <v>219</v>
      </c>
      <c r="J297" s="94"/>
      <c r="K297" s="96">
        <v>16</v>
      </c>
      <c r="L297" s="96">
        <f>K297*VLOOKUP(H297,dagsoorttabel1,2,FALSE)</f>
        <v>6.4</v>
      </c>
      <c r="M297" s="97">
        <f>prodnorm20</f>
        <v>0</v>
      </c>
      <c r="N297" s="41">
        <f>dagwerk20</f>
        <v>0</v>
      </c>
      <c r="O297" s="94" t="s">
        <v>106</v>
      </c>
      <c r="P297" s="26">
        <f>uurtarief20</f>
        <v>0</v>
      </c>
      <c r="Q297" s="96" t="e">
        <f>IF(ISBLANK(M297),0,L297/M297)</f>
        <v>#DIV/0!</v>
      </c>
      <c r="R297" s="96" t="e">
        <f>IF(ISBLANK(M297),0,Q297*N297)</f>
        <v>#DIV/0!</v>
      </c>
      <c r="S297" s="26" t="e">
        <f>P297*Q297</f>
        <v>#DIV/0!</v>
      </c>
      <c r="T297" s="96" t="e">
        <f>Q297*dagenperjaar1</f>
        <v>#DIV/0!</v>
      </c>
      <c r="U297" s="27" t="e">
        <f>T297*P297</f>
        <v>#DIV/0!</v>
      </c>
    </row>
    <row r="298" spans="1:21" x14ac:dyDescent="0.3">
      <c r="A298" s="93" t="s">
        <v>630</v>
      </c>
      <c r="B298" s="94" t="s">
        <v>40</v>
      </c>
      <c r="C298" s="94" t="s">
        <v>290</v>
      </c>
      <c r="D298" s="94" t="s">
        <v>515</v>
      </c>
      <c r="E298" s="95" t="s">
        <v>635</v>
      </c>
      <c r="F298" s="94" t="s">
        <v>330</v>
      </c>
      <c r="G298" s="94" t="s">
        <v>257</v>
      </c>
      <c r="H298" s="94" t="s">
        <v>11</v>
      </c>
      <c r="I298" s="94" t="s">
        <v>219</v>
      </c>
      <c r="J298" s="94"/>
      <c r="K298" s="96">
        <v>162</v>
      </c>
      <c r="L298" s="96">
        <f>K298*VLOOKUP(H298,dagsoorttabel1,2,FALSE)</f>
        <v>162</v>
      </c>
      <c r="M298" s="97">
        <f>prodnorm52</f>
        <v>0</v>
      </c>
      <c r="N298" s="41">
        <f>dagwerk52</f>
        <v>0</v>
      </c>
      <c r="O298" s="94" t="s">
        <v>106</v>
      </c>
      <c r="P298" s="26">
        <f>uurtarief52</f>
        <v>0</v>
      </c>
      <c r="Q298" s="96" t="e">
        <f>IF(ISBLANK(M298),0,L298/M298)</f>
        <v>#DIV/0!</v>
      </c>
      <c r="R298" s="96" t="e">
        <f>IF(ISBLANK(M298),0,Q298*N298)</f>
        <v>#DIV/0!</v>
      </c>
      <c r="S298" s="26" t="e">
        <f>P298*Q298</f>
        <v>#DIV/0!</v>
      </c>
      <c r="T298" s="96" t="e">
        <f>Q298*dagenperjaar1</f>
        <v>#DIV/0!</v>
      </c>
      <c r="U298" s="27" t="e">
        <f>T298*P298</f>
        <v>#DIV/0!</v>
      </c>
    </row>
    <row r="299" spans="1:21" x14ac:dyDescent="0.3">
      <c r="A299" s="93" t="s">
        <v>630</v>
      </c>
      <c r="B299" s="94" t="s">
        <v>40</v>
      </c>
      <c r="C299" s="94" t="s">
        <v>290</v>
      </c>
      <c r="D299" s="94" t="s">
        <v>516</v>
      </c>
      <c r="E299" s="95" t="s">
        <v>636</v>
      </c>
      <c r="F299" s="94" t="s">
        <v>293</v>
      </c>
      <c r="G299" s="94" t="s">
        <v>231</v>
      </c>
      <c r="H299" s="94" t="s">
        <v>11</v>
      </c>
      <c r="I299" s="94" t="s">
        <v>219</v>
      </c>
      <c r="J299" s="94"/>
      <c r="K299" s="96">
        <v>13</v>
      </c>
      <c r="L299" s="96">
        <f>K299*VLOOKUP(H299,dagsoorttabel1,2,FALSE)</f>
        <v>13</v>
      </c>
      <c r="M299" s="97">
        <f>prodnorm29</f>
        <v>0</v>
      </c>
      <c r="N299" s="41">
        <f>dagwerk29</f>
        <v>0</v>
      </c>
      <c r="O299" s="94" t="s">
        <v>106</v>
      </c>
      <c r="P299" s="26">
        <f>uurtarief29</f>
        <v>0</v>
      </c>
      <c r="Q299" s="96" t="e">
        <f>IF(ISBLANK(M299),0,L299/M299)</f>
        <v>#DIV/0!</v>
      </c>
      <c r="R299" s="96" t="e">
        <f>IF(ISBLANK(M299),0,Q299*N299)</f>
        <v>#DIV/0!</v>
      </c>
      <c r="S299" s="26" t="e">
        <f>P299*Q299</f>
        <v>#DIV/0!</v>
      </c>
      <c r="T299" s="96" t="e">
        <f>Q299*dagenperjaar1</f>
        <v>#DIV/0!</v>
      </c>
      <c r="U299" s="27" t="e">
        <f>T299*P299</f>
        <v>#DIV/0!</v>
      </c>
    </row>
    <row r="300" spans="1:21" x14ac:dyDescent="0.3">
      <c r="A300" s="93" t="s">
        <v>630</v>
      </c>
      <c r="B300" s="94" t="s">
        <v>40</v>
      </c>
      <c r="C300" s="94" t="s">
        <v>290</v>
      </c>
      <c r="D300" s="94" t="s">
        <v>517</v>
      </c>
      <c r="E300" s="95" t="s">
        <v>637</v>
      </c>
      <c r="F300" s="94" t="s">
        <v>638</v>
      </c>
      <c r="G300" s="94" t="s">
        <v>235</v>
      </c>
      <c r="H300" s="94" t="s">
        <v>11</v>
      </c>
      <c r="I300" s="94" t="s">
        <v>219</v>
      </c>
      <c r="J300" s="94"/>
      <c r="K300" s="96">
        <v>252</v>
      </c>
      <c r="L300" s="96">
        <f>K300*VLOOKUP(H300,dagsoorttabel1,2,FALSE)</f>
        <v>252</v>
      </c>
      <c r="M300" s="97">
        <f>prodnorm33</f>
        <v>0</v>
      </c>
      <c r="N300" s="41">
        <f>dagwerk33</f>
        <v>0</v>
      </c>
      <c r="O300" s="94" t="s">
        <v>106</v>
      </c>
      <c r="P300" s="26">
        <f>uurtarief33</f>
        <v>0</v>
      </c>
      <c r="Q300" s="96" t="e">
        <f>IF(ISBLANK(M300),0,L300/M300)</f>
        <v>#DIV/0!</v>
      </c>
      <c r="R300" s="96" t="e">
        <f>IF(ISBLANK(M300),0,Q300*N300)</f>
        <v>#DIV/0!</v>
      </c>
      <c r="S300" s="26" t="e">
        <f>P300*Q300</f>
        <v>#DIV/0!</v>
      </c>
      <c r="T300" s="96" t="e">
        <f>Q300*dagenperjaar1</f>
        <v>#DIV/0!</v>
      </c>
      <c r="U300" s="27" t="e">
        <f>T300*P300</f>
        <v>#DIV/0!</v>
      </c>
    </row>
    <row r="301" spans="1:21" x14ac:dyDescent="0.3">
      <c r="A301" s="93" t="s">
        <v>630</v>
      </c>
      <c r="B301" s="94" t="s">
        <v>40</v>
      </c>
      <c r="C301" s="94" t="s">
        <v>290</v>
      </c>
      <c r="D301" s="94" t="s">
        <v>519</v>
      </c>
      <c r="E301" s="95" t="s">
        <v>639</v>
      </c>
      <c r="F301" s="94" t="s">
        <v>638</v>
      </c>
      <c r="G301" s="94" t="s">
        <v>235</v>
      </c>
      <c r="H301" s="94" t="s">
        <v>18</v>
      </c>
      <c r="I301" s="94" t="s">
        <v>219</v>
      </c>
      <c r="J301" s="94"/>
      <c r="K301" s="96">
        <v>34</v>
      </c>
      <c r="L301" s="96">
        <f>K301*VLOOKUP(H301,dagsoorttabel1,2,FALSE)</f>
        <v>6.8000000000000007</v>
      </c>
      <c r="M301" s="97">
        <f>prodnorm34</f>
        <v>0</v>
      </c>
      <c r="N301" s="41">
        <f>dagwerk34</f>
        <v>0</v>
      </c>
      <c r="O301" s="94" t="s">
        <v>106</v>
      </c>
      <c r="P301" s="26">
        <f>uurtarief34</f>
        <v>0</v>
      </c>
      <c r="Q301" s="96" t="e">
        <f>IF(ISBLANK(M301),0,L301/M301)</f>
        <v>#DIV/0!</v>
      </c>
      <c r="R301" s="96" t="e">
        <f>IF(ISBLANK(M301),0,Q301*N301)</f>
        <v>#DIV/0!</v>
      </c>
      <c r="S301" s="26" t="e">
        <f>P301*Q301</f>
        <v>#DIV/0!</v>
      </c>
      <c r="T301" s="96" t="e">
        <f>Q301*dagenperjaar1</f>
        <v>#DIV/0!</v>
      </c>
      <c r="U301" s="27" t="e">
        <f>T301*P301</f>
        <v>#DIV/0!</v>
      </c>
    </row>
    <row r="302" spans="1:21" x14ac:dyDescent="0.3">
      <c r="A302" s="93" t="s">
        <v>630</v>
      </c>
      <c r="B302" s="94" t="s">
        <v>40</v>
      </c>
      <c r="C302" s="94" t="s">
        <v>290</v>
      </c>
      <c r="D302" s="94" t="s">
        <v>520</v>
      </c>
      <c r="E302" s="95" t="s">
        <v>640</v>
      </c>
      <c r="F302" s="94" t="s">
        <v>641</v>
      </c>
      <c r="G302" s="94" t="s">
        <v>239</v>
      </c>
      <c r="H302" s="94" t="s">
        <v>11</v>
      </c>
      <c r="I302" s="94" t="s">
        <v>219</v>
      </c>
      <c r="J302" s="94"/>
      <c r="K302" s="96">
        <v>18</v>
      </c>
      <c r="L302" s="96">
        <f>K302*VLOOKUP(H302,dagsoorttabel1,2,FALSE)</f>
        <v>18</v>
      </c>
      <c r="M302" s="97">
        <f>prodnorm36</f>
        <v>0</v>
      </c>
      <c r="N302" s="41">
        <f>dagwerk36</f>
        <v>0</v>
      </c>
      <c r="O302" s="94" t="s">
        <v>106</v>
      </c>
      <c r="P302" s="26">
        <f>uurtarief36</f>
        <v>0</v>
      </c>
      <c r="Q302" s="96" t="e">
        <f>IF(ISBLANK(M302),0,L302/M302)</f>
        <v>#DIV/0!</v>
      </c>
      <c r="R302" s="96" t="e">
        <f>IF(ISBLANK(M302),0,Q302*N302)</f>
        <v>#DIV/0!</v>
      </c>
      <c r="S302" s="26" t="e">
        <f>P302*Q302</f>
        <v>#DIV/0!</v>
      </c>
      <c r="T302" s="96" t="e">
        <f>Q302*dagenperjaar1</f>
        <v>#DIV/0!</v>
      </c>
      <c r="U302" s="27" t="e">
        <f>T302*P302</f>
        <v>#DIV/0!</v>
      </c>
    </row>
    <row r="303" spans="1:21" x14ac:dyDescent="0.3">
      <c r="A303" s="93" t="s">
        <v>630</v>
      </c>
      <c r="B303" s="94" t="s">
        <v>40</v>
      </c>
      <c r="C303" s="94" t="s">
        <v>290</v>
      </c>
      <c r="D303" s="94" t="s">
        <v>642</v>
      </c>
      <c r="E303" s="95" t="s">
        <v>643</v>
      </c>
      <c r="F303" s="94" t="s">
        <v>641</v>
      </c>
      <c r="G303" s="94" t="s">
        <v>261</v>
      </c>
      <c r="H303" s="94" t="s">
        <v>11</v>
      </c>
      <c r="I303" s="94" t="s">
        <v>219</v>
      </c>
      <c r="J303" s="94"/>
      <c r="K303" s="96">
        <v>2</v>
      </c>
      <c r="L303" s="96">
        <f>K303*VLOOKUP(H303,dagsoorttabel1,2,FALSE)</f>
        <v>2</v>
      </c>
      <c r="M303" s="97">
        <f>prodnorm56</f>
        <v>0</v>
      </c>
      <c r="N303" s="41">
        <f>dagwerk56</f>
        <v>0</v>
      </c>
      <c r="O303" s="94" t="s">
        <v>106</v>
      </c>
      <c r="P303" s="26">
        <f>uurtarief56</f>
        <v>0</v>
      </c>
      <c r="Q303" s="96" t="e">
        <f>IF(ISBLANK(M303),0,L303/M303)</f>
        <v>#DIV/0!</v>
      </c>
      <c r="R303" s="96" t="e">
        <f>IF(ISBLANK(M303),0,Q303*N303)</f>
        <v>#DIV/0!</v>
      </c>
      <c r="S303" s="26" t="e">
        <f>P303*Q303</f>
        <v>#DIV/0!</v>
      </c>
      <c r="T303" s="96" t="e">
        <f>Q303*dagenperjaar1</f>
        <v>#DIV/0!</v>
      </c>
      <c r="U303" s="27" t="e">
        <f>T303*P303</f>
        <v>#DIV/0!</v>
      </c>
    </row>
    <row r="304" spans="1:21" x14ac:dyDescent="0.3">
      <c r="A304" s="93" t="s">
        <v>630</v>
      </c>
      <c r="B304" s="94" t="s">
        <v>40</v>
      </c>
      <c r="C304" s="94" t="s">
        <v>290</v>
      </c>
      <c r="D304" s="94" t="s">
        <v>521</v>
      </c>
      <c r="E304" s="95" t="s">
        <v>644</v>
      </c>
      <c r="F304" s="94" t="s">
        <v>641</v>
      </c>
      <c r="G304" s="94" t="s">
        <v>239</v>
      </c>
      <c r="H304" s="94" t="s">
        <v>11</v>
      </c>
      <c r="I304" s="94" t="s">
        <v>219</v>
      </c>
      <c r="J304" s="94"/>
      <c r="K304" s="96">
        <v>23</v>
      </c>
      <c r="L304" s="96">
        <f>K304*VLOOKUP(H304,dagsoorttabel1,2,FALSE)</f>
        <v>23</v>
      </c>
      <c r="M304" s="97">
        <f>prodnorm36</f>
        <v>0</v>
      </c>
      <c r="N304" s="41">
        <f>dagwerk36</f>
        <v>0</v>
      </c>
      <c r="O304" s="94" t="s">
        <v>106</v>
      </c>
      <c r="P304" s="26">
        <f>uurtarief36</f>
        <v>0</v>
      </c>
      <c r="Q304" s="96" t="e">
        <f>IF(ISBLANK(M304),0,L304/M304)</f>
        <v>#DIV/0!</v>
      </c>
      <c r="R304" s="96" t="e">
        <f>IF(ISBLANK(M304),0,Q304*N304)</f>
        <v>#DIV/0!</v>
      </c>
      <c r="S304" s="26" t="e">
        <f>P304*Q304</f>
        <v>#DIV/0!</v>
      </c>
      <c r="T304" s="96" t="e">
        <f>Q304*dagenperjaar1</f>
        <v>#DIV/0!</v>
      </c>
      <c r="U304" s="27" t="e">
        <f>T304*P304</f>
        <v>#DIV/0!</v>
      </c>
    </row>
    <row r="305" spans="1:21" x14ac:dyDescent="0.3">
      <c r="A305" s="93" t="s">
        <v>630</v>
      </c>
      <c r="B305" s="94" t="s">
        <v>40</v>
      </c>
      <c r="C305" s="94" t="s">
        <v>290</v>
      </c>
      <c r="D305" s="94" t="s">
        <v>645</v>
      </c>
      <c r="E305" s="95" t="s">
        <v>646</v>
      </c>
      <c r="F305" s="94" t="s">
        <v>641</v>
      </c>
      <c r="G305" s="94" t="s">
        <v>261</v>
      </c>
      <c r="H305" s="94" t="s">
        <v>11</v>
      </c>
      <c r="I305" s="94" t="s">
        <v>219</v>
      </c>
      <c r="J305" s="94"/>
      <c r="K305" s="96">
        <v>2</v>
      </c>
      <c r="L305" s="96">
        <f>K305*VLOOKUP(H305,dagsoorttabel1,2,FALSE)</f>
        <v>2</v>
      </c>
      <c r="M305" s="97">
        <f>prodnorm56</f>
        <v>0</v>
      </c>
      <c r="N305" s="41">
        <f>dagwerk56</f>
        <v>0</v>
      </c>
      <c r="O305" s="94" t="s">
        <v>106</v>
      </c>
      <c r="P305" s="26">
        <f>uurtarief56</f>
        <v>0</v>
      </c>
      <c r="Q305" s="96" t="e">
        <f>IF(ISBLANK(M305),0,L305/M305)</f>
        <v>#DIV/0!</v>
      </c>
      <c r="R305" s="96" t="e">
        <f>IF(ISBLANK(M305),0,Q305*N305)</f>
        <v>#DIV/0!</v>
      </c>
      <c r="S305" s="26" t="e">
        <f>P305*Q305</f>
        <v>#DIV/0!</v>
      </c>
      <c r="T305" s="96" t="e">
        <f>Q305*dagenperjaar1</f>
        <v>#DIV/0!</v>
      </c>
      <c r="U305" s="27" t="e">
        <f>T305*P305</f>
        <v>#DIV/0!</v>
      </c>
    </row>
    <row r="306" spans="1:21" x14ac:dyDescent="0.3">
      <c r="A306" s="93" t="s">
        <v>630</v>
      </c>
      <c r="B306" s="94" t="s">
        <v>40</v>
      </c>
      <c r="C306" s="94" t="s">
        <v>290</v>
      </c>
      <c r="D306" s="94" t="s">
        <v>522</v>
      </c>
      <c r="E306" s="95" t="s">
        <v>647</v>
      </c>
      <c r="F306" s="94" t="s">
        <v>648</v>
      </c>
      <c r="G306" s="94" t="s">
        <v>239</v>
      </c>
      <c r="H306" s="94" t="s">
        <v>11</v>
      </c>
      <c r="I306" s="94" t="s">
        <v>219</v>
      </c>
      <c r="J306" s="94"/>
      <c r="K306" s="96">
        <v>5</v>
      </c>
      <c r="L306" s="96">
        <f>K306*VLOOKUP(H306,dagsoorttabel1,2,FALSE)</f>
        <v>5</v>
      </c>
      <c r="M306" s="97">
        <f>prodnorm36</f>
        <v>0</v>
      </c>
      <c r="N306" s="41">
        <f>dagwerk36</f>
        <v>0</v>
      </c>
      <c r="O306" s="94" t="s">
        <v>106</v>
      </c>
      <c r="P306" s="26">
        <f>uurtarief36</f>
        <v>0</v>
      </c>
      <c r="Q306" s="96" t="e">
        <f>IF(ISBLANK(M306),0,L306/M306)</f>
        <v>#DIV/0!</v>
      </c>
      <c r="R306" s="96" t="e">
        <f>IF(ISBLANK(M306),0,Q306*N306)</f>
        <v>#DIV/0!</v>
      </c>
      <c r="S306" s="26" t="e">
        <f>P306*Q306</f>
        <v>#DIV/0!</v>
      </c>
      <c r="T306" s="96" t="e">
        <f>Q306*dagenperjaar1</f>
        <v>#DIV/0!</v>
      </c>
      <c r="U306" s="27" t="e">
        <f>T306*P306</f>
        <v>#DIV/0!</v>
      </c>
    </row>
    <row r="307" spans="1:21" x14ac:dyDescent="0.3">
      <c r="A307" s="93" t="s">
        <v>630</v>
      </c>
      <c r="B307" s="94" t="s">
        <v>40</v>
      </c>
      <c r="C307" s="94" t="s">
        <v>290</v>
      </c>
      <c r="D307" s="94" t="s">
        <v>649</v>
      </c>
      <c r="E307" s="95" t="s">
        <v>650</v>
      </c>
      <c r="F307" s="94" t="s">
        <v>648</v>
      </c>
      <c r="G307" s="94" t="s">
        <v>261</v>
      </c>
      <c r="H307" s="94" t="s">
        <v>11</v>
      </c>
      <c r="I307" s="94" t="s">
        <v>219</v>
      </c>
      <c r="J307" s="94"/>
      <c r="K307" s="96">
        <v>7</v>
      </c>
      <c r="L307" s="96">
        <f>K307*VLOOKUP(H307,dagsoorttabel1,2,FALSE)</f>
        <v>7</v>
      </c>
      <c r="M307" s="97">
        <f>prodnorm56</f>
        <v>0</v>
      </c>
      <c r="N307" s="41">
        <f>dagwerk56</f>
        <v>0</v>
      </c>
      <c r="O307" s="94" t="s">
        <v>106</v>
      </c>
      <c r="P307" s="26">
        <f>uurtarief56</f>
        <v>0</v>
      </c>
      <c r="Q307" s="96" t="e">
        <f>IF(ISBLANK(M307),0,L307/M307)</f>
        <v>#DIV/0!</v>
      </c>
      <c r="R307" s="96" t="e">
        <f>IF(ISBLANK(M307),0,Q307*N307)</f>
        <v>#DIV/0!</v>
      </c>
      <c r="S307" s="26" t="e">
        <f>P307*Q307</f>
        <v>#DIV/0!</v>
      </c>
      <c r="T307" s="96" t="e">
        <f>Q307*dagenperjaar1</f>
        <v>#DIV/0!</v>
      </c>
      <c r="U307" s="27" t="e">
        <f>T307*P307</f>
        <v>#DIV/0!</v>
      </c>
    </row>
    <row r="308" spans="1:21" x14ac:dyDescent="0.3">
      <c r="A308" s="93" t="s">
        <v>630</v>
      </c>
      <c r="B308" s="94" t="s">
        <v>40</v>
      </c>
      <c r="C308" s="94" t="s">
        <v>290</v>
      </c>
      <c r="D308" s="94" t="s">
        <v>523</v>
      </c>
      <c r="E308" s="95" t="s">
        <v>651</v>
      </c>
      <c r="F308" s="94" t="s">
        <v>641</v>
      </c>
      <c r="G308" s="94" t="s">
        <v>267</v>
      </c>
      <c r="H308" s="94" t="s">
        <v>11</v>
      </c>
      <c r="I308" s="94" t="s">
        <v>219</v>
      </c>
      <c r="J308" s="94"/>
      <c r="K308" s="96">
        <v>202</v>
      </c>
      <c r="L308" s="96">
        <f>K308*VLOOKUP(H308,dagsoorttabel1,2,FALSE)</f>
        <v>202</v>
      </c>
      <c r="M308" s="97">
        <f>prodnorm63</f>
        <v>0</v>
      </c>
      <c r="N308" s="41">
        <f>dagwerk63</f>
        <v>0</v>
      </c>
      <c r="O308" s="94" t="s">
        <v>106</v>
      </c>
      <c r="P308" s="26">
        <f>uurtarief63</f>
        <v>0</v>
      </c>
      <c r="Q308" s="96" t="e">
        <f>IF(ISBLANK(M308),0,L308/M308)</f>
        <v>#DIV/0!</v>
      </c>
      <c r="R308" s="96" t="e">
        <f>IF(ISBLANK(M308),0,Q308*N308)</f>
        <v>#DIV/0!</v>
      </c>
      <c r="S308" s="26" t="e">
        <f>P308*Q308</f>
        <v>#DIV/0!</v>
      </c>
      <c r="T308" s="96" t="e">
        <f>Q308*dagenperjaar1</f>
        <v>#DIV/0!</v>
      </c>
      <c r="U308" s="27" t="e">
        <f>T308*P308</f>
        <v>#DIV/0!</v>
      </c>
    </row>
    <row r="309" spans="1:21" x14ac:dyDescent="0.3">
      <c r="A309" s="93" t="s">
        <v>630</v>
      </c>
      <c r="B309" s="94" t="s">
        <v>40</v>
      </c>
      <c r="C309" s="94" t="s">
        <v>290</v>
      </c>
      <c r="D309" s="94" t="s">
        <v>524</v>
      </c>
      <c r="E309" s="95" t="s">
        <v>652</v>
      </c>
      <c r="F309" s="94" t="s">
        <v>316</v>
      </c>
      <c r="G309" s="94" t="s">
        <v>261</v>
      </c>
      <c r="H309" s="94" t="s">
        <v>11</v>
      </c>
      <c r="I309" s="94" t="s">
        <v>219</v>
      </c>
      <c r="J309" s="94"/>
      <c r="K309" s="96">
        <v>20</v>
      </c>
      <c r="L309" s="96">
        <f>K309*VLOOKUP(H309,dagsoorttabel1,2,FALSE)</f>
        <v>20</v>
      </c>
      <c r="M309" s="97">
        <f>prodnorm56</f>
        <v>0</v>
      </c>
      <c r="N309" s="41">
        <f>dagwerk56</f>
        <v>0</v>
      </c>
      <c r="O309" s="94" t="s">
        <v>106</v>
      </c>
      <c r="P309" s="26">
        <f>uurtarief56</f>
        <v>0</v>
      </c>
      <c r="Q309" s="96" t="e">
        <f>IF(ISBLANK(M309),0,L309/M309)</f>
        <v>#DIV/0!</v>
      </c>
      <c r="R309" s="96" t="e">
        <f>IF(ISBLANK(M309),0,Q309*N309)</f>
        <v>#DIV/0!</v>
      </c>
      <c r="S309" s="26" t="e">
        <f>P309*Q309</f>
        <v>#DIV/0!</v>
      </c>
      <c r="T309" s="96" t="e">
        <f>Q309*dagenperjaar1</f>
        <v>#DIV/0!</v>
      </c>
      <c r="U309" s="27" t="e">
        <f>T309*P309</f>
        <v>#DIV/0!</v>
      </c>
    </row>
    <row r="310" spans="1:21" x14ac:dyDescent="0.3">
      <c r="A310" s="93" t="s">
        <v>630</v>
      </c>
      <c r="B310" s="94" t="s">
        <v>40</v>
      </c>
      <c r="C310" s="94" t="s">
        <v>290</v>
      </c>
      <c r="D310" s="94" t="s">
        <v>525</v>
      </c>
      <c r="E310" s="95" t="s">
        <v>652</v>
      </c>
      <c r="F310" s="94" t="s">
        <v>316</v>
      </c>
      <c r="G310" s="94" t="s">
        <v>261</v>
      </c>
      <c r="H310" s="94" t="s">
        <v>11</v>
      </c>
      <c r="I310" s="94" t="s">
        <v>219</v>
      </c>
      <c r="J310" s="94"/>
      <c r="K310" s="96">
        <v>10</v>
      </c>
      <c r="L310" s="96">
        <f>K310*VLOOKUP(H310,dagsoorttabel1,2,FALSE)</f>
        <v>10</v>
      </c>
      <c r="M310" s="97">
        <f>prodnorm56</f>
        <v>0</v>
      </c>
      <c r="N310" s="41">
        <f>dagwerk56</f>
        <v>0</v>
      </c>
      <c r="O310" s="94" t="s">
        <v>106</v>
      </c>
      <c r="P310" s="26">
        <f>uurtarief56</f>
        <v>0</v>
      </c>
      <c r="Q310" s="96" t="e">
        <f>IF(ISBLANK(M310),0,L310/M310)</f>
        <v>#DIV/0!</v>
      </c>
      <c r="R310" s="96" t="e">
        <f>IF(ISBLANK(M310),0,Q310*N310)</f>
        <v>#DIV/0!</v>
      </c>
      <c r="S310" s="26" t="e">
        <f>P310*Q310</f>
        <v>#DIV/0!</v>
      </c>
      <c r="T310" s="96" t="e">
        <f>Q310*dagenperjaar1</f>
        <v>#DIV/0!</v>
      </c>
      <c r="U310" s="27" t="e">
        <f>T310*P310</f>
        <v>#DIV/0!</v>
      </c>
    </row>
    <row r="311" spans="1:21" x14ac:dyDescent="0.3">
      <c r="A311" s="93" t="s">
        <v>630</v>
      </c>
      <c r="B311" s="94" t="s">
        <v>40</v>
      </c>
      <c r="C311" s="94" t="s">
        <v>290</v>
      </c>
      <c r="D311" s="94" t="s">
        <v>653</v>
      </c>
      <c r="E311" s="95" t="s">
        <v>654</v>
      </c>
      <c r="F311" s="94" t="s">
        <v>316</v>
      </c>
      <c r="G311" s="94" t="s">
        <v>261</v>
      </c>
      <c r="H311" s="94" t="s">
        <v>11</v>
      </c>
      <c r="I311" s="94" t="s">
        <v>219</v>
      </c>
      <c r="J311" s="94"/>
      <c r="K311" s="96">
        <v>10</v>
      </c>
      <c r="L311" s="96">
        <f>K311*VLOOKUP(H311,dagsoorttabel1,2,FALSE)</f>
        <v>10</v>
      </c>
      <c r="M311" s="97">
        <f>prodnorm56</f>
        <v>0</v>
      </c>
      <c r="N311" s="41">
        <f>dagwerk56</f>
        <v>0</v>
      </c>
      <c r="O311" s="94" t="s">
        <v>106</v>
      </c>
      <c r="P311" s="26">
        <f>uurtarief56</f>
        <v>0</v>
      </c>
      <c r="Q311" s="96" t="e">
        <f>IF(ISBLANK(M311),0,L311/M311)</f>
        <v>#DIV/0!</v>
      </c>
      <c r="R311" s="96" t="e">
        <f>IF(ISBLANK(M311),0,Q311*N311)</f>
        <v>#DIV/0!</v>
      </c>
      <c r="S311" s="26" t="e">
        <f>P311*Q311</f>
        <v>#DIV/0!</v>
      </c>
      <c r="T311" s="96" t="e">
        <f>Q311*dagenperjaar1</f>
        <v>#DIV/0!</v>
      </c>
      <c r="U311" s="27" t="e">
        <f>T311*P311</f>
        <v>#DIV/0!</v>
      </c>
    </row>
    <row r="312" spans="1:21" x14ac:dyDescent="0.3">
      <c r="A312" s="93" t="s">
        <v>630</v>
      </c>
      <c r="B312" s="94" t="s">
        <v>40</v>
      </c>
      <c r="C312" s="94" t="s">
        <v>290</v>
      </c>
      <c r="D312" s="94" t="s">
        <v>526</v>
      </c>
      <c r="E312" s="95" t="s">
        <v>651</v>
      </c>
      <c r="F312" s="94" t="s">
        <v>641</v>
      </c>
      <c r="G312" s="94" t="s">
        <v>267</v>
      </c>
      <c r="H312" s="94" t="s">
        <v>11</v>
      </c>
      <c r="I312" s="94" t="s">
        <v>219</v>
      </c>
      <c r="J312" s="94"/>
      <c r="K312" s="96">
        <v>156</v>
      </c>
      <c r="L312" s="96">
        <f>K312*VLOOKUP(H312,dagsoorttabel1,2,FALSE)</f>
        <v>156</v>
      </c>
      <c r="M312" s="97">
        <f>prodnorm63</f>
        <v>0</v>
      </c>
      <c r="N312" s="41">
        <f>dagwerk63</f>
        <v>0</v>
      </c>
      <c r="O312" s="94" t="s">
        <v>106</v>
      </c>
      <c r="P312" s="26">
        <f>uurtarief63</f>
        <v>0</v>
      </c>
      <c r="Q312" s="96" t="e">
        <f>IF(ISBLANK(M312),0,L312/M312)</f>
        <v>#DIV/0!</v>
      </c>
      <c r="R312" s="96" t="e">
        <f>IF(ISBLANK(M312),0,Q312*N312)</f>
        <v>#DIV/0!</v>
      </c>
      <c r="S312" s="26" t="e">
        <f>P312*Q312</f>
        <v>#DIV/0!</v>
      </c>
      <c r="T312" s="96" t="e">
        <f>Q312*dagenperjaar1</f>
        <v>#DIV/0!</v>
      </c>
      <c r="U312" s="27" t="e">
        <f>T312*P312</f>
        <v>#DIV/0!</v>
      </c>
    </row>
    <row r="313" spans="1:21" x14ac:dyDescent="0.3">
      <c r="A313" s="93" t="s">
        <v>630</v>
      </c>
      <c r="B313" s="94" t="s">
        <v>40</v>
      </c>
      <c r="C313" s="94" t="s">
        <v>290</v>
      </c>
      <c r="D313" s="94" t="s">
        <v>527</v>
      </c>
      <c r="E313" s="95" t="s">
        <v>655</v>
      </c>
      <c r="F313" s="94" t="s">
        <v>641</v>
      </c>
      <c r="G313" s="94" t="s">
        <v>267</v>
      </c>
      <c r="H313" s="94" t="s">
        <v>11</v>
      </c>
      <c r="I313" s="94" t="s">
        <v>219</v>
      </c>
      <c r="J313" s="94"/>
      <c r="K313" s="96">
        <v>12</v>
      </c>
      <c r="L313" s="96">
        <f>K313*VLOOKUP(H313,dagsoorttabel1,2,FALSE)</f>
        <v>12</v>
      </c>
      <c r="M313" s="97">
        <f>prodnorm63</f>
        <v>0</v>
      </c>
      <c r="N313" s="41">
        <f>dagwerk63</f>
        <v>0</v>
      </c>
      <c r="O313" s="94" t="s">
        <v>106</v>
      </c>
      <c r="P313" s="26">
        <f>uurtarief63</f>
        <v>0</v>
      </c>
      <c r="Q313" s="96" t="e">
        <f>IF(ISBLANK(M313),0,L313/M313)</f>
        <v>#DIV/0!</v>
      </c>
      <c r="R313" s="96" t="e">
        <f>IF(ISBLANK(M313),0,Q313*N313)</f>
        <v>#DIV/0!</v>
      </c>
      <c r="S313" s="26" t="e">
        <f>P313*Q313</f>
        <v>#DIV/0!</v>
      </c>
      <c r="T313" s="96" t="e">
        <f>Q313*dagenperjaar1</f>
        <v>#DIV/0!</v>
      </c>
      <c r="U313" s="27" t="e">
        <f>T313*P313</f>
        <v>#DIV/0!</v>
      </c>
    </row>
    <row r="314" spans="1:21" x14ac:dyDescent="0.3">
      <c r="A314" s="93" t="s">
        <v>630</v>
      </c>
      <c r="B314" s="94" t="s">
        <v>40</v>
      </c>
      <c r="C314" s="94" t="s">
        <v>290</v>
      </c>
      <c r="D314" s="94" t="s">
        <v>656</v>
      </c>
      <c r="E314" s="95" t="s">
        <v>655</v>
      </c>
      <c r="F314" s="94" t="s">
        <v>657</v>
      </c>
      <c r="G314" s="94" t="s">
        <v>267</v>
      </c>
      <c r="H314" s="94" t="s">
        <v>11</v>
      </c>
      <c r="I314" s="94" t="s">
        <v>219</v>
      </c>
      <c r="J314" s="94"/>
      <c r="K314" s="96">
        <v>6</v>
      </c>
      <c r="L314" s="96">
        <f>K314*VLOOKUP(H314,dagsoorttabel1,2,FALSE)</f>
        <v>6</v>
      </c>
      <c r="M314" s="97">
        <f>prodnorm63</f>
        <v>0</v>
      </c>
      <c r="N314" s="41">
        <f>dagwerk63</f>
        <v>0</v>
      </c>
      <c r="O314" s="94" t="s">
        <v>106</v>
      </c>
      <c r="P314" s="26">
        <f>uurtarief63</f>
        <v>0</v>
      </c>
      <c r="Q314" s="96" t="e">
        <f>IF(ISBLANK(M314),0,L314/M314)</f>
        <v>#DIV/0!</v>
      </c>
      <c r="R314" s="96" t="e">
        <f>IF(ISBLANK(M314),0,Q314*N314)</f>
        <v>#DIV/0!</v>
      </c>
      <c r="S314" s="26" t="e">
        <f>P314*Q314</f>
        <v>#DIV/0!</v>
      </c>
      <c r="T314" s="96" t="e">
        <f>Q314*dagenperjaar1</f>
        <v>#DIV/0!</v>
      </c>
      <c r="U314" s="27" t="e">
        <f>T314*P314</f>
        <v>#DIV/0!</v>
      </c>
    </row>
    <row r="315" spans="1:21" x14ac:dyDescent="0.3">
      <c r="A315" s="93" t="s">
        <v>630</v>
      </c>
      <c r="B315" s="94" t="s">
        <v>40</v>
      </c>
      <c r="C315" s="94" t="s">
        <v>290</v>
      </c>
      <c r="D315" s="94" t="s">
        <v>528</v>
      </c>
      <c r="E315" s="95" t="s">
        <v>658</v>
      </c>
      <c r="F315" s="94" t="s">
        <v>330</v>
      </c>
      <c r="G315" s="94" t="s">
        <v>223</v>
      </c>
      <c r="H315" s="94" t="s">
        <v>11</v>
      </c>
      <c r="I315" s="94" t="s">
        <v>219</v>
      </c>
      <c r="J315" s="94"/>
      <c r="K315" s="96">
        <v>82</v>
      </c>
      <c r="L315" s="96">
        <f>K315*VLOOKUP(H315,dagsoorttabel1,2,FALSE)</f>
        <v>82</v>
      </c>
      <c r="M315" s="97">
        <f>prodnorm18</f>
        <v>0</v>
      </c>
      <c r="N315" s="41">
        <f>dagwerk18</f>
        <v>0</v>
      </c>
      <c r="O315" s="94" t="s">
        <v>106</v>
      </c>
      <c r="P315" s="26">
        <f>uurtarief18</f>
        <v>0</v>
      </c>
      <c r="Q315" s="96" t="e">
        <f>IF(ISBLANK(M315),0,L315/M315)</f>
        <v>#DIV/0!</v>
      </c>
      <c r="R315" s="96" t="e">
        <f>IF(ISBLANK(M315),0,Q315*N315)</f>
        <v>#DIV/0!</v>
      </c>
      <c r="S315" s="26" t="e">
        <f>P315*Q315</f>
        <v>#DIV/0!</v>
      </c>
      <c r="T315" s="96" t="e">
        <f>Q315*dagenperjaar1</f>
        <v>#DIV/0!</v>
      </c>
      <c r="U315" s="27" t="e">
        <f>T315*P315</f>
        <v>#DIV/0!</v>
      </c>
    </row>
    <row r="316" spans="1:21" x14ac:dyDescent="0.3">
      <c r="A316" s="93" t="s">
        <v>630</v>
      </c>
      <c r="B316" s="94" t="s">
        <v>40</v>
      </c>
      <c r="C316" s="94" t="s">
        <v>290</v>
      </c>
      <c r="D316" s="94" t="s">
        <v>620</v>
      </c>
      <c r="E316" s="95" t="s">
        <v>659</v>
      </c>
      <c r="F316" s="94" t="s">
        <v>330</v>
      </c>
      <c r="G316" s="94" t="s">
        <v>223</v>
      </c>
      <c r="H316" s="94" t="s">
        <v>18</v>
      </c>
      <c r="I316" s="94" t="s">
        <v>219</v>
      </c>
      <c r="J316" s="94"/>
      <c r="K316" s="96">
        <v>85</v>
      </c>
      <c r="L316" s="96">
        <f>K316*VLOOKUP(H316,dagsoorttabel1,2,FALSE)</f>
        <v>17</v>
      </c>
      <c r="M316" s="97">
        <f>prodnorm19</f>
        <v>0</v>
      </c>
      <c r="N316" s="41">
        <f>dagwerk19</f>
        <v>0</v>
      </c>
      <c r="O316" s="94" t="s">
        <v>106</v>
      </c>
      <c r="P316" s="26">
        <f>uurtarief19</f>
        <v>0</v>
      </c>
      <c r="Q316" s="96" t="e">
        <f>IF(ISBLANK(M316),0,L316/M316)</f>
        <v>#DIV/0!</v>
      </c>
      <c r="R316" s="96" t="e">
        <f>IF(ISBLANK(M316),0,Q316*N316)</f>
        <v>#DIV/0!</v>
      </c>
      <c r="S316" s="26" t="e">
        <f>P316*Q316</f>
        <v>#DIV/0!</v>
      </c>
      <c r="T316" s="96" t="e">
        <f>Q316*dagenperjaar1</f>
        <v>#DIV/0!</v>
      </c>
      <c r="U316" s="27" t="e">
        <f>T316*P316</f>
        <v>#DIV/0!</v>
      </c>
    </row>
    <row r="317" spans="1:21" x14ac:dyDescent="0.3">
      <c r="A317" s="93" t="s">
        <v>630</v>
      </c>
      <c r="B317" s="94" t="s">
        <v>40</v>
      </c>
      <c r="C317" s="94" t="s">
        <v>290</v>
      </c>
      <c r="D317" s="94" t="s">
        <v>529</v>
      </c>
      <c r="E317" s="95" t="s">
        <v>660</v>
      </c>
      <c r="F317" s="94" t="s">
        <v>330</v>
      </c>
      <c r="G317" s="94" t="s">
        <v>241</v>
      </c>
      <c r="H317" s="94" t="s">
        <v>18</v>
      </c>
      <c r="I317" s="94" t="s">
        <v>219</v>
      </c>
      <c r="J317" s="94"/>
      <c r="K317" s="96">
        <v>53</v>
      </c>
      <c r="L317" s="96">
        <f>K317*VLOOKUP(H317,dagsoorttabel1,2,FALSE)</f>
        <v>10.600000000000001</v>
      </c>
      <c r="M317" s="97">
        <f>prodnorm39</f>
        <v>0</v>
      </c>
      <c r="N317" s="41">
        <f>dagwerk39</f>
        <v>0</v>
      </c>
      <c r="O317" s="94" t="s">
        <v>106</v>
      </c>
      <c r="P317" s="26">
        <f>uurtarief39</f>
        <v>0</v>
      </c>
      <c r="Q317" s="96" t="e">
        <f>IF(ISBLANK(M317),0,L317/M317)</f>
        <v>#DIV/0!</v>
      </c>
      <c r="R317" s="96" t="e">
        <f>IF(ISBLANK(M317),0,Q317*N317)</f>
        <v>#DIV/0!</v>
      </c>
      <c r="S317" s="26" t="e">
        <f>P317*Q317</f>
        <v>#DIV/0!</v>
      </c>
      <c r="T317" s="96" t="e">
        <f>Q317*dagenperjaar1</f>
        <v>#DIV/0!</v>
      </c>
      <c r="U317" s="27" t="e">
        <f>T317*P317</f>
        <v>#DIV/0!</v>
      </c>
    </row>
    <row r="318" spans="1:21" x14ac:dyDescent="0.3">
      <c r="A318" s="93" t="s">
        <v>630</v>
      </c>
      <c r="B318" s="94" t="s">
        <v>40</v>
      </c>
      <c r="C318" s="94" t="s">
        <v>290</v>
      </c>
      <c r="D318" s="94" t="s">
        <v>530</v>
      </c>
      <c r="E318" s="95" t="s">
        <v>661</v>
      </c>
      <c r="F318" s="94" t="s">
        <v>330</v>
      </c>
      <c r="G318" s="94" t="s">
        <v>257</v>
      </c>
      <c r="H318" s="94" t="s">
        <v>18</v>
      </c>
      <c r="I318" s="94" t="s">
        <v>219</v>
      </c>
      <c r="J318" s="94"/>
      <c r="K318" s="96">
        <v>95</v>
      </c>
      <c r="L318" s="96">
        <f>K318*VLOOKUP(H318,dagsoorttabel1,2,FALSE)</f>
        <v>19</v>
      </c>
      <c r="M318" s="97">
        <f>prodnorm53</f>
        <v>0</v>
      </c>
      <c r="N318" s="41">
        <f>dagwerk53</f>
        <v>0</v>
      </c>
      <c r="O318" s="94" t="s">
        <v>106</v>
      </c>
      <c r="P318" s="26">
        <f>uurtarief53</f>
        <v>0</v>
      </c>
      <c r="Q318" s="96" t="e">
        <f>IF(ISBLANK(M318),0,L318/M318)</f>
        <v>#DIV/0!</v>
      </c>
      <c r="R318" s="96" t="e">
        <f>IF(ISBLANK(M318),0,Q318*N318)</f>
        <v>#DIV/0!</v>
      </c>
      <c r="S318" s="26" t="e">
        <f>P318*Q318</f>
        <v>#DIV/0!</v>
      </c>
      <c r="T318" s="96" t="e">
        <f>Q318*dagenperjaar1</f>
        <v>#DIV/0!</v>
      </c>
      <c r="U318" s="27" t="e">
        <f>T318*P318</f>
        <v>#DIV/0!</v>
      </c>
    </row>
    <row r="319" spans="1:21" x14ac:dyDescent="0.3">
      <c r="A319" s="93" t="s">
        <v>630</v>
      </c>
      <c r="B319" s="94" t="s">
        <v>40</v>
      </c>
      <c r="C319" s="94" t="s">
        <v>290</v>
      </c>
      <c r="D319" s="94" t="s">
        <v>622</v>
      </c>
      <c r="E319" s="95" t="s">
        <v>662</v>
      </c>
      <c r="F319" s="94" t="s">
        <v>293</v>
      </c>
      <c r="G319" s="94" t="s">
        <v>231</v>
      </c>
      <c r="H319" s="94" t="s">
        <v>18</v>
      </c>
      <c r="I319" s="94" t="s">
        <v>219</v>
      </c>
      <c r="J319" s="94"/>
      <c r="K319" s="96">
        <v>13</v>
      </c>
      <c r="L319" s="96">
        <f>K319*VLOOKUP(H319,dagsoorttabel1,2,FALSE)</f>
        <v>2.6</v>
      </c>
      <c r="M319" s="97">
        <f>prodnorm30</f>
        <v>0</v>
      </c>
      <c r="N319" s="41">
        <f>dagwerk30</f>
        <v>0</v>
      </c>
      <c r="O319" s="94" t="s">
        <v>106</v>
      </c>
      <c r="P319" s="26">
        <f>uurtarief30</f>
        <v>0</v>
      </c>
      <c r="Q319" s="96" t="e">
        <f>IF(ISBLANK(M319),0,L319/M319)</f>
        <v>#DIV/0!</v>
      </c>
      <c r="R319" s="96" t="e">
        <f>IF(ISBLANK(M319),0,Q319*N319)</f>
        <v>#DIV/0!</v>
      </c>
      <c r="S319" s="26" t="e">
        <f>P319*Q319</f>
        <v>#DIV/0!</v>
      </c>
      <c r="T319" s="96" t="e">
        <f>Q319*dagenperjaar1</f>
        <v>#DIV/0!</v>
      </c>
      <c r="U319" s="27" t="e">
        <f>T319*P319</f>
        <v>#DIV/0!</v>
      </c>
    </row>
    <row r="320" spans="1:21" x14ac:dyDescent="0.3">
      <c r="A320" s="93" t="s">
        <v>630</v>
      </c>
      <c r="B320" s="94" t="s">
        <v>40</v>
      </c>
      <c r="C320" s="94" t="s">
        <v>290</v>
      </c>
      <c r="D320" s="94" t="s">
        <v>536</v>
      </c>
      <c r="E320" s="95" t="s">
        <v>663</v>
      </c>
      <c r="F320" s="94" t="s">
        <v>638</v>
      </c>
      <c r="G320" s="94" t="s">
        <v>235</v>
      </c>
      <c r="H320" s="94" t="s">
        <v>18</v>
      </c>
      <c r="I320" s="94" t="s">
        <v>219</v>
      </c>
      <c r="J320" s="94"/>
      <c r="K320" s="96">
        <v>252</v>
      </c>
      <c r="L320" s="96">
        <f>K320*VLOOKUP(H320,dagsoorttabel1,2,FALSE)</f>
        <v>50.400000000000006</v>
      </c>
      <c r="M320" s="97">
        <f>prodnorm34</f>
        <v>0</v>
      </c>
      <c r="N320" s="41">
        <f>dagwerk34</f>
        <v>0</v>
      </c>
      <c r="O320" s="94" t="s">
        <v>106</v>
      </c>
      <c r="P320" s="26">
        <f>uurtarief34</f>
        <v>0</v>
      </c>
      <c r="Q320" s="96" t="e">
        <f>IF(ISBLANK(M320),0,L320/M320)</f>
        <v>#DIV/0!</v>
      </c>
      <c r="R320" s="96" t="e">
        <f>IF(ISBLANK(M320),0,Q320*N320)</f>
        <v>#DIV/0!</v>
      </c>
      <c r="S320" s="26" t="e">
        <f>P320*Q320</f>
        <v>#DIV/0!</v>
      </c>
      <c r="T320" s="96" t="e">
        <f>Q320*dagenperjaar1</f>
        <v>#DIV/0!</v>
      </c>
      <c r="U320" s="27" t="e">
        <f>T320*P320</f>
        <v>#DIV/0!</v>
      </c>
    </row>
    <row r="321" spans="1:21" x14ac:dyDescent="0.3">
      <c r="A321" s="93" t="s">
        <v>630</v>
      </c>
      <c r="B321" s="94" t="s">
        <v>40</v>
      </c>
      <c r="C321" s="94" t="s">
        <v>290</v>
      </c>
      <c r="D321" s="94" t="s">
        <v>623</v>
      </c>
      <c r="E321" s="95" t="s">
        <v>664</v>
      </c>
      <c r="F321" s="94" t="s">
        <v>638</v>
      </c>
      <c r="G321" s="94" t="s">
        <v>235</v>
      </c>
      <c r="H321" s="94" t="s">
        <v>18</v>
      </c>
      <c r="I321" s="94" t="s">
        <v>219</v>
      </c>
      <c r="J321" s="94"/>
      <c r="K321" s="96">
        <v>35</v>
      </c>
      <c r="L321" s="96">
        <f>K321*VLOOKUP(H321,dagsoorttabel1,2,FALSE)</f>
        <v>7</v>
      </c>
      <c r="M321" s="97">
        <f>prodnorm34</f>
        <v>0</v>
      </c>
      <c r="N321" s="41">
        <f>dagwerk34</f>
        <v>0</v>
      </c>
      <c r="O321" s="94" t="s">
        <v>106</v>
      </c>
      <c r="P321" s="26">
        <f>uurtarief34</f>
        <v>0</v>
      </c>
      <c r="Q321" s="96" t="e">
        <f>IF(ISBLANK(M321),0,L321/M321)</f>
        <v>#DIV/0!</v>
      </c>
      <c r="R321" s="96" t="e">
        <f>IF(ISBLANK(M321),0,Q321*N321)</f>
        <v>#DIV/0!</v>
      </c>
      <c r="S321" s="26" t="e">
        <f>P321*Q321</f>
        <v>#DIV/0!</v>
      </c>
      <c r="T321" s="96" t="e">
        <f>Q321*dagenperjaar1</f>
        <v>#DIV/0!</v>
      </c>
      <c r="U321" s="27" t="e">
        <f>T321*P321</f>
        <v>#DIV/0!</v>
      </c>
    </row>
    <row r="322" spans="1:21" x14ac:dyDescent="0.3">
      <c r="A322" s="93" t="s">
        <v>630</v>
      </c>
      <c r="B322" s="94" t="s">
        <v>40</v>
      </c>
      <c r="C322" s="94" t="s">
        <v>290</v>
      </c>
      <c r="D322" s="94" t="s">
        <v>538</v>
      </c>
      <c r="E322" s="95" t="s">
        <v>665</v>
      </c>
      <c r="F322" s="94" t="s">
        <v>641</v>
      </c>
      <c r="G322" s="94" t="s">
        <v>239</v>
      </c>
      <c r="H322" s="94" t="s">
        <v>18</v>
      </c>
      <c r="I322" s="94" t="s">
        <v>219</v>
      </c>
      <c r="J322" s="94"/>
      <c r="K322" s="96">
        <v>19.5</v>
      </c>
      <c r="L322" s="96">
        <f>K322*VLOOKUP(H322,dagsoorttabel1,2,FALSE)</f>
        <v>3.9000000000000004</v>
      </c>
      <c r="M322" s="97">
        <f>prodnorm37</f>
        <v>0</v>
      </c>
      <c r="N322" s="41">
        <f>dagwerk37</f>
        <v>0</v>
      </c>
      <c r="O322" s="94" t="s">
        <v>106</v>
      </c>
      <c r="P322" s="26">
        <f>uurtarief37</f>
        <v>0</v>
      </c>
      <c r="Q322" s="96" t="e">
        <f>IF(ISBLANK(M322),0,L322/M322)</f>
        <v>#DIV/0!</v>
      </c>
      <c r="R322" s="96" t="e">
        <f>IF(ISBLANK(M322),0,Q322*N322)</f>
        <v>#DIV/0!</v>
      </c>
      <c r="S322" s="26" t="e">
        <f>P322*Q322</f>
        <v>#DIV/0!</v>
      </c>
      <c r="T322" s="96" t="e">
        <f>Q322*dagenperjaar1</f>
        <v>#DIV/0!</v>
      </c>
      <c r="U322" s="27" t="e">
        <f>T322*P322</f>
        <v>#DIV/0!</v>
      </c>
    </row>
    <row r="323" spans="1:21" x14ac:dyDescent="0.3">
      <c r="A323" s="93" t="s">
        <v>630</v>
      </c>
      <c r="B323" s="94" t="s">
        <v>40</v>
      </c>
      <c r="C323" s="94" t="s">
        <v>290</v>
      </c>
      <c r="D323" s="94" t="s">
        <v>666</v>
      </c>
      <c r="E323" s="95" t="s">
        <v>667</v>
      </c>
      <c r="F323" s="94" t="s">
        <v>641</v>
      </c>
      <c r="G323" s="94" t="s">
        <v>261</v>
      </c>
      <c r="H323" s="94" t="s">
        <v>18</v>
      </c>
      <c r="I323" s="94" t="s">
        <v>219</v>
      </c>
      <c r="J323" s="94"/>
      <c r="K323" s="96">
        <v>1.5</v>
      </c>
      <c r="L323" s="96">
        <f>K323*VLOOKUP(H323,dagsoorttabel1,2,FALSE)</f>
        <v>0.30000000000000004</v>
      </c>
      <c r="M323" s="97">
        <f>prodnorm57</f>
        <v>0</v>
      </c>
      <c r="N323" s="41">
        <f>dagwerk57</f>
        <v>0</v>
      </c>
      <c r="O323" s="94" t="s">
        <v>106</v>
      </c>
      <c r="P323" s="26">
        <f>uurtarief57</f>
        <v>0</v>
      </c>
      <c r="Q323" s="96" t="e">
        <f>IF(ISBLANK(M323),0,L323/M323)</f>
        <v>#DIV/0!</v>
      </c>
      <c r="R323" s="96" t="e">
        <f>IF(ISBLANK(M323),0,Q323*N323)</f>
        <v>#DIV/0!</v>
      </c>
      <c r="S323" s="26" t="e">
        <f>P323*Q323</f>
        <v>#DIV/0!</v>
      </c>
      <c r="T323" s="96" t="e">
        <f>Q323*dagenperjaar1</f>
        <v>#DIV/0!</v>
      </c>
      <c r="U323" s="27" t="e">
        <f>T323*P323</f>
        <v>#DIV/0!</v>
      </c>
    </row>
    <row r="324" spans="1:21" x14ac:dyDescent="0.3">
      <c r="A324" s="93" t="s">
        <v>630</v>
      </c>
      <c r="B324" s="94" t="s">
        <v>40</v>
      </c>
      <c r="C324" s="94" t="s">
        <v>290</v>
      </c>
      <c r="D324" s="94" t="s">
        <v>668</v>
      </c>
      <c r="E324" s="95" t="s">
        <v>669</v>
      </c>
      <c r="F324" s="94" t="s">
        <v>641</v>
      </c>
      <c r="G324" s="94" t="s">
        <v>239</v>
      </c>
      <c r="H324" s="94" t="s">
        <v>18</v>
      </c>
      <c r="I324" s="94" t="s">
        <v>219</v>
      </c>
      <c r="J324" s="94"/>
      <c r="K324" s="96">
        <v>24.5</v>
      </c>
      <c r="L324" s="96">
        <f>K324*VLOOKUP(H324,dagsoorttabel1,2,FALSE)</f>
        <v>4.9000000000000004</v>
      </c>
      <c r="M324" s="97">
        <f>prodnorm37</f>
        <v>0</v>
      </c>
      <c r="N324" s="41">
        <f>dagwerk37</f>
        <v>0</v>
      </c>
      <c r="O324" s="94" t="s">
        <v>106</v>
      </c>
      <c r="P324" s="26">
        <f>uurtarief37</f>
        <v>0</v>
      </c>
      <c r="Q324" s="96" t="e">
        <f>IF(ISBLANK(M324),0,L324/M324)</f>
        <v>#DIV/0!</v>
      </c>
      <c r="R324" s="96" t="e">
        <f>IF(ISBLANK(M324),0,Q324*N324)</f>
        <v>#DIV/0!</v>
      </c>
      <c r="S324" s="26" t="e">
        <f>P324*Q324</f>
        <v>#DIV/0!</v>
      </c>
      <c r="T324" s="96" t="e">
        <f>Q324*dagenperjaar1</f>
        <v>#DIV/0!</v>
      </c>
      <c r="U324" s="27" t="e">
        <f>T324*P324</f>
        <v>#DIV/0!</v>
      </c>
    </row>
    <row r="325" spans="1:21" x14ac:dyDescent="0.3">
      <c r="A325" s="93" t="s">
        <v>630</v>
      </c>
      <c r="B325" s="94" t="s">
        <v>40</v>
      </c>
      <c r="C325" s="94" t="s">
        <v>290</v>
      </c>
      <c r="D325" s="94" t="s">
        <v>670</v>
      </c>
      <c r="E325" s="95" t="s">
        <v>671</v>
      </c>
      <c r="F325" s="94" t="s">
        <v>641</v>
      </c>
      <c r="G325" s="94" t="s">
        <v>261</v>
      </c>
      <c r="H325" s="94" t="s">
        <v>18</v>
      </c>
      <c r="I325" s="94" t="s">
        <v>219</v>
      </c>
      <c r="J325" s="94"/>
      <c r="K325" s="96">
        <v>1.5</v>
      </c>
      <c r="L325" s="96">
        <f>K325*VLOOKUP(H325,dagsoorttabel1,2,FALSE)</f>
        <v>0.30000000000000004</v>
      </c>
      <c r="M325" s="97">
        <f>prodnorm57</f>
        <v>0</v>
      </c>
      <c r="N325" s="41">
        <f>dagwerk57</f>
        <v>0</v>
      </c>
      <c r="O325" s="94" t="s">
        <v>106</v>
      </c>
      <c r="P325" s="26">
        <f>uurtarief57</f>
        <v>0</v>
      </c>
      <c r="Q325" s="96" t="e">
        <f>IF(ISBLANK(M325),0,L325/M325)</f>
        <v>#DIV/0!</v>
      </c>
      <c r="R325" s="96" t="e">
        <f>IF(ISBLANK(M325),0,Q325*N325)</f>
        <v>#DIV/0!</v>
      </c>
      <c r="S325" s="26" t="e">
        <f>P325*Q325</f>
        <v>#DIV/0!</v>
      </c>
      <c r="T325" s="96" t="e">
        <f>Q325*dagenperjaar1</f>
        <v>#DIV/0!</v>
      </c>
      <c r="U325" s="27" t="e">
        <f>T325*P325</f>
        <v>#DIV/0!</v>
      </c>
    </row>
    <row r="326" spans="1:21" x14ac:dyDescent="0.3">
      <c r="A326" s="93" t="s">
        <v>630</v>
      </c>
      <c r="B326" s="94" t="s">
        <v>40</v>
      </c>
      <c r="C326" s="94" t="s">
        <v>290</v>
      </c>
      <c r="D326" s="94" t="s">
        <v>672</v>
      </c>
      <c r="E326" s="95" t="s">
        <v>673</v>
      </c>
      <c r="F326" s="94" t="s">
        <v>648</v>
      </c>
      <c r="G326" s="94" t="s">
        <v>239</v>
      </c>
      <c r="H326" s="94" t="s">
        <v>18</v>
      </c>
      <c r="I326" s="94" t="s">
        <v>219</v>
      </c>
      <c r="J326" s="94"/>
      <c r="K326" s="96">
        <v>5</v>
      </c>
      <c r="L326" s="96">
        <f>K326*VLOOKUP(H326,dagsoorttabel1,2,FALSE)</f>
        <v>1</v>
      </c>
      <c r="M326" s="97">
        <f>prodnorm37</f>
        <v>0</v>
      </c>
      <c r="N326" s="41">
        <f>dagwerk37</f>
        <v>0</v>
      </c>
      <c r="O326" s="94" t="s">
        <v>106</v>
      </c>
      <c r="P326" s="26">
        <f>uurtarief37</f>
        <v>0</v>
      </c>
      <c r="Q326" s="96" t="e">
        <f>IF(ISBLANK(M326),0,L326/M326)</f>
        <v>#DIV/0!</v>
      </c>
      <c r="R326" s="96" t="e">
        <f>IF(ISBLANK(M326),0,Q326*N326)</f>
        <v>#DIV/0!</v>
      </c>
      <c r="S326" s="26" t="e">
        <f>P326*Q326</f>
        <v>#DIV/0!</v>
      </c>
      <c r="T326" s="96" t="e">
        <f>Q326*dagenperjaar1</f>
        <v>#DIV/0!</v>
      </c>
      <c r="U326" s="27" t="e">
        <f>T326*P326</f>
        <v>#DIV/0!</v>
      </c>
    </row>
    <row r="327" spans="1:21" x14ac:dyDescent="0.3">
      <c r="A327" s="93" t="s">
        <v>630</v>
      </c>
      <c r="B327" s="94" t="s">
        <v>40</v>
      </c>
      <c r="C327" s="94" t="s">
        <v>290</v>
      </c>
      <c r="D327" s="94" t="s">
        <v>674</v>
      </c>
      <c r="E327" s="95" t="s">
        <v>675</v>
      </c>
      <c r="F327" s="94" t="s">
        <v>648</v>
      </c>
      <c r="G327" s="94" t="s">
        <v>261</v>
      </c>
      <c r="H327" s="94" t="s">
        <v>18</v>
      </c>
      <c r="I327" s="94" t="s">
        <v>219</v>
      </c>
      <c r="J327" s="94"/>
      <c r="K327" s="96">
        <v>7</v>
      </c>
      <c r="L327" s="96">
        <f>K327*VLOOKUP(H327,dagsoorttabel1,2,FALSE)</f>
        <v>1.4000000000000001</v>
      </c>
      <c r="M327" s="97">
        <f>prodnorm57</f>
        <v>0</v>
      </c>
      <c r="N327" s="41">
        <f>dagwerk57</f>
        <v>0</v>
      </c>
      <c r="O327" s="94" t="s">
        <v>106</v>
      </c>
      <c r="P327" s="26">
        <f>uurtarief57</f>
        <v>0</v>
      </c>
      <c r="Q327" s="96" t="e">
        <f>IF(ISBLANK(M327),0,L327/M327)</f>
        <v>#DIV/0!</v>
      </c>
      <c r="R327" s="96" t="e">
        <f>IF(ISBLANK(M327),0,Q327*N327)</f>
        <v>#DIV/0!</v>
      </c>
      <c r="S327" s="26" t="e">
        <f>P327*Q327</f>
        <v>#DIV/0!</v>
      </c>
      <c r="T327" s="96" t="e">
        <f>Q327*dagenperjaar1</f>
        <v>#DIV/0!</v>
      </c>
      <c r="U327" s="27" t="e">
        <f>T327*P327</f>
        <v>#DIV/0!</v>
      </c>
    </row>
    <row r="328" spans="1:21" x14ac:dyDescent="0.3">
      <c r="A328" s="93" t="s">
        <v>630</v>
      </c>
      <c r="B328" s="94" t="s">
        <v>40</v>
      </c>
      <c r="C328" s="94" t="s">
        <v>419</v>
      </c>
      <c r="D328" s="94" t="s">
        <v>676</v>
      </c>
      <c r="E328" s="95" t="s">
        <v>677</v>
      </c>
      <c r="F328" s="94" t="s">
        <v>641</v>
      </c>
      <c r="G328" s="94" t="s">
        <v>267</v>
      </c>
      <c r="H328" s="94" t="s">
        <v>11</v>
      </c>
      <c r="I328" s="94" t="s">
        <v>219</v>
      </c>
      <c r="J328" s="94"/>
      <c r="K328" s="96">
        <v>39</v>
      </c>
      <c r="L328" s="96">
        <f>K328*VLOOKUP(H328,dagsoorttabel1,2,FALSE)</f>
        <v>39</v>
      </c>
      <c r="M328" s="97">
        <f>prodnorm63</f>
        <v>0</v>
      </c>
      <c r="N328" s="41">
        <f>dagwerk63</f>
        <v>0</v>
      </c>
      <c r="O328" s="94" t="s">
        <v>106</v>
      </c>
      <c r="P328" s="26">
        <f>uurtarief63</f>
        <v>0</v>
      </c>
      <c r="Q328" s="96" t="e">
        <f>IF(ISBLANK(M328),0,L328/M328)</f>
        <v>#DIV/0!</v>
      </c>
      <c r="R328" s="96" t="e">
        <f>IF(ISBLANK(M328),0,Q328*N328)</f>
        <v>#DIV/0!</v>
      </c>
      <c r="S328" s="26" t="e">
        <f>P328*Q328</f>
        <v>#DIV/0!</v>
      </c>
      <c r="T328" s="96" t="e">
        <f>Q328*dagenperjaar1</f>
        <v>#DIV/0!</v>
      </c>
      <c r="U328" s="27" t="e">
        <f>T328*P328</f>
        <v>#DIV/0!</v>
      </c>
    </row>
    <row r="329" spans="1:21" x14ac:dyDescent="0.3">
      <c r="A329" s="93" t="s">
        <v>630</v>
      </c>
      <c r="B329" s="94" t="s">
        <v>40</v>
      </c>
      <c r="C329" s="94" t="s">
        <v>419</v>
      </c>
      <c r="D329" s="94" t="s">
        <v>678</v>
      </c>
      <c r="E329" s="95" t="s">
        <v>679</v>
      </c>
      <c r="F329" s="94" t="s">
        <v>641</v>
      </c>
      <c r="G329" s="94" t="s">
        <v>241</v>
      </c>
      <c r="H329" s="94" t="s">
        <v>11</v>
      </c>
      <c r="I329" s="94" t="s">
        <v>219</v>
      </c>
      <c r="J329" s="94"/>
      <c r="K329" s="96">
        <v>54</v>
      </c>
      <c r="L329" s="96">
        <f>K329*VLOOKUP(H329,dagsoorttabel1,2,FALSE)</f>
        <v>54</v>
      </c>
      <c r="M329" s="97">
        <f>prodnorm38</f>
        <v>0</v>
      </c>
      <c r="N329" s="41">
        <f>dagwerk38</f>
        <v>0</v>
      </c>
      <c r="O329" s="94" t="s">
        <v>106</v>
      </c>
      <c r="P329" s="26">
        <f>uurtarief38</f>
        <v>0</v>
      </c>
      <c r="Q329" s="96" t="e">
        <f>IF(ISBLANK(M329),0,L329/M329)</f>
        <v>#DIV/0!</v>
      </c>
      <c r="R329" s="96" t="e">
        <f>IF(ISBLANK(M329),0,Q329*N329)</f>
        <v>#DIV/0!</v>
      </c>
      <c r="S329" s="26" t="e">
        <f>P329*Q329</f>
        <v>#DIV/0!</v>
      </c>
      <c r="T329" s="96" t="e">
        <f>Q329*dagenperjaar1</f>
        <v>#DIV/0!</v>
      </c>
      <c r="U329" s="27" t="e">
        <f>T329*P329</f>
        <v>#DIV/0!</v>
      </c>
    </row>
    <row r="330" spans="1:21" x14ac:dyDescent="0.3">
      <c r="A330" s="93" t="s">
        <v>630</v>
      </c>
      <c r="B330" s="94" t="s">
        <v>40</v>
      </c>
      <c r="C330" s="94" t="s">
        <v>419</v>
      </c>
      <c r="D330" s="94" t="s">
        <v>680</v>
      </c>
      <c r="E330" s="95" t="s">
        <v>681</v>
      </c>
      <c r="F330" s="94" t="s">
        <v>293</v>
      </c>
      <c r="G330" s="94" t="s">
        <v>223</v>
      </c>
      <c r="H330" s="94" t="s">
        <v>16</v>
      </c>
      <c r="I330" s="94" t="s">
        <v>219</v>
      </c>
      <c r="J330" s="94"/>
      <c r="K330" s="96">
        <v>26</v>
      </c>
      <c r="L330" s="96">
        <f>K330*VLOOKUP(H330,dagsoorttabel1,2,FALSE)</f>
        <v>10.4</v>
      </c>
      <c r="M330" s="97">
        <f>prodnorm20</f>
        <v>0</v>
      </c>
      <c r="N330" s="41">
        <f>dagwerk20</f>
        <v>0</v>
      </c>
      <c r="O330" s="94" t="s">
        <v>106</v>
      </c>
      <c r="P330" s="26">
        <f>uurtarief20</f>
        <v>0</v>
      </c>
      <c r="Q330" s="96" t="e">
        <f>IF(ISBLANK(M330),0,L330/M330)</f>
        <v>#DIV/0!</v>
      </c>
      <c r="R330" s="96" t="e">
        <f>IF(ISBLANK(M330),0,Q330*N330)</f>
        <v>#DIV/0!</v>
      </c>
      <c r="S330" s="26" t="e">
        <f>P330*Q330</f>
        <v>#DIV/0!</v>
      </c>
      <c r="T330" s="96" t="e">
        <f>Q330*dagenperjaar1</f>
        <v>#DIV/0!</v>
      </c>
      <c r="U330" s="27" t="e">
        <f>T330*P330</f>
        <v>#DIV/0!</v>
      </c>
    </row>
    <row r="331" spans="1:21" x14ac:dyDescent="0.3">
      <c r="A331" s="93" t="s">
        <v>630</v>
      </c>
      <c r="B331" s="94" t="s">
        <v>40</v>
      </c>
      <c r="C331" s="94" t="s">
        <v>419</v>
      </c>
      <c r="D331" s="94" t="s">
        <v>682</v>
      </c>
      <c r="E331" s="95" t="s">
        <v>683</v>
      </c>
      <c r="F331" s="94" t="s">
        <v>641</v>
      </c>
      <c r="G331" s="94" t="s">
        <v>241</v>
      </c>
      <c r="H331" s="94" t="s">
        <v>11</v>
      </c>
      <c r="I331" s="94" t="s">
        <v>219</v>
      </c>
      <c r="J331" s="94"/>
      <c r="K331" s="96">
        <v>54</v>
      </c>
      <c r="L331" s="96">
        <f>K331*VLOOKUP(H331,dagsoorttabel1,2,FALSE)</f>
        <v>54</v>
      </c>
      <c r="M331" s="97">
        <f>prodnorm38</f>
        <v>0</v>
      </c>
      <c r="N331" s="41">
        <f>dagwerk38</f>
        <v>0</v>
      </c>
      <c r="O331" s="94" t="s">
        <v>106</v>
      </c>
      <c r="P331" s="26">
        <f>uurtarief38</f>
        <v>0</v>
      </c>
      <c r="Q331" s="96" t="e">
        <f>IF(ISBLANK(M331),0,L331/M331)</f>
        <v>#DIV/0!</v>
      </c>
      <c r="R331" s="96" t="e">
        <f>IF(ISBLANK(M331),0,Q331*N331)</f>
        <v>#DIV/0!</v>
      </c>
      <c r="S331" s="26" t="e">
        <f>P331*Q331</f>
        <v>#DIV/0!</v>
      </c>
      <c r="T331" s="96" t="e">
        <f>Q331*dagenperjaar1</f>
        <v>#DIV/0!</v>
      </c>
      <c r="U331" s="27" t="e">
        <f>T331*P331</f>
        <v>#DIV/0!</v>
      </c>
    </row>
    <row r="332" spans="1:21" x14ac:dyDescent="0.3">
      <c r="A332" s="93" t="s">
        <v>630</v>
      </c>
      <c r="B332" s="94" t="s">
        <v>40</v>
      </c>
      <c r="C332" s="94" t="s">
        <v>419</v>
      </c>
      <c r="D332" s="94" t="s">
        <v>684</v>
      </c>
      <c r="E332" s="95" t="s">
        <v>685</v>
      </c>
      <c r="F332" s="94" t="s">
        <v>330</v>
      </c>
      <c r="G332" s="94" t="s">
        <v>241</v>
      </c>
      <c r="H332" s="94" t="s">
        <v>11</v>
      </c>
      <c r="I332" s="94" t="s">
        <v>219</v>
      </c>
      <c r="J332" s="94"/>
      <c r="K332" s="96">
        <v>52</v>
      </c>
      <c r="L332" s="96">
        <f>K332*VLOOKUP(H332,dagsoorttabel1,2,FALSE)</f>
        <v>52</v>
      </c>
      <c r="M332" s="97">
        <f>prodnorm38</f>
        <v>0</v>
      </c>
      <c r="N332" s="41">
        <f>dagwerk38</f>
        <v>0</v>
      </c>
      <c r="O332" s="94" t="s">
        <v>106</v>
      </c>
      <c r="P332" s="26">
        <f>uurtarief38</f>
        <v>0</v>
      </c>
      <c r="Q332" s="96" t="e">
        <f>IF(ISBLANK(M332),0,L332/M332)</f>
        <v>#DIV/0!</v>
      </c>
      <c r="R332" s="96" t="e">
        <f>IF(ISBLANK(M332),0,Q332*N332)</f>
        <v>#DIV/0!</v>
      </c>
      <c r="S332" s="26" t="e">
        <f>P332*Q332</f>
        <v>#DIV/0!</v>
      </c>
      <c r="T332" s="96" t="e">
        <f>Q332*dagenperjaar1</f>
        <v>#DIV/0!</v>
      </c>
      <c r="U332" s="27" t="e">
        <f>T332*P332</f>
        <v>#DIV/0!</v>
      </c>
    </row>
    <row r="333" spans="1:21" x14ac:dyDescent="0.3">
      <c r="A333" s="93" t="s">
        <v>630</v>
      </c>
      <c r="B333" s="94" t="s">
        <v>40</v>
      </c>
      <c r="C333" s="94" t="s">
        <v>419</v>
      </c>
      <c r="D333" s="94" t="s">
        <v>686</v>
      </c>
      <c r="E333" s="95" t="s">
        <v>687</v>
      </c>
      <c r="F333" s="94" t="s">
        <v>330</v>
      </c>
      <c r="G333" s="94" t="s">
        <v>241</v>
      </c>
      <c r="H333" s="94" t="s">
        <v>11</v>
      </c>
      <c r="I333" s="94" t="s">
        <v>219</v>
      </c>
      <c r="J333" s="94"/>
      <c r="K333" s="96">
        <v>53</v>
      </c>
      <c r="L333" s="96">
        <f>K333*VLOOKUP(H333,dagsoorttabel1,2,FALSE)</f>
        <v>53</v>
      </c>
      <c r="M333" s="97">
        <f>prodnorm38</f>
        <v>0</v>
      </c>
      <c r="N333" s="41">
        <f>dagwerk38</f>
        <v>0</v>
      </c>
      <c r="O333" s="94" t="s">
        <v>106</v>
      </c>
      <c r="P333" s="26">
        <f>uurtarief38</f>
        <v>0</v>
      </c>
      <c r="Q333" s="96" t="e">
        <f>IF(ISBLANK(M333),0,L333/M333)</f>
        <v>#DIV/0!</v>
      </c>
      <c r="R333" s="96" t="e">
        <f>IF(ISBLANK(M333),0,Q333*N333)</f>
        <v>#DIV/0!</v>
      </c>
      <c r="S333" s="26" t="e">
        <f>P333*Q333</f>
        <v>#DIV/0!</v>
      </c>
      <c r="T333" s="96" t="e">
        <f>Q333*dagenperjaar1</f>
        <v>#DIV/0!</v>
      </c>
      <c r="U333" s="27" t="e">
        <f>T333*P333</f>
        <v>#DIV/0!</v>
      </c>
    </row>
    <row r="334" spans="1:21" x14ac:dyDescent="0.3">
      <c r="A334" s="93" t="s">
        <v>630</v>
      </c>
      <c r="B334" s="94" t="s">
        <v>40</v>
      </c>
      <c r="C334" s="94" t="s">
        <v>419</v>
      </c>
      <c r="D334" s="94" t="s">
        <v>688</v>
      </c>
      <c r="E334" s="95" t="s">
        <v>689</v>
      </c>
      <c r="F334" s="94" t="s">
        <v>293</v>
      </c>
      <c r="G334" s="94" t="s">
        <v>247</v>
      </c>
      <c r="H334" s="94" t="s">
        <v>18</v>
      </c>
      <c r="I334" s="94" t="s">
        <v>219</v>
      </c>
      <c r="J334" s="94"/>
      <c r="K334" s="96">
        <v>54</v>
      </c>
      <c r="L334" s="96">
        <f>K334*VLOOKUP(H334,dagsoorttabel1,2,FALSE)</f>
        <v>10.8</v>
      </c>
      <c r="M334" s="97">
        <f>prodnorm44</f>
        <v>0</v>
      </c>
      <c r="N334" s="41">
        <f>dagwerk44</f>
        <v>0</v>
      </c>
      <c r="O334" s="94" t="s">
        <v>106</v>
      </c>
      <c r="P334" s="26">
        <f>uurtarief44</f>
        <v>0</v>
      </c>
      <c r="Q334" s="96" t="e">
        <f>IF(ISBLANK(M334),0,L334/M334)</f>
        <v>#DIV/0!</v>
      </c>
      <c r="R334" s="96" t="e">
        <f>IF(ISBLANK(M334),0,Q334*N334)</f>
        <v>#DIV/0!</v>
      </c>
      <c r="S334" s="26" t="e">
        <f>P334*Q334</f>
        <v>#DIV/0!</v>
      </c>
      <c r="T334" s="96" t="e">
        <f>Q334*dagenperjaar1</f>
        <v>#DIV/0!</v>
      </c>
      <c r="U334" s="27" t="e">
        <f>T334*P334</f>
        <v>#DIV/0!</v>
      </c>
    </row>
    <row r="335" spans="1:21" x14ac:dyDescent="0.3">
      <c r="A335" s="93" t="s">
        <v>630</v>
      </c>
      <c r="B335" s="94" t="s">
        <v>40</v>
      </c>
      <c r="C335" s="94" t="s">
        <v>419</v>
      </c>
      <c r="D335" s="94" t="s">
        <v>690</v>
      </c>
      <c r="E335" s="95" t="s">
        <v>691</v>
      </c>
      <c r="F335" s="94" t="s">
        <v>641</v>
      </c>
      <c r="G335" s="94" t="s">
        <v>241</v>
      </c>
      <c r="H335" s="94" t="s">
        <v>18</v>
      </c>
      <c r="I335" s="94" t="s">
        <v>219</v>
      </c>
      <c r="J335" s="94"/>
      <c r="K335" s="96">
        <v>54</v>
      </c>
      <c r="L335" s="96">
        <f>K335*VLOOKUP(H335,dagsoorttabel1,2,FALSE)</f>
        <v>10.8</v>
      </c>
      <c r="M335" s="97">
        <f>prodnorm39</f>
        <v>0</v>
      </c>
      <c r="N335" s="41">
        <f>dagwerk39</f>
        <v>0</v>
      </c>
      <c r="O335" s="94" t="s">
        <v>106</v>
      </c>
      <c r="P335" s="26">
        <f>uurtarief39</f>
        <v>0</v>
      </c>
      <c r="Q335" s="96" t="e">
        <f>IF(ISBLANK(M335),0,L335/M335)</f>
        <v>#DIV/0!</v>
      </c>
      <c r="R335" s="96" t="e">
        <f>IF(ISBLANK(M335),0,Q335*N335)</f>
        <v>#DIV/0!</v>
      </c>
      <c r="S335" s="26" t="e">
        <f>P335*Q335</f>
        <v>#DIV/0!</v>
      </c>
      <c r="T335" s="96" t="e">
        <f>Q335*dagenperjaar1</f>
        <v>#DIV/0!</v>
      </c>
      <c r="U335" s="27" t="e">
        <f>T335*P335</f>
        <v>#DIV/0!</v>
      </c>
    </row>
    <row r="336" spans="1:21" x14ac:dyDescent="0.3">
      <c r="A336" s="93" t="s">
        <v>630</v>
      </c>
      <c r="B336" s="94" t="s">
        <v>40</v>
      </c>
      <c r="C336" s="94" t="s">
        <v>419</v>
      </c>
      <c r="D336" s="94" t="s">
        <v>692</v>
      </c>
      <c r="E336" s="95" t="s">
        <v>652</v>
      </c>
      <c r="F336" s="94" t="s">
        <v>316</v>
      </c>
      <c r="G336" s="94" t="s">
        <v>261</v>
      </c>
      <c r="H336" s="94" t="s">
        <v>11</v>
      </c>
      <c r="I336" s="94" t="s">
        <v>219</v>
      </c>
      <c r="J336" s="94"/>
      <c r="K336" s="96">
        <v>7.5</v>
      </c>
      <c r="L336" s="96">
        <f>K336*VLOOKUP(H336,dagsoorttabel1,2,FALSE)</f>
        <v>7.5</v>
      </c>
      <c r="M336" s="97">
        <f>prodnorm56</f>
        <v>0</v>
      </c>
      <c r="N336" s="41">
        <f>dagwerk56</f>
        <v>0</v>
      </c>
      <c r="O336" s="94" t="s">
        <v>106</v>
      </c>
      <c r="P336" s="26">
        <f>uurtarief56</f>
        <v>0</v>
      </c>
      <c r="Q336" s="96" t="e">
        <f>IF(ISBLANK(M336),0,L336/M336)</f>
        <v>#DIV/0!</v>
      </c>
      <c r="R336" s="96" t="e">
        <f>IF(ISBLANK(M336),0,Q336*N336)</f>
        <v>#DIV/0!</v>
      </c>
      <c r="S336" s="26" t="e">
        <f>P336*Q336</f>
        <v>#DIV/0!</v>
      </c>
      <c r="T336" s="96" t="e">
        <f>Q336*dagenperjaar1</f>
        <v>#DIV/0!</v>
      </c>
      <c r="U336" s="27" t="e">
        <f>T336*P336</f>
        <v>#DIV/0!</v>
      </c>
    </row>
    <row r="337" spans="1:21" x14ac:dyDescent="0.3">
      <c r="A337" s="93" t="s">
        <v>630</v>
      </c>
      <c r="B337" s="94" t="s">
        <v>40</v>
      </c>
      <c r="C337" s="94" t="s">
        <v>419</v>
      </c>
      <c r="D337" s="94" t="s">
        <v>693</v>
      </c>
      <c r="E337" s="95" t="s">
        <v>694</v>
      </c>
      <c r="F337" s="94" t="s">
        <v>316</v>
      </c>
      <c r="G337" s="94" t="s">
        <v>261</v>
      </c>
      <c r="H337" s="94" t="s">
        <v>11</v>
      </c>
      <c r="I337" s="94" t="s">
        <v>219</v>
      </c>
      <c r="J337" s="94"/>
      <c r="K337" s="96">
        <v>7.5</v>
      </c>
      <c r="L337" s="96">
        <f>K337*VLOOKUP(H337,dagsoorttabel1,2,FALSE)</f>
        <v>7.5</v>
      </c>
      <c r="M337" s="97">
        <f>prodnorm56</f>
        <v>0</v>
      </c>
      <c r="N337" s="41">
        <f>dagwerk56</f>
        <v>0</v>
      </c>
      <c r="O337" s="94" t="s">
        <v>106</v>
      </c>
      <c r="P337" s="26">
        <f>uurtarief56</f>
        <v>0</v>
      </c>
      <c r="Q337" s="96" t="e">
        <f>IF(ISBLANK(M337),0,L337/M337)</f>
        <v>#DIV/0!</v>
      </c>
      <c r="R337" s="96" t="e">
        <f>IF(ISBLANK(M337),0,Q337*N337)</f>
        <v>#DIV/0!</v>
      </c>
      <c r="S337" s="26" t="e">
        <f>P337*Q337</f>
        <v>#DIV/0!</v>
      </c>
      <c r="T337" s="96" t="e">
        <f>Q337*dagenperjaar1</f>
        <v>#DIV/0!</v>
      </c>
      <c r="U337" s="27" t="e">
        <f>T337*P337</f>
        <v>#DIV/0!</v>
      </c>
    </row>
    <row r="338" spans="1:21" x14ac:dyDescent="0.3">
      <c r="A338" s="93" t="s">
        <v>630</v>
      </c>
      <c r="B338" s="94" t="s">
        <v>40</v>
      </c>
      <c r="C338" s="94" t="s">
        <v>419</v>
      </c>
      <c r="D338" s="94" t="s">
        <v>695</v>
      </c>
      <c r="E338" s="95" t="s">
        <v>696</v>
      </c>
      <c r="F338" s="94" t="s">
        <v>641</v>
      </c>
      <c r="G338" s="94" t="s">
        <v>241</v>
      </c>
      <c r="H338" s="94" t="s">
        <v>11</v>
      </c>
      <c r="I338" s="94" t="s">
        <v>219</v>
      </c>
      <c r="J338" s="94"/>
      <c r="K338" s="96">
        <v>54</v>
      </c>
      <c r="L338" s="96">
        <f>K338*VLOOKUP(H338,dagsoorttabel1,2,FALSE)</f>
        <v>54</v>
      </c>
      <c r="M338" s="97">
        <f>prodnorm38</f>
        <v>0</v>
      </c>
      <c r="N338" s="41">
        <f>dagwerk38</f>
        <v>0</v>
      </c>
      <c r="O338" s="94" t="s">
        <v>106</v>
      </c>
      <c r="P338" s="26">
        <f>uurtarief38</f>
        <v>0</v>
      </c>
      <c r="Q338" s="96" t="e">
        <f>IF(ISBLANK(M338),0,L338/M338)</f>
        <v>#DIV/0!</v>
      </c>
      <c r="R338" s="96" t="e">
        <f>IF(ISBLANK(M338),0,Q338*N338)</f>
        <v>#DIV/0!</v>
      </c>
      <c r="S338" s="26" t="e">
        <f>P338*Q338</f>
        <v>#DIV/0!</v>
      </c>
      <c r="T338" s="96" t="e">
        <f>Q338*dagenperjaar1</f>
        <v>#DIV/0!</v>
      </c>
      <c r="U338" s="27" t="e">
        <f>T338*P338</f>
        <v>#DIV/0!</v>
      </c>
    </row>
    <row r="339" spans="1:21" x14ac:dyDescent="0.3">
      <c r="A339" s="93" t="s">
        <v>630</v>
      </c>
      <c r="B339" s="94" t="s">
        <v>40</v>
      </c>
      <c r="C339" s="94" t="s">
        <v>419</v>
      </c>
      <c r="D339" s="94" t="s">
        <v>697</v>
      </c>
      <c r="E339" s="95" t="s">
        <v>698</v>
      </c>
      <c r="F339" s="94" t="s">
        <v>641</v>
      </c>
      <c r="G339" s="94" t="s">
        <v>241</v>
      </c>
      <c r="H339" s="94" t="s">
        <v>18</v>
      </c>
      <c r="I339" s="94" t="s">
        <v>219</v>
      </c>
      <c r="J339" s="94"/>
      <c r="K339" s="96">
        <v>53</v>
      </c>
      <c r="L339" s="96">
        <f>K339*VLOOKUP(H339,dagsoorttabel1,2,FALSE)</f>
        <v>10.600000000000001</v>
      </c>
      <c r="M339" s="97">
        <f>prodnorm39</f>
        <v>0</v>
      </c>
      <c r="N339" s="41">
        <f>dagwerk39</f>
        <v>0</v>
      </c>
      <c r="O339" s="94" t="s">
        <v>106</v>
      </c>
      <c r="P339" s="26">
        <f>uurtarief39</f>
        <v>0</v>
      </c>
      <c r="Q339" s="96" t="e">
        <f>IF(ISBLANK(M339),0,L339/M339)</f>
        <v>#DIV/0!</v>
      </c>
      <c r="R339" s="96" t="e">
        <f>IF(ISBLANK(M339),0,Q339*N339)</f>
        <v>#DIV/0!</v>
      </c>
      <c r="S339" s="26" t="e">
        <f>P339*Q339</f>
        <v>#DIV/0!</v>
      </c>
      <c r="T339" s="96" t="e">
        <f>Q339*dagenperjaar1</f>
        <v>#DIV/0!</v>
      </c>
      <c r="U339" s="27" t="e">
        <f>T339*P339</f>
        <v>#DIV/0!</v>
      </c>
    </row>
    <row r="340" spans="1:21" x14ac:dyDescent="0.3">
      <c r="A340" s="93" t="s">
        <v>630</v>
      </c>
      <c r="B340" s="94" t="s">
        <v>40</v>
      </c>
      <c r="C340" s="94" t="s">
        <v>419</v>
      </c>
      <c r="D340" s="94" t="s">
        <v>699</v>
      </c>
      <c r="E340" s="95" t="s">
        <v>700</v>
      </c>
      <c r="F340" s="94" t="s">
        <v>293</v>
      </c>
      <c r="G340" s="94" t="s">
        <v>223</v>
      </c>
      <c r="H340" s="94" t="s">
        <v>16</v>
      </c>
      <c r="I340" s="94" t="s">
        <v>219</v>
      </c>
      <c r="J340" s="94"/>
      <c r="K340" s="96">
        <v>36</v>
      </c>
      <c r="L340" s="96">
        <f>K340*VLOOKUP(H340,dagsoorttabel1,2,FALSE)</f>
        <v>14.4</v>
      </c>
      <c r="M340" s="97">
        <f>prodnorm20</f>
        <v>0</v>
      </c>
      <c r="N340" s="41">
        <f>dagwerk20</f>
        <v>0</v>
      </c>
      <c r="O340" s="94" t="s">
        <v>106</v>
      </c>
      <c r="P340" s="26">
        <f>uurtarief20</f>
        <v>0</v>
      </c>
      <c r="Q340" s="96" t="e">
        <f>IF(ISBLANK(M340),0,L340/M340)</f>
        <v>#DIV/0!</v>
      </c>
      <c r="R340" s="96" t="e">
        <f>IF(ISBLANK(M340),0,Q340*N340)</f>
        <v>#DIV/0!</v>
      </c>
      <c r="S340" s="26" t="e">
        <f>P340*Q340</f>
        <v>#DIV/0!</v>
      </c>
      <c r="T340" s="96" t="e">
        <f>Q340*dagenperjaar1</f>
        <v>#DIV/0!</v>
      </c>
      <c r="U340" s="27" t="e">
        <f>T340*P340</f>
        <v>#DIV/0!</v>
      </c>
    </row>
    <row r="341" spans="1:21" x14ac:dyDescent="0.3">
      <c r="A341" s="93" t="s">
        <v>630</v>
      </c>
      <c r="B341" s="94" t="s">
        <v>40</v>
      </c>
      <c r="C341" s="94" t="s">
        <v>419</v>
      </c>
      <c r="D341" s="94" t="s">
        <v>701</v>
      </c>
      <c r="E341" s="95" t="s">
        <v>702</v>
      </c>
      <c r="F341" s="94" t="s">
        <v>330</v>
      </c>
      <c r="G341" s="94" t="s">
        <v>241</v>
      </c>
      <c r="H341" s="94" t="s">
        <v>11</v>
      </c>
      <c r="I341" s="94" t="s">
        <v>219</v>
      </c>
      <c r="J341" s="94"/>
      <c r="K341" s="96">
        <v>53</v>
      </c>
      <c r="L341" s="96">
        <f>K341*VLOOKUP(H341,dagsoorttabel1,2,FALSE)</f>
        <v>53</v>
      </c>
      <c r="M341" s="97">
        <f>prodnorm38</f>
        <v>0</v>
      </c>
      <c r="N341" s="41">
        <f>dagwerk38</f>
        <v>0</v>
      </c>
      <c r="O341" s="94" t="s">
        <v>106</v>
      </c>
      <c r="P341" s="26">
        <f>uurtarief38</f>
        <v>0</v>
      </c>
      <c r="Q341" s="96" t="e">
        <f>IF(ISBLANK(M341),0,L341/M341)</f>
        <v>#DIV/0!</v>
      </c>
      <c r="R341" s="96" t="e">
        <f>IF(ISBLANK(M341),0,Q341*N341)</f>
        <v>#DIV/0!</v>
      </c>
      <c r="S341" s="26" t="e">
        <f>P341*Q341</f>
        <v>#DIV/0!</v>
      </c>
      <c r="T341" s="96" t="e">
        <f>Q341*dagenperjaar1</f>
        <v>#DIV/0!</v>
      </c>
      <c r="U341" s="27" t="e">
        <f>T341*P341</f>
        <v>#DIV/0!</v>
      </c>
    </row>
    <row r="342" spans="1:21" x14ac:dyDescent="0.3">
      <c r="A342" s="93" t="s">
        <v>630</v>
      </c>
      <c r="B342" s="94" t="s">
        <v>40</v>
      </c>
      <c r="C342" s="94" t="s">
        <v>419</v>
      </c>
      <c r="D342" s="94" t="s">
        <v>703</v>
      </c>
      <c r="E342" s="95" t="s">
        <v>704</v>
      </c>
      <c r="F342" s="94" t="s">
        <v>641</v>
      </c>
      <c r="G342" s="94" t="s">
        <v>267</v>
      </c>
      <c r="H342" s="94" t="s">
        <v>11</v>
      </c>
      <c r="I342" s="94" t="s">
        <v>219</v>
      </c>
      <c r="J342" s="94"/>
      <c r="K342" s="96">
        <v>27</v>
      </c>
      <c r="L342" s="96">
        <f>K342*VLOOKUP(H342,dagsoorttabel1,2,FALSE)</f>
        <v>27</v>
      </c>
      <c r="M342" s="97">
        <f>prodnorm63</f>
        <v>0</v>
      </c>
      <c r="N342" s="41">
        <f>dagwerk63</f>
        <v>0</v>
      </c>
      <c r="O342" s="94" t="s">
        <v>106</v>
      </c>
      <c r="P342" s="26">
        <f>uurtarief63</f>
        <v>0</v>
      </c>
      <c r="Q342" s="96" t="e">
        <f>IF(ISBLANK(M342),0,L342/M342)</f>
        <v>#DIV/0!</v>
      </c>
      <c r="R342" s="96" t="e">
        <f>IF(ISBLANK(M342),0,Q342*N342)</f>
        <v>#DIV/0!</v>
      </c>
      <c r="S342" s="26" t="e">
        <f>P342*Q342</f>
        <v>#DIV/0!</v>
      </c>
      <c r="T342" s="96" t="e">
        <f>Q342*dagenperjaar1</f>
        <v>#DIV/0!</v>
      </c>
      <c r="U342" s="27" t="e">
        <f>T342*P342</f>
        <v>#DIV/0!</v>
      </c>
    </row>
    <row r="343" spans="1:21" x14ac:dyDescent="0.3">
      <c r="A343" s="93" t="s">
        <v>630</v>
      </c>
      <c r="B343" s="94" t="s">
        <v>40</v>
      </c>
      <c r="C343" s="94" t="s">
        <v>419</v>
      </c>
      <c r="D343" s="94" t="s">
        <v>705</v>
      </c>
      <c r="E343" s="95" t="s">
        <v>706</v>
      </c>
      <c r="F343" s="94" t="s">
        <v>641</v>
      </c>
      <c r="G343" s="94" t="s">
        <v>267</v>
      </c>
      <c r="H343" s="94" t="s">
        <v>11</v>
      </c>
      <c r="I343" s="94" t="s">
        <v>219</v>
      </c>
      <c r="J343" s="94"/>
      <c r="K343" s="96">
        <v>40</v>
      </c>
      <c r="L343" s="96">
        <f>K343*VLOOKUP(H343,dagsoorttabel1,2,FALSE)</f>
        <v>40</v>
      </c>
      <c r="M343" s="97">
        <f>prodnorm63</f>
        <v>0</v>
      </c>
      <c r="N343" s="41">
        <f>dagwerk63</f>
        <v>0</v>
      </c>
      <c r="O343" s="94" t="s">
        <v>106</v>
      </c>
      <c r="P343" s="26">
        <f>uurtarief63</f>
        <v>0</v>
      </c>
      <c r="Q343" s="96" t="e">
        <f>IF(ISBLANK(M343),0,L343/M343)</f>
        <v>#DIV/0!</v>
      </c>
      <c r="R343" s="96" t="e">
        <f>IF(ISBLANK(M343),0,Q343*N343)</f>
        <v>#DIV/0!</v>
      </c>
      <c r="S343" s="26" t="e">
        <f>P343*Q343</f>
        <v>#DIV/0!</v>
      </c>
      <c r="T343" s="96" t="e">
        <f>Q343*dagenperjaar1</f>
        <v>#DIV/0!</v>
      </c>
      <c r="U343" s="27" t="e">
        <f>T343*P343</f>
        <v>#DIV/0!</v>
      </c>
    </row>
    <row r="344" spans="1:21" x14ac:dyDescent="0.3">
      <c r="A344" s="93" t="s">
        <v>630</v>
      </c>
      <c r="B344" s="94" t="s">
        <v>40</v>
      </c>
      <c r="C344" s="94" t="s">
        <v>419</v>
      </c>
      <c r="D344" s="94" t="s">
        <v>707</v>
      </c>
      <c r="E344" s="95" t="s">
        <v>708</v>
      </c>
      <c r="F344" s="94" t="s">
        <v>293</v>
      </c>
      <c r="G344" s="94" t="s">
        <v>243</v>
      </c>
      <c r="H344" s="94" t="s">
        <v>16</v>
      </c>
      <c r="I344" s="94" t="s">
        <v>219</v>
      </c>
      <c r="J344" s="94"/>
      <c r="K344" s="96">
        <v>53</v>
      </c>
      <c r="L344" s="96">
        <f>K344*VLOOKUP(H344,dagsoorttabel1,2,FALSE)</f>
        <v>21.200000000000003</v>
      </c>
      <c r="M344" s="97">
        <f>prodnorm41</f>
        <v>0</v>
      </c>
      <c r="N344" s="41">
        <f>dagwerk41</f>
        <v>0</v>
      </c>
      <c r="O344" s="94" t="s">
        <v>106</v>
      </c>
      <c r="P344" s="26">
        <f>uurtarief41</f>
        <v>0</v>
      </c>
      <c r="Q344" s="96" t="e">
        <f>IF(ISBLANK(M344),0,L344/M344)</f>
        <v>#DIV/0!</v>
      </c>
      <c r="R344" s="96" t="e">
        <f>IF(ISBLANK(M344),0,Q344*N344)</f>
        <v>#DIV/0!</v>
      </c>
      <c r="S344" s="26" t="e">
        <f>P344*Q344</f>
        <v>#DIV/0!</v>
      </c>
      <c r="T344" s="96" t="e">
        <f>Q344*dagenperjaar1</f>
        <v>#DIV/0!</v>
      </c>
      <c r="U344" s="27" t="e">
        <f>T344*P344</f>
        <v>#DIV/0!</v>
      </c>
    </row>
    <row r="345" spans="1:21" x14ac:dyDescent="0.3">
      <c r="A345" s="93" t="s">
        <v>630</v>
      </c>
      <c r="B345" s="94" t="s">
        <v>40</v>
      </c>
      <c r="C345" s="94" t="s">
        <v>419</v>
      </c>
      <c r="D345" s="94" t="s">
        <v>709</v>
      </c>
      <c r="E345" s="95" t="s">
        <v>681</v>
      </c>
      <c r="F345" s="94" t="s">
        <v>293</v>
      </c>
      <c r="G345" s="94" t="s">
        <v>223</v>
      </c>
      <c r="H345" s="94" t="s">
        <v>16</v>
      </c>
      <c r="I345" s="94" t="s">
        <v>219</v>
      </c>
      <c r="J345" s="94"/>
      <c r="K345" s="96">
        <v>18</v>
      </c>
      <c r="L345" s="96">
        <f>K345*VLOOKUP(H345,dagsoorttabel1,2,FALSE)</f>
        <v>7.2</v>
      </c>
      <c r="M345" s="97">
        <f>prodnorm20</f>
        <v>0</v>
      </c>
      <c r="N345" s="41">
        <f>dagwerk20</f>
        <v>0</v>
      </c>
      <c r="O345" s="94" t="s">
        <v>106</v>
      </c>
      <c r="P345" s="26">
        <f>uurtarief20</f>
        <v>0</v>
      </c>
      <c r="Q345" s="96" t="e">
        <f>IF(ISBLANK(M345),0,L345/M345)</f>
        <v>#DIV/0!</v>
      </c>
      <c r="R345" s="96" t="e">
        <f>IF(ISBLANK(M345),0,Q345*N345)</f>
        <v>#DIV/0!</v>
      </c>
      <c r="S345" s="26" t="e">
        <f>P345*Q345</f>
        <v>#DIV/0!</v>
      </c>
      <c r="T345" s="96" t="e">
        <f>Q345*dagenperjaar1</f>
        <v>#DIV/0!</v>
      </c>
      <c r="U345" s="27" t="e">
        <f>T345*P345</f>
        <v>#DIV/0!</v>
      </c>
    </row>
    <row r="346" spans="1:21" x14ac:dyDescent="0.3">
      <c r="A346" s="93" t="s">
        <v>630</v>
      </c>
      <c r="B346" s="94" t="s">
        <v>40</v>
      </c>
      <c r="C346" s="94" t="s">
        <v>419</v>
      </c>
      <c r="D346" s="94" t="s">
        <v>710</v>
      </c>
      <c r="E346" s="95" t="s">
        <v>711</v>
      </c>
      <c r="F346" s="94" t="s">
        <v>293</v>
      </c>
      <c r="G346" s="94" t="s">
        <v>223</v>
      </c>
      <c r="H346" s="94" t="s">
        <v>16</v>
      </c>
      <c r="I346" s="94" t="s">
        <v>219</v>
      </c>
      <c r="J346" s="94"/>
      <c r="K346" s="96">
        <v>26</v>
      </c>
      <c r="L346" s="96">
        <f>K346*VLOOKUP(H346,dagsoorttabel1,2,FALSE)</f>
        <v>10.4</v>
      </c>
      <c r="M346" s="97">
        <f>prodnorm20</f>
        <v>0</v>
      </c>
      <c r="N346" s="41">
        <f>dagwerk20</f>
        <v>0</v>
      </c>
      <c r="O346" s="94" t="s">
        <v>106</v>
      </c>
      <c r="P346" s="26">
        <f>uurtarief20</f>
        <v>0</v>
      </c>
      <c r="Q346" s="96" t="e">
        <f>IF(ISBLANK(M346),0,L346/M346)</f>
        <v>#DIV/0!</v>
      </c>
      <c r="R346" s="96" t="e">
        <f>IF(ISBLANK(M346),0,Q346*N346)</f>
        <v>#DIV/0!</v>
      </c>
      <c r="S346" s="26" t="e">
        <f>P346*Q346</f>
        <v>#DIV/0!</v>
      </c>
      <c r="T346" s="96" t="e">
        <f>Q346*dagenperjaar1</f>
        <v>#DIV/0!</v>
      </c>
      <c r="U346" s="27" t="e">
        <f>T346*P346</f>
        <v>#DIV/0!</v>
      </c>
    </row>
    <row r="347" spans="1:21" x14ac:dyDescent="0.3">
      <c r="A347" s="93" t="s">
        <v>630</v>
      </c>
      <c r="B347" s="94" t="s">
        <v>40</v>
      </c>
      <c r="C347" s="94" t="s">
        <v>419</v>
      </c>
      <c r="D347" s="94" t="s">
        <v>712</v>
      </c>
      <c r="E347" s="95" t="s">
        <v>713</v>
      </c>
      <c r="F347" s="94" t="s">
        <v>641</v>
      </c>
      <c r="G347" s="94" t="s">
        <v>241</v>
      </c>
      <c r="H347" s="94" t="s">
        <v>11</v>
      </c>
      <c r="I347" s="94" t="s">
        <v>219</v>
      </c>
      <c r="J347" s="94"/>
      <c r="K347" s="96">
        <v>53</v>
      </c>
      <c r="L347" s="96">
        <f>K347*VLOOKUP(H347,dagsoorttabel1,2,FALSE)</f>
        <v>53</v>
      </c>
      <c r="M347" s="97">
        <f>prodnorm38</f>
        <v>0</v>
      </c>
      <c r="N347" s="41">
        <f>dagwerk38</f>
        <v>0</v>
      </c>
      <c r="O347" s="94" t="s">
        <v>106</v>
      </c>
      <c r="P347" s="26">
        <f>uurtarief38</f>
        <v>0</v>
      </c>
      <c r="Q347" s="96" t="e">
        <f>IF(ISBLANK(M347),0,L347/M347)</f>
        <v>#DIV/0!</v>
      </c>
      <c r="R347" s="96" t="e">
        <f>IF(ISBLANK(M347),0,Q347*N347)</f>
        <v>#DIV/0!</v>
      </c>
      <c r="S347" s="26" t="e">
        <f>P347*Q347</f>
        <v>#DIV/0!</v>
      </c>
      <c r="T347" s="96" t="e">
        <f>Q347*dagenperjaar1</f>
        <v>#DIV/0!</v>
      </c>
      <c r="U347" s="27" t="e">
        <f>T347*P347</f>
        <v>#DIV/0!</v>
      </c>
    </row>
    <row r="348" spans="1:21" x14ac:dyDescent="0.3">
      <c r="A348" s="93" t="s">
        <v>630</v>
      </c>
      <c r="B348" s="94" t="s">
        <v>40</v>
      </c>
      <c r="C348" s="94" t="s">
        <v>419</v>
      </c>
      <c r="D348" s="94" t="s">
        <v>714</v>
      </c>
      <c r="E348" s="95" t="s">
        <v>715</v>
      </c>
      <c r="F348" s="94" t="s">
        <v>641</v>
      </c>
      <c r="G348" s="94" t="s">
        <v>241</v>
      </c>
      <c r="H348" s="94" t="s">
        <v>11</v>
      </c>
      <c r="I348" s="94" t="s">
        <v>219</v>
      </c>
      <c r="J348" s="94"/>
      <c r="K348" s="96">
        <v>53</v>
      </c>
      <c r="L348" s="96">
        <f>K348*VLOOKUP(H348,dagsoorttabel1,2,FALSE)</f>
        <v>53</v>
      </c>
      <c r="M348" s="97">
        <f>prodnorm38</f>
        <v>0</v>
      </c>
      <c r="N348" s="41">
        <f>dagwerk38</f>
        <v>0</v>
      </c>
      <c r="O348" s="94" t="s">
        <v>106</v>
      </c>
      <c r="P348" s="26">
        <f>uurtarief38</f>
        <v>0</v>
      </c>
      <c r="Q348" s="96" t="e">
        <f>IF(ISBLANK(M348),0,L348/M348)</f>
        <v>#DIV/0!</v>
      </c>
      <c r="R348" s="96" t="e">
        <f>IF(ISBLANK(M348),0,Q348*N348)</f>
        <v>#DIV/0!</v>
      </c>
      <c r="S348" s="26" t="e">
        <f>P348*Q348</f>
        <v>#DIV/0!</v>
      </c>
      <c r="T348" s="96" t="e">
        <f>Q348*dagenperjaar1</f>
        <v>#DIV/0!</v>
      </c>
      <c r="U348" s="27" t="e">
        <f>T348*P348</f>
        <v>#DIV/0!</v>
      </c>
    </row>
    <row r="349" spans="1:21" x14ac:dyDescent="0.3">
      <c r="A349" s="93" t="s">
        <v>630</v>
      </c>
      <c r="B349" s="94" t="s">
        <v>40</v>
      </c>
      <c r="C349" s="94" t="s">
        <v>419</v>
      </c>
      <c r="D349" s="94" t="s">
        <v>716</v>
      </c>
      <c r="E349" s="95" t="s">
        <v>717</v>
      </c>
      <c r="F349" s="94" t="s">
        <v>641</v>
      </c>
      <c r="G349" s="94" t="s">
        <v>241</v>
      </c>
      <c r="H349" s="94" t="s">
        <v>11</v>
      </c>
      <c r="I349" s="94" t="s">
        <v>219</v>
      </c>
      <c r="J349" s="94"/>
      <c r="K349" s="96">
        <v>53</v>
      </c>
      <c r="L349" s="96">
        <f>K349*VLOOKUP(H349,dagsoorttabel1,2,FALSE)</f>
        <v>53</v>
      </c>
      <c r="M349" s="97">
        <f>prodnorm38</f>
        <v>0</v>
      </c>
      <c r="N349" s="41">
        <f>dagwerk38</f>
        <v>0</v>
      </c>
      <c r="O349" s="94" t="s">
        <v>106</v>
      </c>
      <c r="P349" s="26">
        <f>uurtarief38</f>
        <v>0</v>
      </c>
      <c r="Q349" s="96" t="e">
        <f>IF(ISBLANK(M349),0,L349/M349)</f>
        <v>#DIV/0!</v>
      </c>
      <c r="R349" s="96" t="e">
        <f>IF(ISBLANK(M349),0,Q349*N349)</f>
        <v>#DIV/0!</v>
      </c>
      <c r="S349" s="26" t="e">
        <f>P349*Q349</f>
        <v>#DIV/0!</v>
      </c>
      <c r="T349" s="96" t="e">
        <f>Q349*dagenperjaar1</f>
        <v>#DIV/0!</v>
      </c>
      <c r="U349" s="27" t="e">
        <f>T349*P349</f>
        <v>#DIV/0!</v>
      </c>
    </row>
    <row r="350" spans="1:21" x14ac:dyDescent="0.3">
      <c r="A350" s="93" t="s">
        <v>630</v>
      </c>
      <c r="B350" s="94" t="s">
        <v>40</v>
      </c>
      <c r="C350" s="94" t="s">
        <v>419</v>
      </c>
      <c r="D350" s="94" t="s">
        <v>718</v>
      </c>
      <c r="E350" s="95" t="s">
        <v>681</v>
      </c>
      <c r="F350" s="94" t="s">
        <v>293</v>
      </c>
      <c r="G350" s="94" t="s">
        <v>225</v>
      </c>
      <c r="H350" s="94" t="s">
        <v>16</v>
      </c>
      <c r="I350" s="94" t="s">
        <v>219</v>
      </c>
      <c r="J350" s="94"/>
      <c r="K350" s="96">
        <v>26</v>
      </c>
      <c r="L350" s="96">
        <f>K350*VLOOKUP(H350,dagsoorttabel1,2,FALSE)</f>
        <v>10.4</v>
      </c>
      <c r="M350" s="97">
        <f>prodnorm24</f>
        <v>0</v>
      </c>
      <c r="N350" s="41">
        <f>dagwerk24</f>
        <v>0</v>
      </c>
      <c r="O350" s="94" t="s">
        <v>106</v>
      </c>
      <c r="P350" s="26">
        <f>uurtarief24</f>
        <v>0</v>
      </c>
      <c r="Q350" s="96" t="e">
        <f>IF(ISBLANK(M350),0,L350/M350)</f>
        <v>#DIV/0!</v>
      </c>
      <c r="R350" s="96" t="e">
        <f>IF(ISBLANK(M350),0,Q350*N350)</f>
        <v>#DIV/0!</v>
      </c>
      <c r="S350" s="26" t="e">
        <f>P350*Q350</f>
        <v>#DIV/0!</v>
      </c>
      <c r="T350" s="96" t="e">
        <f>Q350*dagenperjaar1</f>
        <v>#DIV/0!</v>
      </c>
      <c r="U350" s="27" t="e">
        <f>T350*P350</f>
        <v>#DIV/0!</v>
      </c>
    </row>
    <row r="351" spans="1:21" x14ac:dyDescent="0.3">
      <c r="A351" s="93" t="s">
        <v>630</v>
      </c>
      <c r="B351" s="94" t="s">
        <v>40</v>
      </c>
      <c r="C351" s="94" t="s">
        <v>419</v>
      </c>
      <c r="D351" s="94" t="s">
        <v>719</v>
      </c>
      <c r="E351" s="95" t="s">
        <v>681</v>
      </c>
      <c r="F351" s="94" t="s">
        <v>293</v>
      </c>
      <c r="G351" s="94" t="s">
        <v>225</v>
      </c>
      <c r="H351" s="94" t="s">
        <v>16</v>
      </c>
      <c r="I351" s="94" t="s">
        <v>219</v>
      </c>
      <c r="J351" s="94"/>
      <c r="K351" s="96">
        <v>27</v>
      </c>
      <c r="L351" s="96">
        <f>K351*VLOOKUP(H351,dagsoorttabel1,2,FALSE)</f>
        <v>10.8</v>
      </c>
      <c r="M351" s="97">
        <f>prodnorm24</f>
        <v>0</v>
      </c>
      <c r="N351" s="41">
        <f>dagwerk24</f>
        <v>0</v>
      </c>
      <c r="O351" s="94" t="s">
        <v>106</v>
      </c>
      <c r="P351" s="26">
        <f>uurtarief24</f>
        <v>0</v>
      </c>
      <c r="Q351" s="96" t="e">
        <f>IF(ISBLANK(M351),0,L351/M351)</f>
        <v>#DIV/0!</v>
      </c>
      <c r="R351" s="96" t="e">
        <f>IF(ISBLANK(M351),0,Q351*N351)</f>
        <v>#DIV/0!</v>
      </c>
      <c r="S351" s="26" t="e">
        <f>P351*Q351</f>
        <v>#DIV/0!</v>
      </c>
      <c r="T351" s="96" t="e">
        <f>Q351*dagenperjaar1</f>
        <v>#DIV/0!</v>
      </c>
      <c r="U351" s="27" t="e">
        <f>T351*P351</f>
        <v>#DIV/0!</v>
      </c>
    </row>
    <row r="352" spans="1:21" x14ac:dyDescent="0.3">
      <c r="A352" s="93" t="s">
        <v>630</v>
      </c>
      <c r="B352" s="94" t="s">
        <v>40</v>
      </c>
      <c r="C352" s="94" t="s">
        <v>419</v>
      </c>
      <c r="D352" s="94" t="s">
        <v>720</v>
      </c>
      <c r="E352" s="95" t="s">
        <v>721</v>
      </c>
      <c r="F352" s="94" t="s">
        <v>641</v>
      </c>
      <c r="G352" s="94" t="s">
        <v>241</v>
      </c>
      <c r="H352" s="94" t="s">
        <v>11</v>
      </c>
      <c r="I352" s="94" t="s">
        <v>219</v>
      </c>
      <c r="J352" s="94"/>
      <c r="K352" s="96">
        <v>54</v>
      </c>
      <c r="L352" s="96">
        <f>K352*VLOOKUP(H352,dagsoorttabel1,2,FALSE)</f>
        <v>54</v>
      </c>
      <c r="M352" s="97">
        <f>prodnorm38</f>
        <v>0</v>
      </c>
      <c r="N352" s="41">
        <f>dagwerk38</f>
        <v>0</v>
      </c>
      <c r="O352" s="94" t="s">
        <v>106</v>
      </c>
      <c r="P352" s="26">
        <f>uurtarief38</f>
        <v>0</v>
      </c>
      <c r="Q352" s="96" t="e">
        <f>IF(ISBLANK(M352),0,L352/M352)</f>
        <v>#DIV/0!</v>
      </c>
      <c r="R352" s="96" t="e">
        <f>IF(ISBLANK(M352),0,Q352*N352)</f>
        <v>#DIV/0!</v>
      </c>
      <c r="S352" s="26" t="e">
        <f>P352*Q352</f>
        <v>#DIV/0!</v>
      </c>
      <c r="T352" s="96" t="e">
        <f>Q352*dagenperjaar1</f>
        <v>#DIV/0!</v>
      </c>
      <c r="U352" s="27" t="e">
        <f>T352*P352</f>
        <v>#DIV/0!</v>
      </c>
    </row>
    <row r="353" spans="1:21" x14ac:dyDescent="0.3">
      <c r="A353" s="93" t="s">
        <v>630</v>
      </c>
      <c r="B353" s="94" t="s">
        <v>40</v>
      </c>
      <c r="C353" s="94" t="s">
        <v>419</v>
      </c>
      <c r="D353" s="94" t="s">
        <v>722</v>
      </c>
      <c r="E353" s="95" t="s">
        <v>723</v>
      </c>
      <c r="F353" s="94" t="s">
        <v>316</v>
      </c>
      <c r="G353" s="94" t="s">
        <v>261</v>
      </c>
      <c r="H353" s="94" t="s">
        <v>11</v>
      </c>
      <c r="I353" s="94" t="s">
        <v>219</v>
      </c>
      <c r="J353" s="94"/>
      <c r="K353" s="96">
        <v>14</v>
      </c>
      <c r="L353" s="96">
        <f>K353*VLOOKUP(H353,dagsoorttabel1,2,FALSE)</f>
        <v>14</v>
      </c>
      <c r="M353" s="97">
        <f>prodnorm56</f>
        <v>0</v>
      </c>
      <c r="N353" s="41">
        <f>dagwerk56</f>
        <v>0</v>
      </c>
      <c r="O353" s="94" t="s">
        <v>106</v>
      </c>
      <c r="P353" s="26">
        <f>uurtarief56</f>
        <v>0</v>
      </c>
      <c r="Q353" s="96" t="e">
        <f>IF(ISBLANK(M353),0,L353/M353)</f>
        <v>#DIV/0!</v>
      </c>
      <c r="R353" s="96" t="e">
        <f>IF(ISBLANK(M353),0,Q353*N353)</f>
        <v>#DIV/0!</v>
      </c>
      <c r="S353" s="26" t="e">
        <f>P353*Q353</f>
        <v>#DIV/0!</v>
      </c>
      <c r="T353" s="96" t="e">
        <f>Q353*dagenperjaar1</f>
        <v>#DIV/0!</v>
      </c>
      <c r="U353" s="27" t="e">
        <f>T353*P353</f>
        <v>#DIV/0!</v>
      </c>
    </row>
    <row r="354" spans="1:21" x14ac:dyDescent="0.3">
      <c r="A354" s="93" t="s">
        <v>630</v>
      </c>
      <c r="B354" s="94" t="s">
        <v>40</v>
      </c>
      <c r="C354" s="94" t="s">
        <v>419</v>
      </c>
      <c r="D354" s="94" t="s">
        <v>724</v>
      </c>
      <c r="E354" s="95" t="s">
        <v>725</v>
      </c>
      <c r="F354" s="94" t="s">
        <v>641</v>
      </c>
      <c r="G354" s="94" t="s">
        <v>241</v>
      </c>
      <c r="H354" s="94" t="s">
        <v>11</v>
      </c>
      <c r="I354" s="94" t="s">
        <v>219</v>
      </c>
      <c r="J354" s="94"/>
      <c r="K354" s="96">
        <v>53</v>
      </c>
      <c r="L354" s="96">
        <f>K354*VLOOKUP(H354,dagsoorttabel1,2,FALSE)</f>
        <v>53</v>
      </c>
      <c r="M354" s="97">
        <f>prodnorm38</f>
        <v>0</v>
      </c>
      <c r="N354" s="41">
        <f>dagwerk38</f>
        <v>0</v>
      </c>
      <c r="O354" s="94" t="s">
        <v>106</v>
      </c>
      <c r="P354" s="26">
        <f>uurtarief38</f>
        <v>0</v>
      </c>
      <c r="Q354" s="96" t="e">
        <f>IF(ISBLANK(M354),0,L354/M354)</f>
        <v>#DIV/0!</v>
      </c>
      <c r="R354" s="96" t="e">
        <f>IF(ISBLANK(M354),0,Q354*N354)</f>
        <v>#DIV/0!</v>
      </c>
      <c r="S354" s="26" t="e">
        <f>P354*Q354</f>
        <v>#DIV/0!</v>
      </c>
      <c r="T354" s="96" t="e">
        <f>Q354*dagenperjaar1</f>
        <v>#DIV/0!</v>
      </c>
      <c r="U354" s="27" t="e">
        <f>T354*P354</f>
        <v>#DIV/0!</v>
      </c>
    </row>
    <row r="355" spans="1:21" x14ac:dyDescent="0.3">
      <c r="A355" s="93" t="s">
        <v>630</v>
      </c>
      <c r="B355" s="94" t="s">
        <v>40</v>
      </c>
      <c r="C355" s="94" t="s">
        <v>419</v>
      </c>
      <c r="D355" s="94" t="s">
        <v>726</v>
      </c>
      <c r="E355" s="95" t="s">
        <v>727</v>
      </c>
      <c r="F355" s="94" t="s">
        <v>641</v>
      </c>
      <c r="G355" s="94" t="s">
        <v>241</v>
      </c>
      <c r="H355" s="94" t="s">
        <v>11</v>
      </c>
      <c r="I355" s="94" t="s">
        <v>219</v>
      </c>
      <c r="J355" s="94"/>
      <c r="K355" s="96">
        <v>53</v>
      </c>
      <c r="L355" s="96">
        <f>K355*VLOOKUP(H355,dagsoorttabel1,2,FALSE)</f>
        <v>53</v>
      </c>
      <c r="M355" s="97">
        <f>prodnorm38</f>
        <v>0</v>
      </c>
      <c r="N355" s="41">
        <f>dagwerk38</f>
        <v>0</v>
      </c>
      <c r="O355" s="94" t="s">
        <v>106</v>
      </c>
      <c r="P355" s="26">
        <f>uurtarief38</f>
        <v>0</v>
      </c>
      <c r="Q355" s="96" t="e">
        <f>IF(ISBLANK(M355),0,L355/M355)</f>
        <v>#DIV/0!</v>
      </c>
      <c r="R355" s="96" t="e">
        <f>IF(ISBLANK(M355),0,Q355*N355)</f>
        <v>#DIV/0!</v>
      </c>
      <c r="S355" s="26" t="e">
        <f>P355*Q355</f>
        <v>#DIV/0!</v>
      </c>
      <c r="T355" s="96" t="e">
        <f>Q355*dagenperjaar1</f>
        <v>#DIV/0!</v>
      </c>
      <c r="U355" s="27" t="e">
        <f>T355*P355</f>
        <v>#DIV/0!</v>
      </c>
    </row>
    <row r="356" spans="1:21" x14ac:dyDescent="0.3">
      <c r="A356" s="93" t="s">
        <v>630</v>
      </c>
      <c r="B356" s="94" t="s">
        <v>40</v>
      </c>
      <c r="C356" s="94" t="s">
        <v>419</v>
      </c>
      <c r="D356" s="94" t="s">
        <v>728</v>
      </c>
      <c r="E356" s="95" t="s">
        <v>729</v>
      </c>
      <c r="F356" s="94" t="s">
        <v>641</v>
      </c>
      <c r="G356" s="94" t="s">
        <v>241</v>
      </c>
      <c r="H356" s="94" t="s">
        <v>11</v>
      </c>
      <c r="I356" s="94" t="s">
        <v>219</v>
      </c>
      <c r="J356" s="94"/>
      <c r="K356" s="96">
        <v>54</v>
      </c>
      <c r="L356" s="96">
        <f>K356*VLOOKUP(H356,dagsoorttabel1,2,FALSE)</f>
        <v>54</v>
      </c>
      <c r="M356" s="97">
        <f>prodnorm38</f>
        <v>0</v>
      </c>
      <c r="N356" s="41">
        <f>dagwerk38</f>
        <v>0</v>
      </c>
      <c r="O356" s="94" t="s">
        <v>106</v>
      </c>
      <c r="P356" s="26">
        <f>uurtarief38</f>
        <v>0</v>
      </c>
      <c r="Q356" s="96" t="e">
        <f>IF(ISBLANK(M356),0,L356/M356)</f>
        <v>#DIV/0!</v>
      </c>
      <c r="R356" s="96" t="e">
        <f>IF(ISBLANK(M356),0,Q356*N356)</f>
        <v>#DIV/0!</v>
      </c>
      <c r="S356" s="26" t="e">
        <f>P356*Q356</f>
        <v>#DIV/0!</v>
      </c>
      <c r="T356" s="96" t="e">
        <f>Q356*dagenperjaar1</f>
        <v>#DIV/0!</v>
      </c>
      <c r="U356" s="27" t="e">
        <f>T356*P356</f>
        <v>#DIV/0!</v>
      </c>
    </row>
    <row r="357" spans="1:21" x14ac:dyDescent="0.3">
      <c r="A357" s="93" t="s">
        <v>630</v>
      </c>
      <c r="B357" s="94" t="s">
        <v>40</v>
      </c>
      <c r="C357" s="94" t="s">
        <v>419</v>
      </c>
      <c r="D357" s="94" t="s">
        <v>730</v>
      </c>
      <c r="E357" s="95" t="s">
        <v>706</v>
      </c>
      <c r="F357" s="94" t="s">
        <v>641</v>
      </c>
      <c r="G357" s="94" t="s">
        <v>267</v>
      </c>
      <c r="H357" s="94" t="s">
        <v>11</v>
      </c>
      <c r="I357" s="94" t="s">
        <v>219</v>
      </c>
      <c r="J357" s="94"/>
      <c r="K357" s="96">
        <v>122</v>
      </c>
      <c r="L357" s="96">
        <f>K357*VLOOKUP(H357,dagsoorttabel1,2,FALSE)</f>
        <v>122</v>
      </c>
      <c r="M357" s="97">
        <f>prodnorm63</f>
        <v>0</v>
      </c>
      <c r="N357" s="41">
        <f>dagwerk63</f>
        <v>0</v>
      </c>
      <c r="O357" s="94" t="s">
        <v>106</v>
      </c>
      <c r="P357" s="26">
        <f>uurtarief63</f>
        <v>0</v>
      </c>
      <c r="Q357" s="96" t="e">
        <f>IF(ISBLANK(M357),0,L357/M357)</f>
        <v>#DIV/0!</v>
      </c>
      <c r="R357" s="96" t="e">
        <f>IF(ISBLANK(M357),0,Q357*N357)</f>
        <v>#DIV/0!</v>
      </c>
      <c r="S357" s="26" t="e">
        <f>P357*Q357</f>
        <v>#DIV/0!</v>
      </c>
      <c r="T357" s="96" t="e">
        <f>Q357*dagenperjaar1</f>
        <v>#DIV/0!</v>
      </c>
      <c r="U357" s="27" t="e">
        <f>T357*P357</f>
        <v>#DIV/0!</v>
      </c>
    </row>
    <row r="358" spans="1:21" x14ac:dyDescent="0.3">
      <c r="A358" s="93" t="s">
        <v>630</v>
      </c>
      <c r="B358" s="94" t="s">
        <v>40</v>
      </c>
      <c r="C358" s="94" t="s">
        <v>419</v>
      </c>
      <c r="D358" s="94" t="s">
        <v>731</v>
      </c>
      <c r="E358" s="95" t="s">
        <v>706</v>
      </c>
      <c r="F358" s="94" t="s">
        <v>641</v>
      </c>
      <c r="G358" s="94" t="s">
        <v>267</v>
      </c>
      <c r="H358" s="94" t="s">
        <v>11</v>
      </c>
      <c r="I358" s="94" t="s">
        <v>219</v>
      </c>
      <c r="J358" s="94"/>
      <c r="K358" s="96">
        <v>109</v>
      </c>
      <c r="L358" s="96">
        <f>K358*VLOOKUP(H358,dagsoorttabel1,2,FALSE)</f>
        <v>109</v>
      </c>
      <c r="M358" s="97">
        <f>prodnorm63</f>
        <v>0</v>
      </c>
      <c r="N358" s="41">
        <f>dagwerk63</f>
        <v>0</v>
      </c>
      <c r="O358" s="94" t="s">
        <v>106</v>
      </c>
      <c r="P358" s="26">
        <f>uurtarief63</f>
        <v>0</v>
      </c>
      <c r="Q358" s="96" t="e">
        <f>IF(ISBLANK(M358),0,L358/M358)</f>
        <v>#DIV/0!</v>
      </c>
      <c r="R358" s="96" t="e">
        <f>IF(ISBLANK(M358),0,Q358*N358)</f>
        <v>#DIV/0!</v>
      </c>
      <c r="S358" s="26" t="e">
        <f>P358*Q358</f>
        <v>#DIV/0!</v>
      </c>
      <c r="T358" s="96" t="e">
        <f>Q358*dagenperjaar1</f>
        <v>#DIV/0!</v>
      </c>
      <c r="U358" s="27" t="e">
        <f>T358*P358</f>
        <v>#DIV/0!</v>
      </c>
    </row>
    <row r="359" spans="1:21" x14ac:dyDescent="0.3">
      <c r="A359" s="98" t="s">
        <v>630</v>
      </c>
      <c r="B359" s="99" t="s">
        <v>40</v>
      </c>
      <c r="C359" s="99" t="s">
        <v>732</v>
      </c>
      <c r="D359" s="99" t="s">
        <v>40</v>
      </c>
      <c r="E359" s="100" t="s">
        <v>733</v>
      </c>
      <c r="F359" s="99" t="s">
        <v>734</v>
      </c>
      <c r="G359" s="99" t="s">
        <v>271</v>
      </c>
      <c r="H359" s="99" t="s">
        <v>18</v>
      </c>
      <c r="I359" s="99" t="s">
        <v>272</v>
      </c>
      <c r="J359" s="99"/>
      <c r="K359" s="101">
        <v>1</v>
      </c>
      <c r="L359" s="101">
        <f>K359*VLOOKUP(H359,dagsoorttabel1,2,FALSE)</f>
        <v>0.2</v>
      </c>
      <c r="M359" s="102">
        <f>prodnorm15</f>
        <v>0</v>
      </c>
      <c r="N359" s="103">
        <f>dagwerk15</f>
        <v>0</v>
      </c>
      <c r="O359" s="99" t="s">
        <v>274</v>
      </c>
      <c r="P359" s="36">
        <f>uurtarief15</f>
        <v>0</v>
      </c>
      <c r="Q359" s="101">
        <f>L359*M359/60</f>
        <v>0</v>
      </c>
      <c r="R359" s="101">
        <f>IF(ISBLANK(M359),0,Q359*N359)</f>
        <v>0</v>
      </c>
      <c r="S359" s="36">
        <f>P359*Q359</f>
        <v>0</v>
      </c>
      <c r="T359" s="101">
        <f>Q359*dagenperjaar1</f>
        <v>0</v>
      </c>
      <c r="U359" s="37">
        <f>T359*P359</f>
        <v>0</v>
      </c>
    </row>
    <row r="360" spans="1:21" x14ac:dyDescent="0.3">
      <c r="A360" s="104" t="s">
        <v>510</v>
      </c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8" t="e">
        <f>IF(_xlfn.SINGLE(object4_urenjaar1)&gt;0,_xlfn.SINGLE(object4_prijsjaar1)/_xlfn.SINGLE(object4_urenjaar1),0)</f>
        <v>#DIV/0!</v>
      </c>
      <c r="Q360" s="77" t="e">
        <f>SUM(Q295:Q359)</f>
        <v>#DIV/0!</v>
      </c>
      <c r="R360" s="77" t="e">
        <f>SUM(R295:R359)</f>
        <v>#DIV/0!</v>
      </c>
      <c r="S360" s="78" t="e">
        <f>SUM(S295:S359)</f>
        <v>#DIV/0!</v>
      </c>
      <c r="T360" s="77" t="e">
        <f>SUM(T295:T359)</f>
        <v>#DIV/0!</v>
      </c>
      <c r="U360" s="79" t="e">
        <f>SUM(U295:U359)</f>
        <v>#DIV/0!</v>
      </c>
    </row>
    <row r="361" spans="1:21" x14ac:dyDescent="0.3">
      <c r="A361" s="84" t="s">
        <v>735</v>
      </c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74"/>
    </row>
    <row r="362" spans="1:21" x14ac:dyDescent="0.3">
      <c r="A362" s="85" t="s">
        <v>736</v>
      </c>
      <c r="B362" s="86" t="s">
        <v>40</v>
      </c>
      <c r="C362" s="86" t="s">
        <v>290</v>
      </c>
      <c r="D362" s="86" t="s">
        <v>513</v>
      </c>
      <c r="E362" s="87" t="s">
        <v>292</v>
      </c>
      <c r="F362" s="86" t="s">
        <v>612</v>
      </c>
      <c r="G362" s="86" t="s">
        <v>231</v>
      </c>
      <c r="H362" s="86" t="s">
        <v>13</v>
      </c>
      <c r="I362" s="86" t="s">
        <v>219</v>
      </c>
      <c r="J362" s="86"/>
      <c r="K362" s="88">
        <v>10.8</v>
      </c>
      <c r="L362" s="88">
        <f>K362*VLOOKUP(H362,dagsoorttabel1,2,FALSE)</f>
        <v>6.8040000000000003</v>
      </c>
      <c r="M362" s="89">
        <f>prodnorm28</f>
        <v>0</v>
      </c>
      <c r="N362" s="90">
        <f>dagwerk28</f>
        <v>0</v>
      </c>
      <c r="O362" s="86" t="s">
        <v>106</v>
      </c>
      <c r="P362" s="91">
        <f>uurtarief28</f>
        <v>0</v>
      </c>
      <c r="Q362" s="88" t="e">
        <f>IF(ISBLANK(M362),0,L362/M362)</f>
        <v>#DIV/0!</v>
      </c>
      <c r="R362" s="88" t="e">
        <f>IF(ISBLANK(M362),0,Q362*N362)</f>
        <v>#DIV/0!</v>
      </c>
      <c r="S362" s="91" t="e">
        <f>P362*Q362</f>
        <v>#DIV/0!</v>
      </c>
      <c r="T362" s="88" t="e">
        <f>Q362*dagenperjaar1</f>
        <v>#DIV/0!</v>
      </c>
      <c r="U362" s="92" t="e">
        <f>T362*P362</f>
        <v>#DIV/0!</v>
      </c>
    </row>
    <row r="363" spans="1:21" x14ac:dyDescent="0.3">
      <c r="A363" s="93" t="s">
        <v>736</v>
      </c>
      <c r="B363" s="94" t="s">
        <v>40</v>
      </c>
      <c r="C363" s="94" t="s">
        <v>290</v>
      </c>
      <c r="D363" s="94" t="s">
        <v>514</v>
      </c>
      <c r="E363" s="95" t="s">
        <v>338</v>
      </c>
      <c r="F363" s="94" t="s">
        <v>330</v>
      </c>
      <c r="G363" s="94" t="s">
        <v>267</v>
      </c>
      <c r="H363" s="94" t="s">
        <v>13</v>
      </c>
      <c r="I363" s="94" t="s">
        <v>219</v>
      </c>
      <c r="J363" s="94"/>
      <c r="K363" s="96">
        <v>52</v>
      </c>
      <c r="L363" s="96">
        <f>K363*VLOOKUP(H363,dagsoorttabel1,2,FALSE)</f>
        <v>32.76</v>
      </c>
      <c r="M363" s="97">
        <f>prodnorm62</f>
        <v>0</v>
      </c>
      <c r="N363" s="41">
        <f>dagwerk62</f>
        <v>0</v>
      </c>
      <c r="O363" s="94" t="s">
        <v>106</v>
      </c>
      <c r="P363" s="26">
        <f>uurtarief62</f>
        <v>0</v>
      </c>
      <c r="Q363" s="96" t="e">
        <f>IF(ISBLANK(M363),0,L363/M363)</f>
        <v>#DIV/0!</v>
      </c>
      <c r="R363" s="96" t="e">
        <f>IF(ISBLANK(M363),0,Q363*N363)</f>
        <v>#DIV/0!</v>
      </c>
      <c r="S363" s="26" t="e">
        <f>P363*Q363</f>
        <v>#DIV/0!</v>
      </c>
      <c r="T363" s="96" t="e">
        <f>Q363*dagenperjaar1</f>
        <v>#DIV/0!</v>
      </c>
      <c r="U363" s="27" t="e">
        <f>T363*P363</f>
        <v>#DIV/0!</v>
      </c>
    </row>
    <row r="364" spans="1:21" x14ac:dyDescent="0.3">
      <c r="A364" s="93" t="s">
        <v>736</v>
      </c>
      <c r="B364" s="94" t="s">
        <v>40</v>
      </c>
      <c r="C364" s="94" t="s">
        <v>290</v>
      </c>
      <c r="D364" s="94" t="s">
        <v>633</v>
      </c>
      <c r="E364" s="95" t="s">
        <v>303</v>
      </c>
      <c r="F364" s="94" t="s">
        <v>330</v>
      </c>
      <c r="G364" s="94" t="s">
        <v>265</v>
      </c>
      <c r="H364" s="94" t="s">
        <v>13</v>
      </c>
      <c r="I364" s="94" t="s">
        <v>219</v>
      </c>
      <c r="J364" s="94"/>
      <c r="K364" s="96">
        <v>16</v>
      </c>
      <c r="L364" s="96">
        <f>K364*VLOOKUP(H364,dagsoorttabel1,2,FALSE)</f>
        <v>10.08</v>
      </c>
      <c r="M364" s="97">
        <f>prodnorm60</f>
        <v>0</v>
      </c>
      <c r="N364" s="41">
        <f>dagwerk60</f>
        <v>0</v>
      </c>
      <c r="O364" s="94" t="s">
        <v>106</v>
      </c>
      <c r="P364" s="26">
        <f>uurtarief60</f>
        <v>0</v>
      </c>
      <c r="Q364" s="96" t="e">
        <f>IF(ISBLANK(M364),0,L364/M364)</f>
        <v>#DIV/0!</v>
      </c>
      <c r="R364" s="96" t="e">
        <f>IF(ISBLANK(M364),0,Q364*N364)</f>
        <v>#DIV/0!</v>
      </c>
      <c r="S364" s="26" t="e">
        <f>P364*Q364</f>
        <v>#DIV/0!</v>
      </c>
      <c r="T364" s="96" t="e">
        <f>Q364*dagenperjaar1</f>
        <v>#DIV/0!</v>
      </c>
      <c r="U364" s="27" t="e">
        <f>T364*P364</f>
        <v>#DIV/0!</v>
      </c>
    </row>
    <row r="365" spans="1:21" x14ac:dyDescent="0.3">
      <c r="A365" s="93" t="s">
        <v>736</v>
      </c>
      <c r="B365" s="94" t="s">
        <v>40</v>
      </c>
      <c r="C365" s="94" t="s">
        <v>290</v>
      </c>
      <c r="D365" s="94" t="s">
        <v>515</v>
      </c>
      <c r="E365" s="95" t="s">
        <v>298</v>
      </c>
      <c r="F365" s="94" t="s">
        <v>293</v>
      </c>
      <c r="G365" s="94" t="s">
        <v>225</v>
      </c>
      <c r="H365" s="94" t="s">
        <v>13</v>
      </c>
      <c r="I365" s="94" t="s">
        <v>219</v>
      </c>
      <c r="J365" s="94"/>
      <c r="K365" s="96">
        <v>32</v>
      </c>
      <c r="L365" s="96">
        <f>K365*VLOOKUP(H365,dagsoorttabel1,2,FALSE)</f>
        <v>20.16</v>
      </c>
      <c r="M365" s="97">
        <f>prodnorm21</f>
        <v>0</v>
      </c>
      <c r="N365" s="41">
        <f>dagwerk21</f>
        <v>0</v>
      </c>
      <c r="O365" s="94" t="s">
        <v>106</v>
      </c>
      <c r="P365" s="26">
        <f>uurtarief21</f>
        <v>0</v>
      </c>
      <c r="Q365" s="96" t="e">
        <f>IF(ISBLANK(M365),0,L365/M365)</f>
        <v>#DIV/0!</v>
      </c>
      <c r="R365" s="96" t="e">
        <f>IF(ISBLANK(M365),0,Q365*N365)</f>
        <v>#DIV/0!</v>
      </c>
      <c r="S365" s="26" t="e">
        <f>P365*Q365</f>
        <v>#DIV/0!</v>
      </c>
      <c r="T365" s="96" t="e">
        <f>Q365*dagenperjaar1</f>
        <v>#DIV/0!</v>
      </c>
      <c r="U365" s="27" t="e">
        <f>T365*P365</f>
        <v>#DIV/0!</v>
      </c>
    </row>
    <row r="366" spans="1:21" x14ac:dyDescent="0.3">
      <c r="A366" s="93" t="s">
        <v>736</v>
      </c>
      <c r="B366" s="94" t="s">
        <v>40</v>
      </c>
      <c r="C366" s="94" t="s">
        <v>290</v>
      </c>
      <c r="D366" s="94" t="s">
        <v>516</v>
      </c>
      <c r="E366" s="95" t="s">
        <v>737</v>
      </c>
      <c r="F366" s="94" t="s">
        <v>330</v>
      </c>
      <c r="G366" s="94" t="s">
        <v>251</v>
      </c>
      <c r="H366" s="94" t="s">
        <v>13</v>
      </c>
      <c r="I366" s="94" t="s">
        <v>219</v>
      </c>
      <c r="J366" s="94"/>
      <c r="K366" s="96">
        <v>3</v>
      </c>
      <c r="L366" s="96">
        <f>K366*VLOOKUP(H366,dagsoorttabel1,2,FALSE)</f>
        <v>1.8900000000000001</v>
      </c>
      <c r="M366" s="97">
        <f>prodnorm47</f>
        <v>0</v>
      </c>
      <c r="N366" s="41">
        <f>dagwerk47</f>
        <v>0</v>
      </c>
      <c r="O366" s="94" t="s">
        <v>106</v>
      </c>
      <c r="P366" s="26">
        <f>uurtarief47</f>
        <v>0</v>
      </c>
      <c r="Q366" s="96" t="e">
        <f>IF(ISBLANK(M366),0,L366/M366)</f>
        <v>#DIV/0!</v>
      </c>
      <c r="R366" s="96" t="e">
        <f>IF(ISBLANK(M366),0,Q366*N366)</f>
        <v>#DIV/0!</v>
      </c>
      <c r="S366" s="26" t="e">
        <f>P366*Q366</f>
        <v>#DIV/0!</v>
      </c>
      <c r="T366" s="96" t="e">
        <f>Q366*dagenperjaar1</f>
        <v>#DIV/0!</v>
      </c>
      <c r="U366" s="27" t="e">
        <f>T366*P366</f>
        <v>#DIV/0!</v>
      </c>
    </row>
    <row r="367" spans="1:21" x14ac:dyDescent="0.3">
      <c r="A367" s="93" t="s">
        <v>736</v>
      </c>
      <c r="B367" s="94" t="s">
        <v>40</v>
      </c>
      <c r="C367" s="94" t="s">
        <v>290</v>
      </c>
      <c r="D367" s="94" t="s">
        <v>517</v>
      </c>
      <c r="E367" s="95" t="s">
        <v>338</v>
      </c>
      <c r="F367" s="94" t="s">
        <v>330</v>
      </c>
      <c r="G367" s="94" t="s">
        <v>267</v>
      </c>
      <c r="H367" s="94" t="s">
        <v>13</v>
      </c>
      <c r="I367" s="94" t="s">
        <v>219</v>
      </c>
      <c r="J367" s="94"/>
      <c r="K367" s="96">
        <v>19</v>
      </c>
      <c r="L367" s="96">
        <f>K367*VLOOKUP(H367,dagsoorttabel1,2,FALSE)</f>
        <v>11.97</v>
      </c>
      <c r="M367" s="97">
        <f>prodnorm62</f>
        <v>0</v>
      </c>
      <c r="N367" s="41">
        <f>dagwerk62</f>
        <v>0</v>
      </c>
      <c r="O367" s="94" t="s">
        <v>106</v>
      </c>
      <c r="P367" s="26">
        <f>uurtarief62</f>
        <v>0</v>
      </c>
      <c r="Q367" s="96" t="e">
        <f>IF(ISBLANK(M367),0,L367/M367)</f>
        <v>#DIV/0!</v>
      </c>
      <c r="R367" s="96" t="e">
        <f>IF(ISBLANK(M367),0,Q367*N367)</f>
        <v>#DIV/0!</v>
      </c>
      <c r="S367" s="26" t="e">
        <f>P367*Q367</f>
        <v>#DIV/0!</v>
      </c>
      <c r="T367" s="96" t="e">
        <f>Q367*dagenperjaar1</f>
        <v>#DIV/0!</v>
      </c>
      <c r="U367" s="27" t="e">
        <f>T367*P367</f>
        <v>#DIV/0!</v>
      </c>
    </row>
    <row r="368" spans="1:21" x14ac:dyDescent="0.3">
      <c r="A368" s="93" t="s">
        <v>736</v>
      </c>
      <c r="B368" s="94" t="s">
        <v>40</v>
      </c>
      <c r="C368" s="94" t="s">
        <v>290</v>
      </c>
      <c r="D368" s="94" t="s">
        <v>519</v>
      </c>
      <c r="E368" s="95" t="s">
        <v>738</v>
      </c>
      <c r="F368" s="94" t="s">
        <v>330</v>
      </c>
      <c r="G368" s="94" t="s">
        <v>267</v>
      </c>
      <c r="H368" s="94" t="s">
        <v>13</v>
      </c>
      <c r="I368" s="94" t="s">
        <v>219</v>
      </c>
      <c r="J368" s="94"/>
      <c r="K368" s="96">
        <v>2</v>
      </c>
      <c r="L368" s="96">
        <f>K368*VLOOKUP(H368,dagsoorttabel1,2,FALSE)</f>
        <v>1.26</v>
      </c>
      <c r="M368" s="97">
        <f>prodnorm62</f>
        <v>0</v>
      </c>
      <c r="N368" s="41">
        <f>dagwerk62</f>
        <v>0</v>
      </c>
      <c r="O368" s="94" t="s">
        <v>106</v>
      </c>
      <c r="P368" s="26">
        <f>uurtarief62</f>
        <v>0</v>
      </c>
      <c r="Q368" s="96" t="e">
        <f>IF(ISBLANK(M368),0,L368/M368)</f>
        <v>#DIV/0!</v>
      </c>
      <c r="R368" s="96" t="e">
        <f>IF(ISBLANK(M368),0,Q368*N368)</f>
        <v>#DIV/0!</v>
      </c>
      <c r="S368" s="26" t="e">
        <f>P368*Q368</f>
        <v>#DIV/0!</v>
      </c>
      <c r="T368" s="96" t="e">
        <f>Q368*dagenperjaar1</f>
        <v>#DIV/0!</v>
      </c>
      <c r="U368" s="27" t="e">
        <f>T368*P368</f>
        <v>#DIV/0!</v>
      </c>
    </row>
    <row r="369" spans="1:21" x14ac:dyDescent="0.3">
      <c r="A369" s="93" t="s">
        <v>736</v>
      </c>
      <c r="B369" s="94" t="s">
        <v>40</v>
      </c>
      <c r="C369" s="94" t="s">
        <v>290</v>
      </c>
      <c r="D369" s="94" t="s">
        <v>520</v>
      </c>
      <c r="E369" s="95" t="s">
        <v>315</v>
      </c>
      <c r="F369" s="94" t="s">
        <v>330</v>
      </c>
      <c r="G369" s="94" t="s">
        <v>261</v>
      </c>
      <c r="H369" s="94" t="s">
        <v>13</v>
      </c>
      <c r="I369" s="94" t="s">
        <v>219</v>
      </c>
      <c r="J369" s="94"/>
      <c r="K369" s="96">
        <v>6</v>
      </c>
      <c r="L369" s="96">
        <f>K369*VLOOKUP(H369,dagsoorttabel1,2,FALSE)</f>
        <v>3.7800000000000002</v>
      </c>
      <c r="M369" s="97">
        <f>prodnorm55</f>
        <v>0</v>
      </c>
      <c r="N369" s="41">
        <f>dagwerk55</f>
        <v>0</v>
      </c>
      <c r="O369" s="94" t="s">
        <v>106</v>
      </c>
      <c r="P369" s="26">
        <f>uurtarief55</f>
        <v>0</v>
      </c>
      <c r="Q369" s="96" t="e">
        <f>IF(ISBLANK(M369),0,L369/M369)</f>
        <v>#DIV/0!</v>
      </c>
      <c r="R369" s="96" t="e">
        <f>IF(ISBLANK(M369),0,Q369*N369)</f>
        <v>#DIV/0!</v>
      </c>
      <c r="S369" s="26" t="e">
        <f>P369*Q369</f>
        <v>#DIV/0!</v>
      </c>
      <c r="T369" s="96" t="e">
        <f>Q369*dagenperjaar1</f>
        <v>#DIV/0!</v>
      </c>
      <c r="U369" s="27" t="e">
        <f>T369*P369</f>
        <v>#DIV/0!</v>
      </c>
    </row>
    <row r="370" spans="1:21" x14ac:dyDescent="0.3">
      <c r="A370" s="93" t="s">
        <v>736</v>
      </c>
      <c r="B370" s="94" t="s">
        <v>40</v>
      </c>
      <c r="C370" s="94" t="s">
        <v>290</v>
      </c>
      <c r="D370" s="94" t="s">
        <v>521</v>
      </c>
      <c r="E370" s="95" t="s">
        <v>298</v>
      </c>
      <c r="F370" s="94" t="s">
        <v>293</v>
      </c>
      <c r="G370" s="94" t="s">
        <v>225</v>
      </c>
      <c r="H370" s="94" t="s">
        <v>13</v>
      </c>
      <c r="I370" s="94" t="s">
        <v>219</v>
      </c>
      <c r="J370" s="94"/>
      <c r="K370" s="96">
        <v>54</v>
      </c>
      <c r="L370" s="96">
        <f>K370*VLOOKUP(H370,dagsoorttabel1,2,FALSE)</f>
        <v>34.020000000000003</v>
      </c>
      <c r="M370" s="97">
        <f>prodnorm21</f>
        <v>0</v>
      </c>
      <c r="N370" s="41">
        <f>dagwerk21</f>
        <v>0</v>
      </c>
      <c r="O370" s="94" t="s">
        <v>106</v>
      </c>
      <c r="P370" s="26">
        <f>uurtarief21</f>
        <v>0</v>
      </c>
      <c r="Q370" s="96" t="e">
        <f>IF(ISBLANK(M370),0,L370/M370)</f>
        <v>#DIV/0!</v>
      </c>
      <c r="R370" s="96" t="e">
        <f>IF(ISBLANK(M370),0,Q370*N370)</f>
        <v>#DIV/0!</v>
      </c>
      <c r="S370" s="26" t="e">
        <f>P370*Q370</f>
        <v>#DIV/0!</v>
      </c>
      <c r="T370" s="96" t="e">
        <f>Q370*dagenperjaar1</f>
        <v>#DIV/0!</v>
      </c>
      <c r="U370" s="27" t="e">
        <f>T370*P370</f>
        <v>#DIV/0!</v>
      </c>
    </row>
    <row r="371" spans="1:21" x14ac:dyDescent="0.3">
      <c r="A371" s="93" t="s">
        <v>736</v>
      </c>
      <c r="B371" s="94" t="s">
        <v>40</v>
      </c>
      <c r="C371" s="94" t="s">
        <v>290</v>
      </c>
      <c r="D371" s="94" t="s">
        <v>522</v>
      </c>
      <c r="E371" s="95" t="s">
        <v>338</v>
      </c>
      <c r="F371" s="94" t="s">
        <v>330</v>
      </c>
      <c r="G371" s="94" t="s">
        <v>267</v>
      </c>
      <c r="H371" s="94" t="s">
        <v>13</v>
      </c>
      <c r="I371" s="94" t="s">
        <v>219</v>
      </c>
      <c r="J371" s="94"/>
      <c r="K371" s="96">
        <v>22</v>
      </c>
      <c r="L371" s="96">
        <f>K371*VLOOKUP(H371,dagsoorttabel1,2,FALSE)</f>
        <v>13.86</v>
      </c>
      <c r="M371" s="97">
        <f>prodnorm62</f>
        <v>0</v>
      </c>
      <c r="N371" s="41">
        <f>dagwerk62</f>
        <v>0</v>
      </c>
      <c r="O371" s="94" t="s">
        <v>106</v>
      </c>
      <c r="P371" s="26">
        <f>uurtarief62</f>
        <v>0</v>
      </c>
      <c r="Q371" s="96" t="e">
        <f>IF(ISBLANK(M371),0,L371/M371)</f>
        <v>#DIV/0!</v>
      </c>
      <c r="R371" s="96" t="e">
        <f>IF(ISBLANK(M371),0,Q371*N371)</f>
        <v>#DIV/0!</v>
      </c>
      <c r="S371" s="26" t="e">
        <f>P371*Q371</f>
        <v>#DIV/0!</v>
      </c>
      <c r="T371" s="96" t="e">
        <f>Q371*dagenperjaar1</f>
        <v>#DIV/0!</v>
      </c>
      <c r="U371" s="27" t="e">
        <f>T371*P371</f>
        <v>#DIV/0!</v>
      </c>
    </row>
    <row r="372" spans="1:21" x14ac:dyDescent="0.3">
      <c r="A372" s="93" t="s">
        <v>736</v>
      </c>
      <c r="B372" s="94" t="s">
        <v>40</v>
      </c>
      <c r="C372" s="94" t="s">
        <v>290</v>
      </c>
      <c r="D372" s="94" t="s">
        <v>523</v>
      </c>
      <c r="E372" s="95" t="s">
        <v>308</v>
      </c>
      <c r="F372" s="94" t="s">
        <v>293</v>
      </c>
      <c r="G372" s="94" t="s">
        <v>225</v>
      </c>
      <c r="H372" s="94" t="s">
        <v>13</v>
      </c>
      <c r="I372" s="94" t="s">
        <v>219</v>
      </c>
      <c r="J372" s="94"/>
      <c r="K372" s="96">
        <v>15</v>
      </c>
      <c r="L372" s="96">
        <f>K372*VLOOKUP(H372,dagsoorttabel1,2,FALSE)</f>
        <v>9.4499999999999993</v>
      </c>
      <c r="M372" s="97">
        <f>prodnorm21</f>
        <v>0</v>
      </c>
      <c r="N372" s="41">
        <f>dagwerk21</f>
        <v>0</v>
      </c>
      <c r="O372" s="94" t="s">
        <v>106</v>
      </c>
      <c r="P372" s="26">
        <f>uurtarief21</f>
        <v>0</v>
      </c>
      <c r="Q372" s="96" t="e">
        <f>IF(ISBLANK(M372),0,L372/M372)</f>
        <v>#DIV/0!</v>
      </c>
      <c r="R372" s="96" t="e">
        <f>IF(ISBLANK(M372),0,Q372*N372)</f>
        <v>#DIV/0!</v>
      </c>
      <c r="S372" s="26" t="e">
        <f>P372*Q372</f>
        <v>#DIV/0!</v>
      </c>
      <c r="T372" s="96" t="e">
        <f>Q372*dagenperjaar1</f>
        <v>#DIV/0!</v>
      </c>
      <c r="U372" s="27" t="e">
        <f>T372*P372</f>
        <v>#DIV/0!</v>
      </c>
    </row>
    <row r="373" spans="1:21" x14ac:dyDescent="0.3">
      <c r="A373" s="93" t="s">
        <v>736</v>
      </c>
      <c r="B373" s="94" t="s">
        <v>40</v>
      </c>
      <c r="C373" s="94" t="s">
        <v>290</v>
      </c>
      <c r="D373" s="94" t="s">
        <v>524</v>
      </c>
      <c r="E373" s="95" t="s">
        <v>739</v>
      </c>
      <c r="F373" s="94" t="s">
        <v>293</v>
      </c>
      <c r="G373" s="94" t="s">
        <v>225</v>
      </c>
      <c r="H373" s="94" t="s">
        <v>13</v>
      </c>
      <c r="I373" s="94" t="s">
        <v>219</v>
      </c>
      <c r="J373" s="94"/>
      <c r="K373" s="96">
        <v>43</v>
      </c>
      <c r="L373" s="96">
        <f>K373*VLOOKUP(H373,dagsoorttabel1,2,FALSE)</f>
        <v>27.09</v>
      </c>
      <c r="M373" s="97">
        <f>prodnorm21</f>
        <v>0</v>
      </c>
      <c r="N373" s="41">
        <f>dagwerk21</f>
        <v>0</v>
      </c>
      <c r="O373" s="94" t="s">
        <v>106</v>
      </c>
      <c r="P373" s="26">
        <f>uurtarief21</f>
        <v>0</v>
      </c>
      <c r="Q373" s="96" t="e">
        <f>IF(ISBLANK(M373),0,L373/M373)</f>
        <v>#DIV/0!</v>
      </c>
      <c r="R373" s="96" t="e">
        <f>IF(ISBLANK(M373),0,Q373*N373)</f>
        <v>#DIV/0!</v>
      </c>
      <c r="S373" s="26" t="e">
        <f>P373*Q373</f>
        <v>#DIV/0!</v>
      </c>
      <c r="T373" s="96" t="e">
        <f>Q373*dagenperjaar1</f>
        <v>#DIV/0!</v>
      </c>
      <c r="U373" s="27" t="e">
        <f>T373*P373</f>
        <v>#DIV/0!</v>
      </c>
    </row>
    <row r="374" spans="1:21" x14ac:dyDescent="0.3">
      <c r="A374" s="93" t="s">
        <v>736</v>
      </c>
      <c r="B374" s="94" t="s">
        <v>40</v>
      </c>
      <c r="C374" s="94" t="s">
        <v>290</v>
      </c>
      <c r="D374" s="94" t="s">
        <v>525</v>
      </c>
      <c r="E374" s="95" t="s">
        <v>740</v>
      </c>
      <c r="F374" s="94" t="s">
        <v>293</v>
      </c>
      <c r="G374" s="94" t="s">
        <v>225</v>
      </c>
      <c r="H374" s="94" t="s">
        <v>13</v>
      </c>
      <c r="I374" s="94" t="s">
        <v>219</v>
      </c>
      <c r="J374" s="94"/>
      <c r="K374" s="96">
        <v>18</v>
      </c>
      <c r="L374" s="96">
        <f>K374*VLOOKUP(H374,dagsoorttabel1,2,FALSE)</f>
        <v>11.34</v>
      </c>
      <c r="M374" s="97">
        <f>prodnorm21</f>
        <v>0</v>
      </c>
      <c r="N374" s="41">
        <f>dagwerk21</f>
        <v>0</v>
      </c>
      <c r="O374" s="94" t="s">
        <v>106</v>
      </c>
      <c r="P374" s="26">
        <f>uurtarief21</f>
        <v>0</v>
      </c>
      <c r="Q374" s="96" t="e">
        <f>IF(ISBLANK(M374),0,L374/M374)</f>
        <v>#DIV/0!</v>
      </c>
      <c r="R374" s="96" t="e">
        <f>IF(ISBLANK(M374),0,Q374*N374)</f>
        <v>#DIV/0!</v>
      </c>
      <c r="S374" s="26" t="e">
        <f>P374*Q374</f>
        <v>#DIV/0!</v>
      </c>
      <c r="T374" s="96" t="e">
        <f>Q374*dagenperjaar1</f>
        <v>#DIV/0!</v>
      </c>
      <c r="U374" s="27" t="e">
        <f>T374*P374</f>
        <v>#DIV/0!</v>
      </c>
    </row>
    <row r="375" spans="1:21" x14ac:dyDescent="0.3">
      <c r="A375" s="93" t="s">
        <v>736</v>
      </c>
      <c r="B375" s="94" t="s">
        <v>40</v>
      </c>
      <c r="C375" s="94" t="s">
        <v>290</v>
      </c>
      <c r="D375" s="94" t="s">
        <v>526</v>
      </c>
      <c r="E375" s="95" t="s">
        <v>741</v>
      </c>
      <c r="F375" s="94" t="s">
        <v>293</v>
      </c>
      <c r="G375" s="94" t="s">
        <v>225</v>
      </c>
      <c r="H375" s="94" t="s">
        <v>13</v>
      </c>
      <c r="I375" s="94" t="s">
        <v>219</v>
      </c>
      <c r="J375" s="94"/>
      <c r="K375" s="96">
        <v>47</v>
      </c>
      <c r="L375" s="96">
        <f>K375*VLOOKUP(H375,dagsoorttabel1,2,FALSE)</f>
        <v>29.61</v>
      </c>
      <c r="M375" s="97">
        <f>prodnorm21</f>
        <v>0</v>
      </c>
      <c r="N375" s="41">
        <f>dagwerk21</f>
        <v>0</v>
      </c>
      <c r="O375" s="94" t="s">
        <v>106</v>
      </c>
      <c r="P375" s="26">
        <f>uurtarief21</f>
        <v>0</v>
      </c>
      <c r="Q375" s="96" t="e">
        <f>IF(ISBLANK(M375),0,L375/M375)</f>
        <v>#DIV/0!</v>
      </c>
      <c r="R375" s="96" t="e">
        <f>IF(ISBLANK(M375),0,Q375*N375)</f>
        <v>#DIV/0!</v>
      </c>
      <c r="S375" s="26" t="e">
        <f>P375*Q375</f>
        <v>#DIV/0!</v>
      </c>
      <c r="T375" s="96" t="e">
        <f>Q375*dagenperjaar1</f>
        <v>#DIV/0!</v>
      </c>
      <c r="U375" s="27" t="e">
        <f>T375*P375</f>
        <v>#DIV/0!</v>
      </c>
    </row>
    <row r="376" spans="1:21" x14ac:dyDescent="0.3">
      <c r="A376" s="93" t="s">
        <v>736</v>
      </c>
      <c r="B376" s="94" t="s">
        <v>40</v>
      </c>
      <c r="C376" s="94" t="s">
        <v>290</v>
      </c>
      <c r="D376" s="94" t="s">
        <v>527</v>
      </c>
      <c r="E376" s="95" t="s">
        <v>298</v>
      </c>
      <c r="F376" s="94" t="s">
        <v>293</v>
      </c>
      <c r="G376" s="94" t="s">
        <v>225</v>
      </c>
      <c r="H376" s="94" t="s">
        <v>13</v>
      </c>
      <c r="I376" s="94" t="s">
        <v>219</v>
      </c>
      <c r="J376" s="94"/>
      <c r="K376" s="96">
        <v>32</v>
      </c>
      <c r="L376" s="96">
        <f>K376*VLOOKUP(H376,dagsoorttabel1,2,FALSE)</f>
        <v>20.16</v>
      </c>
      <c r="M376" s="97">
        <f>prodnorm21</f>
        <v>0</v>
      </c>
      <c r="N376" s="41">
        <f>dagwerk21</f>
        <v>0</v>
      </c>
      <c r="O376" s="94" t="s">
        <v>106</v>
      </c>
      <c r="P376" s="26">
        <f>uurtarief21</f>
        <v>0</v>
      </c>
      <c r="Q376" s="96" t="e">
        <f>IF(ISBLANK(M376),0,L376/M376)</f>
        <v>#DIV/0!</v>
      </c>
      <c r="R376" s="96" t="e">
        <f>IF(ISBLANK(M376),0,Q376*N376)</f>
        <v>#DIV/0!</v>
      </c>
      <c r="S376" s="26" t="e">
        <f>P376*Q376</f>
        <v>#DIV/0!</v>
      </c>
      <c r="T376" s="96" t="e">
        <f>Q376*dagenperjaar1</f>
        <v>#DIV/0!</v>
      </c>
      <c r="U376" s="27" t="e">
        <f>T376*P376</f>
        <v>#DIV/0!</v>
      </c>
    </row>
    <row r="377" spans="1:21" x14ac:dyDescent="0.3">
      <c r="A377" s="93" t="s">
        <v>736</v>
      </c>
      <c r="B377" s="94" t="s">
        <v>40</v>
      </c>
      <c r="C377" s="94" t="s">
        <v>290</v>
      </c>
      <c r="D377" s="94" t="s">
        <v>528</v>
      </c>
      <c r="E377" s="95" t="s">
        <v>742</v>
      </c>
      <c r="F377" s="94" t="s">
        <v>293</v>
      </c>
      <c r="G377" s="94" t="s">
        <v>225</v>
      </c>
      <c r="H377" s="94" t="s">
        <v>13</v>
      </c>
      <c r="I377" s="94" t="s">
        <v>219</v>
      </c>
      <c r="J377" s="94"/>
      <c r="K377" s="96">
        <v>20</v>
      </c>
      <c r="L377" s="96">
        <f>K377*VLOOKUP(H377,dagsoorttabel1,2,FALSE)</f>
        <v>12.6</v>
      </c>
      <c r="M377" s="97">
        <f>prodnorm21</f>
        <v>0</v>
      </c>
      <c r="N377" s="41">
        <f>dagwerk21</f>
        <v>0</v>
      </c>
      <c r="O377" s="94" t="s">
        <v>106</v>
      </c>
      <c r="P377" s="26">
        <f>uurtarief21</f>
        <v>0</v>
      </c>
      <c r="Q377" s="96" t="e">
        <f>IF(ISBLANK(M377),0,L377/M377)</f>
        <v>#DIV/0!</v>
      </c>
      <c r="R377" s="96" t="e">
        <f>IF(ISBLANK(M377),0,Q377*N377)</f>
        <v>#DIV/0!</v>
      </c>
      <c r="S377" s="26" t="e">
        <f>P377*Q377</f>
        <v>#DIV/0!</v>
      </c>
      <c r="T377" s="96" t="e">
        <f>Q377*dagenperjaar1</f>
        <v>#DIV/0!</v>
      </c>
      <c r="U377" s="27" t="e">
        <f>T377*P377</f>
        <v>#DIV/0!</v>
      </c>
    </row>
    <row r="378" spans="1:21" x14ac:dyDescent="0.3">
      <c r="A378" s="93" t="s">
        <v>736</v>
      </c>
      <c r="B378" s="94" t="s">
        <v>40</v>
      </c>
      <c r="C378" s="94" t="s">
        <v>290</v>
      </c>
      <c r="D378" s="94" t="s">
        <v>620</v>
      </c>
      <c r="E378" s="95" t="s">
        <v>742</v>
      </c>
      <c r="F378" s="94" t="s">
        <v>293</v>
      </c>
      <c r="G378" s="94" t="s">
        <v>225</v>
      </c>
      <c r="H378" s="94" t="s">
        <v>13</v>
      </c>
      <c r="I378" s="94" t="s">
        <v>219</v>
      </c>
      <c r="J378" s="94"/>
      <c r="K378" s="96">
        <v>20</v>
      </c>
      <c r="L378" s="96">
        <f>K378*VLOOKUP(H378,dagsoorttabel1,2,FALSE)</f>
        <v>12.6</v>
      </c>
      <c r="M378" s="97">
        <f>prodnorm21</f>
        <v>0</v>
      </c>
      <c r="N378" s="41">
        <f>dagwerk21</f>
        <v>0</v>
      </c>
      <c r="O378" s="94" t="s">
        <v>106</v>
      </c>
      <c r="P378" s="26">
        <f>uurtarief21</f>
        <v>0</v>
      </c>
      <c r="Q378" s="96" t="e">
        <f>IF(ISBLANK(M378),0,L378/M378)</f>
        <v>#DIV/0!</v>
      </c>
      <c r="R378" s="96" t="e">
        <f>IF(ISBLANK(M378),0,Q378*N378)</f>
        <v>#DIV/0!</v>
      </c>
      <c r="S378" s="26" t="e">
        <f>P378*Q378</f>
        <v>#DIV/0!</v>
      </c>
      <c r="T378" s="96" t="e">
        <f>Q378*dagenperjaar1</f>
        <v>#DIV/0!</v>
      </c>
      <c r="U378" s="27" t="e">
        <f>T378*P378</f>
        <v>#DIV/0!</v>
      </c>
    </row>
    <row r="379" spans="1:21" x14ac:dyDescent="0.3">
      <c r="A379" s="93" t="s">
        <v>736</v>
      </c>
      <c r="B379" s="94" t="s">
        <v>40</v>
      </c>
      <c r="C379" s="94" t="s">
        <v>290</v>
      </c>
      <c r="D379" s="94" t="s">
        <v>529</v>
      </c>
      <c r="E379" s="95" t="s">
        <v>743</v>
      </c>
      <c r="F379" s="94" t="s">
        <v>293</v>
      </c>
      <c r="G379" s="94" t="s">
        <v>225</v>
      </c>
      <c r="H379" s="94" t="s">
        <v>13</v>
      </c>
      <c r="I379" s="94" t="s">
        <v>219</v>
      </c>
      <c r="J379" s="94"/>
      <c r="K379" s="96">
        <v>32</v>
      </c>
      <c r="L379" s="96">
        <f>K379*VLOOKUP(H379,dagsoorttabel1,2,FALSE)</f>
        <v>20.16</v>
      </c>
      <c r="M379" s="97">
        <f>prodnorm21</f>
        <v>0</v>
      </c>
      <c r="N379" s="41">
        <f>dagwerk21</f>
        <v>0</v>
      </c>
      <c r="O379" s="94" t="s">
        <v>106</v>
      </c>
      <c r="P379" s="26">
        <f>uurtarief21</f>
        <v>0</v>
      </c>
      <c r="Q379" s="96" t="e">
        <f>IF(ISBLANK(M379),0,L379/M379)</f>
        <v>#DIV/0!</v>
      </c>
      <c r="R379" s="96" t="e">
        <f>IF(ISBLANK(M379),0,Q379*N379)</f>
        <v>#DIV/0!</v>
      </c>
      <c r="S379" s="26" t="e">
        <f>P379*Q379</f>
        <v>#DIV/0!</v>
      </c>
      <c r="T379" s="96" t="e">
        <f>Q379*dagenperjaar1</f>
        <v>#DIV/0!</v>
      </c>
      <c r="U379" s="27" t="e">
        <f>T379*P379</f>
        <v>#DIV/0!</v>
      </c>
    </row>
    <row r="380" spans="1:21" x14ac:dyDescent="0.3">
      <c r="A380" s="93" t="s">
        <v>736</v>
      </c>
      <c r="B380" s="94" t="s">
        <v>40</v>
      </c>
      <c r="C380" s="94" t="s">
        <v>419</v>
      </c>
      <c r="D380" s="94" t="s">
        <v>563</v>
      </c>
      <c r="E380" s="95" t="s">
        <v>744</v>
      </c>
      <c r="F380" s="94" t="s">
        <v>330</v>
      </c>
      <c r="G380" s="94" t="s">
        <v>267</v>
      </c>
      <c r="H380" s="94" t="s">
        <v>13</v>
      </c>
      <c r="I380" s="94" t="s">
        <v>219</v>
      </c>
      <c r="J380" s="94"/>
      <c r="K380" s="96">
        <v>2</v>
      </c>
      <c r="L380" s="96">
        <f>K380*VLOOKUP(H380,dagsoorttabel1,2,FALSE)</f>
        <v>1.26</v>
      </c>
      <c r="M380" s="97">
        <f>prodnorm62</f>
        <v>0</v>
      </c>
      <c r="N380" s="41">
        <f>dagwerk62</f>
        <v>0</v>
      </c>
      <c r="O380" s="94" t="s">
        <v>106</v>
      </c>
      <c r="P380" s="26">
        <f>uurtarief62</f>
        <v>0</v>
      </c>
      <c r="Q380" s="96" t="e">
        <f>IF(ISBLANK(M380),0,L380/M380)</f>
        <v>#DIV/0!</v>
      </c>
      <c r="R380" s="96" t="e">
        <f>IF(ISBLANK(M380),0,Q380*N380)</f>
        <v>#DIV/0!</v>
      </c>
      <c r="S380" s="26" t="e">
        <f>P380*Q380</f>
        <v>#DIV/0!</v>
      </c>
      <c r="T380" s="96" t="e">
        <f>Q380*dagenperjaar1</f>
        <v>#DIV/0!</v>
      </c>
      <c r="U380" s="27" t="e">
        <f>T380*P380</f>
        <v>#DIV/0!</v>
      </c>
    </row>
    <row r="381" spans="1:21" x14ac:dyDescent="0.3">
      <c r="A381" s="93" t="s">
        <v>736</v>
      </c>
      <c r="B381" s="94" t="s">
        <v>40</v>
      </c>
      <c r="C381" s="94" t="s">
        <v>419</v>
      </c>
      <c r="D381" s="94" t="s">
        <v>565</v>
      </c>
      <c r="E381" s="95" t="s">
        <v>737</v>
      </c>
      <c r="F381" s="94" t="s">
        <v>330</v>
      </c>
      <c r="G381" s="94" t="s">
        <v>251</v>
      </c>
      <c r="H381" s="94" t="s">
        <v>13</v>
      </c>
      <c r="I381" s="94" t="s">
        <v>219</v>
      </c>
      <c r="J381" s="94"/>
      <c r="K381" s="96">
        <v>2</v>
      </c>
      <c r="L381" s="96">
        <f>K381*VLOOKUP(H381,dagsoorttabel1,2,FALSE)</f>
        <v>1.26</v>
      </c>
      <c r="M381" s="97">
        <f>prodnorm47</f>
        <v>0</v>
      </c>
      <c r="N381" s="41">
        <f>dagwerk47</f>
        <v>0</v>
      </c>
      <c r="O381" s="94" t="s">
        <v>106</v>
      </c>
      <c r="P381" s="26">
        <f>uurtarief47</f>
        <v>0</v>
      </c>
      <c r="Q381" s="96" t="e">
        <f>IF(ISBLANK(M381),0,L381/M381)</f>
        <v>#DIV/0!</v>
      </c>
      <c r="R381" s="96" t="e">
        <f>IF(ISBLANK(M381),0,Q381*N381)</f>
        <v>#DIV/0!</v>
      </c>
      <c r="S381" s="26" t="e">
        <f>P381*Q381</f>
        <v>#DIV/0!</v>
      </c>
      <c r="T381" s="96" t="e">
        <f>Q381*dagenperjaar1</f>
        <v>#DIV/0!</v>
      </c>
      <c r="U381" s="27" t="e">
        <f>T381*P381</f>
        <v>#DIV/0!</v>
      </c>
    </row>
    <row r="382" spans="1:21" x14ac:dyDescent="0.3">
      <c r="A382" s="93" t="s">
        <v>736</v>
      </c>
      <c r="B382" s="94" t="s">
        <v>40</v>
      </c>
      <c r="C382" s="94" t="s">
        <v>419</v>
      </c>
      <c r="D382" s="94" t="s">
        <v>566</v>
      </c>
      <c r="E382" s="95" t="s">
        <v>462</v>
      </c>
      <c r="F382" s="94" t="s">
        <v>293</v>
      </c>
      <c r="G382" s="94" t="s">
        <v>225</v>
      </c>
      <c r="H382" s="94" t="s">
        <v>13</v>
      </c>
      <c r="I382" s="94" t="s">
        <v>219</v>
      </c>
      <c r="J382" s="94"/>
      <c r="K382" s="96">
        <v>12.3</v>
      </c>
      <c r="L382" s="96">
        <f>K382*VLOOKUP(H382,dagsoorttabel1,2,FALSE)</f>
        <v>7.7490000000000006</v>
      </c>
      <c r="M382" s="97">
        <f>prodnorm21</f>
        <v>0</v>
      </c>
      <c r="N382" s="41">
        <f>dagwerk21</f>
        <v>0</v>
      </c>
      <c r="O382" s="94" t="s">
        <v>106</v>
      </c>
      <c r="P382" s="26">
        <f>uurtarief21</f>
        <v>0</v>
      </c>
      <c r="Q382" s="96" t="e">
        <f>IF(ISBLANK(M382),0,L382/M382)</f>
        <v>#DIV/0!</v>
      </c>
      <c r="R382" s="96" t="e">
        <f>IF(ISBLANK(M382),0,Q382*N382)</f>
        <v>#DIV/0!</v>
      </c>
      <c r="S382" s="26" t="e">
        <f>P382*Q382</f>
        <v>#DIV/0!</v>
      </c>
      <c r="T382" s="96" t="e">
        <f>Q382*dagenperjaar1</f>
        <v>#DIV/0!</v>
      </c>
      <c r="U382" s="27" t="e">
        <f>T382*P382</f>
        <v>#DIV/0!</v>
      </c>
    </row>
    <row r="383" spans="1:21" x14ac:dyDescent="0.3">
      <c r="A383" s="93" t="s">
        <v>736</v>
      </c>
      <c r="B383" s="94" t="s">
        <v>40</v>
      </c>
      <c r="C383" s="94" t="s">
        <v>419</v>
      </c>
      <c r="D383" s="94" t="s">
        <v>567</v>
      </c>
      <c r="E383" s="95" t="s">
        <v>745</v>
      </c>
      <c r="F383" s="94" t="s">
        <v>293</v>
      </c>
      <c r="G383" s="94" t="s">
        <v>225</v>
      </c>
      <c r="H383" s="94" t="s">
        <v>13</v>
      </c>
      <c r="I383" s="94" t="s">
        <v>219</v>
      </c>
      <c r="J383" s="94"/>
      <c r="K383" s="96">
        <v>17</v>
      </c>
      <c r="L383" s="96">
        <f>K383*VLOOKUP(H383,dagsoorttabel1,2,FALSE)</f>
        <v>10.71</v>
      </c>
      <c r="M383" s="97">
        <f>prodnorm21</f>
        <v>0</v>
      </c>
      <c r="N383" s="41">
        <f>dagwerk21</f>
        <v>0</v>
      </c>
      <c r="O383" s="94" t="s">
        <v>106</v>
      </c>
      <c r="P383" s="26">
        <f>uurtarief21</f>
        <v>0</v>
      </c>
      <c r="Q383" s="96" t="e">
        <f>IF(ISBLANK(M383),0,L383/M383)</f>
        <v>#DIV/0!</v>
      </c>
      <c r="R383" s="96" t="e">
        <f>IF(ISBLANK(M383),0,Q383*N383)</f>
        <v>#DIV/0!</v>
      </c>
      <c r="S383" s="26" t="e">
        <f>P383*Q383</f>
        <v>#DIV/0!</v>
      </c>
      <c r="T383" s="96" t="e">
        <f>Q383*dagenperjaar1</f>
        <v>#DIV/0!</v>
      </c>
      <c r="U383" s="27" t="e">
        <f>T383*P383</f>
        <v>#DIV/0!</v>
      </c>
    </row>
    <row r="384" spans="1:21" x14ac:dyDescent="0.3">
      <c r="A384" s="93" t="s">
        <v>736</v>
      </c>
      <c r="B384" s="94" t="s">
        <v>40</v>
      </c>
      <c r="C384" s="94" t="s">
        <v>419</v>
      </c>
      <c r="D384" s="94" t="s">
        <v>568</v>
      </c>
      <c r="E384" s="95" t="s">
        <v>746</v>
      </c>
      <c r="F384" s="94" t="s">
        <v>293</v>
      </c>
      <c r="G384" s="94" t="s">
        <v>225</v>
      </c>
      <c r="H384" s="94" t="s">
        <v>13</v>
      </c>
      <c r="I384" s="94" t="s">
        <v>219</v>
      </c>
      <c r="J384" s="94"/>
      <c r="K384" s="96">
        <v>29</v>
      </c>
      <c r="L384" s="96">
        <f>K384*VLOOKUP(H384,dagsoorttabel1,2,FALSE)</f>
        <v>18.27</v>
      </c>
      <c r="M384" s="97">
        <f>prodnorm21</f>
        <v>0</v>
      </c>
      <c r="N384" s="41">
        <f>dagwerk21</f>
        <v>0</v>
      </c>
      <c r="O384" s="94" t="s">
        <v>106</v>
      </c>
      <c r="P384" s="26">
        <f>uurtarief21</f>
        <v>0</v>
      </c>
      <c r="Q384" s="96" t="e">
        <f>IF(ISBLANK(M384),0,L384/M384)</f>
        <v>#DIV/0!</v>
      </c>
      <c r="R384" s="96" t="e">
        <f>IF(ISBLANK(M384),0,Q384*N384)</f>
        <v>#DIV/0!</v>
      </c>
      <c r="S384" s="26" t="e">
        <f>P384*Q384</f>
        <v>#DIV/0!</v>
      </c>
      <c r="T384" s="96" t="e">
        <f>Q384*dagenperjaar1</f>
        <v>#DIV/0!</v>
      </c>
      <c r="U384" s="27" t="e">
        <f>T384*P384</f>
        <v>#DIV/0!</v>
      </c>
    </row>
    <row r="385" spans="1:21" x14ac:dyDescent="0.3">
      <c r="A385" s="93" t="s">
        <v>736</v>
      </c>
      <c r="B385" s="94" t="s">
        <v>40</v>
      </c>
      <c r="C385" s="94" t="s">
        <v>419</v>
      </c>
      <c r="D385" s="94" t="s">
        <v>569</v>
      </c>
      <c r="E385" s="95" t="s">
        <v>747</v>
      </c>
      <c r="F385" s="94" t="s">
        <v>293</v>
      </c>
      <c r="G385" s="94" t="s">
        <v>225</v>
      </c>
      <c r="H385" s="94" t="s">
        <v>13</v>
      </c>
      <c r="I385" s="94" t="s">
        <v>219</v>
      </c>
      <c r="J385" s="94"/>
      <c r="K385" s="96">
        <v>25</v>
      </c>
      <c r="L385" s="96">
        <f>K385*VLOOKUP(H385,dagsoorttabel1,2,FALSE)</f>
        <v>15.75</v>
      </c>
      <c r="M385" s="97">
        <f>prodnorm21</f>
        <v>0</v>
      </c>
      <c r="N385" s="41">
        <f>dagwerk21</f>
        <v>0</v>
      </c>
      <c r="O385" s="94" t="s">
        <v>106</v>
      </c>
      <c r="P385" s="26">
        <f>uurtarief21</f>
        <v>0</v>
      </c>
      <c r="Q385" s="96" t="e">
        <f>IF(ISBLANK(M385),0,L385/M385)</f>
        <v>#DIV/0!</v>
      </c>
      <c r="R385" s="96" t="e">
        <f>IF(ISBLANK(M385),0,Q385*N385)</f>
        <v>#DIV/0!</v>
      </c>
      <c r="S385" s="26" t="e">
        <f>P385*Q385</f>
        <v>#DIV/0!</v>
      </c>
      <c r="T385" s="96" t="e">
        <f>Q385*dagenperjaar1</f>
        <v>#DIV/0!</v>
      </c>
      <c r="U385" s="27" t="e">
        <f>T385*P385</f>
        <v>#DIV/0!</v>
      </c>
    </row>
    <row r="386" spans="1:21" x14ac:dyDescent="0.3">
      <c r="A386" s="93" t="s">
        <v>736</v>
      </c>
      <c r="B386" s="94" t="s">
        <v>40</v>
      </c>
      <c r="C386" s="94" t="s">
        <v>419</v>
      </c>
      <c r="D386" s="94" t="s">
        <v>570</v>
      </c>
      <c r="E386" s="95" t="s">
        <v>748</v>
      </c>
      <c r="F386" s="94" t="s">
        <v>293</v>
      </c>
      <c r="G386" s="94" t="s">
        <v>225</v>
      </c>
      <c r="H386" s="94" t="s">
        <v>13</v>
      </c>
      <c r="I386" s="94" t="s">
        <v>219</v>
      </c>
      <c r="J386" s="94"/>
      <c r="K386" s="96">
        <v>25</v>
      </c>
      <c r="L386" s="96">
        <f>K386*VLOOKUP(H386,dagsoorttabel1,2,FALSE)</f>
        <v>15.75</v>
      </c>
      <c r="M386" s="97">
        <f>prodnorm21</f>
        <v>0</v>
      </c>
      <c r="N386" s="41">
        <f>dagwerk21</f>
        <v>0</v>
      </c>
      <c r="O386" s="94" t="s">
        <v>106</v>
      </c>
      <c r="P386" s="26">
        <f>uurtarief21</f>
        <v>0</v>
      </c>
      <c r="Q386" s="96" t="e">
        <f>IF(ISBLANK(M386),0,L386/M386)</f>
        <v>#DIV/0!</v>
      </c>
      <c r="R386" s="96" t="e">
        <f>IF(ISBLANK(M386),0,Q386*N386)</f>
        <v>#DIV/0!</v>
      </c>
      <c r="S386" s="26" t="e">
        <f>P386*Q386</f>
        <v>#DIV/0!</v>
      </c>
      <c r="T386" s="96" t="e">
        <f>Q386*dagenperjaar1</f>
        <v>#DIV/0!</v>
      </c>
      <c r="U386" s="27" t="e">
        <f>T386*P386</f>
        <v>#DIV/0!</v>
      </c>
    </row>
    <row r="387" spans="1:21" x14ac:dyDescent="0.3">
      <c r="A387" s="93" t="s">
        <v>736</v>
      </c>
      <c r="B387" s="94" t="s">
        <v>40</v>
      </c>
      <c r="C387" s="94" t="s">
        <v>419</v>
      </c>
      <c r="D387" s="94" t="s">
        <v>571</v>
      </c>
      <c r="E387" s="95" t="s">
        <v>749</v>
      </c>
      <c r="F387" s="94" t="s">
        <v>293</v>
      </c>
      <c r="G387" s="94" t="s">
        <v>225</v>
      </c>
      <c r="H387" s="94" t="s">
        <v>13</v>
      </c>
      <c r="I387" s="94" t="s">
        <v>219</v>
      </c>
      <c r="J387" s="94"/>
      <c r="K387" s="96">
        <v>30</v>
      </c>
      <c r="L387" s="96">
        <f>K387*VLOOKUP(H387,dagsoorttabel1,2,FALSE)</f>
        <v>18.899999999999999</v>
      </c>
      <c r="M387" s="97">
        <f>prodnorm21</f>
        <v>0</v>
      </c>
      <c r="N387" s="41">
        <f>dagwerk21</f>
        <v>0</v>
      </c>
      <c r="O387" s="94" t="s">
        <v>106</v>
      </c>
      <c r="P387" s="26">
        <f>uurtarief21</f>
        <v>0</v>
      </c>
      <c r="Q387" s="96" t="e">
        <f>IF(ISBLANK(M387),0,L387/M387)</f>
        <v>#DIV/0!</v>
      </c>
      <c r="R387" s="96" t="e">
        <f>IF(ISBLANK(M387),0,Q387*N387)</f>
        <v>#DIV/0!</v>
      </c>
      <c r="S387" s="26" t="e">
        <f>P387*Q387</f>
        <v>#DIV/0!</v>
      </c>
      <c r="T387" s="96" t="e">
        <f>Q387*dagenperjaar1</f>
        <v>#DIV/0!</v>
      </c>
      <c r="U387" s="27" t="e">
        <f>T387*P387</f>
        <v>#DIV/0!</v>
      </c>
    </row>
    <row r="388" spans="1:21" x14ac:dyDescent="0.3">
      <c r="A388" s="93" t="s">
        <v>736</v>
      </c>
      <c r="B388" s="94" t="s">
        <v>40</v>
      </c>
      <c r="C388" s="94" t="s">
        <v>419</v>
      </c>
      <c r="D388" s="94" t="s">
        <v>627</v>
      </c>
      <c r="E388" s="95" t="s">
        <v>338</v>
      </c>
      <c r="F388" s="94" t="s">
        <v>330</v>
      </c>
      <c r="G388" s="94" t="s">
        <v>267</v>
      </c>
      <c r="H388" s="94" t="s">
        <v>13</v>
      </c>
      <c r="I388" s="94" t="s">
        <v>219</v>
      </c>
      <c r="J388" s="94"/>
      <c r="K388" s="96">
        <v>31</v>
      </c>
      <c r="L388" s="96">
        <f>K388*VLOOKUP(H388,dagsoorttabel1,2,FALSE)</f>
        <v>19.53</v>
      </c>
      <c r="M388" s="97">
        <f>prodnorm62</f>
        <v>0</v>
      </c>
      <c r="N388" s="41">
        <f>dagwerk62</f>
        <v>0</v>
      </c>
      <c r="O388" s="94" t="s">
        <v>106</v>
      </c>
      <c r="P388" s="26">
        <f>uurtarief62</f>
        <v>0</v>
      </c>
      <c r="Q388" s="96" t="e">
        <f>IF(ISBLANK(M388),0,L388/M388)</f>
        <v>#DIV/0!</v>
      </c>
      <c r="R388" s="96" t="e">
        <f>IF(ISBLANK(M388),0,Q388*N388)</f>
        <v>#DIV/0!</v>
      </c>
      <c r="S388" s="26" t="e">
        <f>P388*Q388</f>
        <v>#DIV/0!</v>
      </c>
      <c r="T388" s="96" t="e">
        <f>Q388*dagenperjaar1</f>
        <v>#DIV/0!</v>
      </c>
      <c r="U388" s="27" t="e">
        <f>T388*P388</f>
        <v>#DIV/0!</v>
      </c>
    </row>
    <row r="389" spans="1:21" x14ac:dyDescent="0.3">
      <c r="A389" s="93" t="s">
        <v>736</v>
      </c>
      <c r="B389" s="94" t="s">
        <v>40</v>
      </c>
      <c r="C389" s="94" t="s">
        <v>419</v>
      </c>
      <c r="D389" s="94" t="s">
        <v>572</v>
      </c>
      <c r="E389" s="95" t="s">
        <v>315</v>
      </c>
      <c r="F389" s="94" t="s">
        <v>648</v>
      </c>
      <c r="G389" s="94" t="s">
        <v>261</v>
      </c>
      <c r="H389" s="94" t="s">
        <v>13</v>
      </c>
      <c r="I389" s="94" t="s">
        <v>219</v>
      </c>
      <c r="J389" s="94"/>
      <c r="K389" s="96">
        <v>7.5</v>
      </c>
      <c r="L389" s="96">
        <f>K389*VLOOKUP(H389,dagsoorttabel1,2,FALSE)</f>
        <v>4.7249999999999996</v>
      </c>
      <c r="M389" s="97">
        <f>prodnorm55</f>
        <v>0</v>
      </c>
      <c r="N389" s="41">
        <f>dagwerk55</f>
        <v>0</v>
      </c>
      <c r="O389" s="94" t="s">
        <v>106</v>
      </c>
      <c r="P389" s="26">
        <f>uurtarief55</f>
        <v>0</v>
      </c>
      <c r="Q389" s="96" t="e">
        <f>IF(ISBLANK(M389),0,L389/M389)</f>
        <v>#DIV/0!</v>
      </c>
      <c r="R389" s="96" t="e">
        <f>IF(ISBLANK(M389),0,Q389*N389)</f>
        <v>#DIV/0!</v>
      </c>
      <c r="S389" s="26" t="e">
        <f>P389*Q389</f>
        <v>#DIV/0!</v>
      </c>
      <c r="T389" s="96" t="e">
        <f>Q389*dagenperjaar1</f>
        <v>#DIV/0!</v>
      </c>
      <c r="U389" s="27" t="e">
        <f>T389*P389</f>
        <v>#DIV/0!</v>
      </c>
    </row>
    <row r="390" spans="1:21" x14ac:dyDescent="0.3">
      <c r="A390" s="98" t="s">
        <v>736</v>
      </c>
      <c r="B390" s="99" t="s">
        <v>40</v>
      </c>
      <c r="C390" s="99" t="s">
        <v>419</v>
      </c>
      <c r="D390" s="99" t="s">
        <v>573</v>
      </c>
      <c r="E390" s="100" t="s">
        <v>750</v>
      </c>
      <c r="F390" s="99" t="s">
        <v>751</v>
      </c>
      <c r="G390" s="99" t="s">
        <v>267</v>
      </c>
      <c r="H390" s="99" t="s">
        <v>13</v>
      </c>
      <c r="I390" s="99" t="s">
        <v>219</v>
      </c>
      <c r="J390" s="99"/>
      <c r="K390" s="101">
        <v>17</v>
      </c>
      <c r="L390" s="101">
        <f>K390*VLOOKUP(H390,dagsoorttabel1,2,FALSE)</f>
        <v>10.71</v>
      </c>
      <c r="M390" s="102">
        <f>prodnorm62</f>
        <v>0</v>
      </c>
      <c r="N390" s="103">
        <f>dagwerk62</f>
        <v>0</v>
      </c>
      <c r="O390" s="99" t="s">
        <v>106</v>
      </c>
      <c r="P390" s="36">
        <f>uurtarief62</f>
        <v>0</v>
      </c>
      <c r="Q390" s="101" t="e">
        <f>IF(ISBLANK(M390),0,L390/M390)</f>
        <v>#DIV/0!</v>
      </c>
      <c r="R390" s="101" t="e">
        <f>IF(ISBLANK(M390),0,Q390*N390)</f>
        <v>#DIV/0!</v>
      </c>
      <c r="S390" s="36" t="e">
        <f>P390*Q390</f>
        <v>#DIV/0!</v>
      </c>
      <c r="T390" s="101" t="e">
        <f>Q390*dagenperjaar1</f>
        <v>#DIV/0!</v>
      </c>
      <c r="U390" s="37" t="e">
        <f>T390*P390</f>
        <v>#DIV/0!</v>
      </c>
    </row>
    <row r="391" spans="1:21" x14ac:dyDescent="0.3">
      <c r="A391" s="104" t="s">
        <v>510</v>
      </c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8" t="e">
        <f>IF(_xlfn.SINGLE(object5_urenjaar1)&gt;0,_xlfn.SINGLE(object5_prijsjaar1)/_xlfn.SINGLE(object5_urenjaar1),0)</f>
        <v>#DIV/0!</v>
      </c>
      <c r="Q391" s="77" t="e">
        <f>SUM(Q362:Q390)</f>
        <v>#DIV/0!</v>
      </c>
      <c r="R391" s="77" t="e">
        <f>SUM(R362:R390)</f>
        <v>#DIV/0!</v>
      </c>
      <c r="S391" s="78" t="e">
        <f>SUM(S362:S390)</f>
        <v>#DIV/0!</v>
      </c>
      <c r="T391" s="77" t="e">
        <f>SUM(T362:T390)</f>
        <v>#DIV/0!</v>
      </c>
      <c r="U391" s="79" t="e">
        <f>SUM(U362:U390)</f>
        <v>#DIV/0!</v>
      </c>
    </row>
    <row r="392" spans="1:21" x14ac:dyDescent="0.3">
      <c r="A392" s="84" t="s">
        <v>752</v>
      </c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74"/>
    </row>
    <row r="393" spans="1:21" x14ac:dyDescent="0.3">
      <c r="A393" s="85" t="s">
        <v>753</v>
      </c>
      <c r="B393" s="86" t="s">
        <v>40</v>
      </c>
      <c r="C393" s="86" t="s">
        <v>290</v>
      </c>
      <c r="D393" s="86" t="s">
        <v>513</v>
      </c>
      <c r="E393" s="87" t="s">
        <v>754</v>
      </c>
      <c r="F393" s="86" t="s">
        <v>330</v>
      </c>
      <c r="G393" s="86" t="s">
        <v>218</v>
      </c>
      <c r="H393" s="86" t="s">
        <v>11</v>
      </c>
      <c r="I393" s="86" t="s">
        <v>219</v>
      </c>
      <c r="J393" s="86"/>
      <c r="K393" s="88">
        <v>95</v>
      </c>
      <c r="L393" s="88">
        <f>K393*VLOOKUP(H393,dagsoorttabel1,2,FALSE)</f>
        <v>95</v>
      </c>
      <c r="M393" s="89">
        <f>prodnorm16</f>
        <v>0</v>
      </c>
      <c r="N393" s="90">
        <f>dagwerk16</f>
        <v>0</v>
      </c>
      <c r="O393" s="86" t="s">
        <v>106</v>
      </c>
      <c r="P393" s="91">
        <f>uurtarief16</f>
        <v>0</v>
      </c>
      <c r="Q393" s="88" t="e">
        <f>IF(ISBLANK(M393),0,L393/M393)</f>
        <v>#DIV/0!</v>
      </c>
      <c r="R393" s="88" t="e">
        <f>IF(ISBLANK(M393),0,Q393*N393)</f>
        <v>#DIV/0!</v>
      </c>
      <c r="S393" s="91" t="e">
        <f>P393*Q393</f>
        <v>#DIV/0!</v>
      </c>
      <c r="T393" s="88" t="e">
        <f>Q393*dagenperjaar1</f>
        <v>#DIV/0!</v>
      </c>
      <c r="U393" s="92" t="e">
        <f>T393*P393</f>
        <v>#DIV/0!</v>
      </c>
    </row>
    <row r="394" spans="1:21" x14ac:dyDescent="0.3">
      <c r="A394" s="93" t="s">
        <v>753</v>
      </c>
      <c r="B394" s="94" t="s">
        <v>40</v>
      </c>
      <c r="C394" s="94" t="s">
        <v>290</v>
      </c>
      <c r="D394" s="94" t="s">
        <v>514</v>
      </c>
      <c r="E394" s="95" t="s">
        <v>308</v>
      </c>
      <c r="F394" s="94" t="s">
        <v>755</v>
      </c>
      <c r="G394" s="94" t="s">
        <v>223</v>
      </c>
      <c r="H394" s="94" t="s">
        <v>16</v>
      </c>
      <c r="I394" s="94" t="s">
        <v>219</v>
      </c>
      <c r="J394" s="94"/>
      <c r="K394" s="96">
        <v>20</v>
      </c>
      <c r="L394" s="96">
        <f>K394*VLOOKUP(H394,dagsoorttabel1,2,FALSE)</f>
        <v>8</v>
      </c>
      <c r="M394" s="97">
        <f>prodnorm20</f>
        <v>0</v>
      </c>
      <c r="N394" s="41">
        <f>dagwerk20</f>
        <v>0</v>
      </c>
      <c r="O394" s="94" t="s">
        <v>106</v>
      </c>
      <c r="P394" s="26">
        <f>uurtarief20</f>
        <v>0</v>
      </c>
      <c r="Q394" s="96" t="e">
        <f>IF(ISBLANK(M394),0,L394/M394)</f>
        <v>#DIV/0!</v>
      </c>
      <c r="R394" s="96" t="e">
        <f>IF(ISBLANK(M394),0,Q394*N394)</f>
        <v>#DIV/0!</v>
      </c>
      <c r="S394" s="26" t="e">
        <f>P394*Q394</f>
        <v>#DIV/0!</v>
      </c>
      <c r="T394" s="96" t="e">
        <f>Q394*dagenperjaar1</f>
        <v>#DIV/0!</v>
      </c>
      <c r="U394" s="27" t="e">
        <f>T394*P394</f>
        <v>#DIV/0!</v>
      </c>
    </row>
    <row r="395" spans="1:21" x14ac:dyDescent="0.3">
      <c r="A395" s="93" t="s">
        <v>753</v>
      </c>
      <c r="B395" s="94" t="s">
        <v>40</v>
      </c>
      <c r="C395" s="94" t="s">
        <v>290</v>
      </c>
      <c r="D395" s="94" t="s">
        <v>633</v>
      </c>
      <c r="E395" s="95" t="s">
        <v>750</v>
      </c>
      <c r="F395" s="94" t="s">
        <v>755</v>
      </c>
      <c r="G395" s="94" t="s">
        <v>267</v>
      </c>
      <c r="H395" s="94" t="s">
        <v>11</v>
      </c>
      <c r="I395" s="94" t="s">
        <v>219</v>
      </c>
      <c r="J395" s="94"/>
      <c r="K395" s="96">
        <v>17.2</v>
      </c>
      <c r="L395" s="96">
        <f>K395*VLOOKUP(H395,dagsoorttabel1,2,FALSE)</f>
        <v>17.2</v>
      </c>
      <c r="M395" s="97">
        <f>prodnorm63</f>
        <v>0</v>
      </c>
      <c r="N395" s="41">
        <f>dagwerk63</f>
        <v>0</v>
      </c>
      <c r="O395" s="94" t="s">
        <v>106</v>
      </c>
      <c r="P395" s="26">
        <f>uurtarief63</f>
        <v>0</v>
      </c>
      <c r="Q395" s="96" t="e">
        <f>IF(ISBLANK(M395),0,L395/M395)</f>
        <v>#DIV/0!</v>
      </c>
      <c r="R395" s="96" t="e">
        <f>IF(ISBLANK(M395),0,Q395*N395)</f>
        <v>#DIV/0!</v>
      </c>
      <c r="S395" s="26" t="e">
        <f>P395*Q395</f>
        <v>#DIV/0!</v>
      </c>
      <c r="T395" s="96" t="e">
        <f>Q395*dagenperjaar1</f>
        <v>#DIV/0!</v>
      </c>
      <c r="U395" s="27" t="e">
        <f>T395*P395</f>
        <v>#DIV/0!</v>
      </c>
    </row>
    <row r="396" spans="1:21" x14ac:dyDescent="0.3">
      <c r="A396" s="93" t="s">
        <v>753</v>
      </c>
      <c r="B396" s="94" t="s">
        <v>40</v>
      </c>
      <c r="C396" s="94" t="s">
        <v>290</v>
      </c>
      <c r="D396" s="94" t="s">
        <v>756</v>
      </c>
      <c r="E396" s="95" t="s">
        <v>757</v>
      </c>
      <c r="F396" s="94" t="s">
        <v>755</v>
      </c>
      <c r="G396" s="94" t="s">
        <v>241</v>
      </c>
      <c r="H396" s="94" t="s">
        <v>11</v>
      </c>
      <c r="I396" s="94" t="s">
        <v>219</v>
      </c>
      <c r="J396" s="94"/>
      <c r="K396" s="96">
        <v>32</v>
      </c>
      <c r="L396" s="96">
        <f>K396*VLOOKUP(H396,dagsoorttabel1,2,FALSE)</f>
        <v>32</v>
      </c>
      <c r="M396" s="97">
        <f>prodnorm38</f>
        <v>0</v>
      </c>
      <c r="N396" s="41">
        <f>dagwerk38</f>
        <v>0</v>
      </c>
      <c r="O396" s="94" t="s">
        <v>106</v>
      </c>
      <c r="P396" s="26">
        <f>uurtarief38</f>
        <v>0</v>
      </c>
      <c r="Q396" s="96" t="e">
        <f>IF(ISBLANK(M396),0,L396/M396)</f>
        <v>#DIV/0!</v>
      </c>
      <c r="R396" s="96" t="e">
        <f>IF(ISBLANK(M396),0,Q396*N396)</f>
        <v>#DIV/0!</v>
      </c>
      <c r="S396" s="26" t="e">
        <f>P396*Q396</f>
        <v>#DIV/0!</v>
      </c>
      <c r="T396" s="96" t="e">
        <f>Q396*dagenperjaar1</f>
        <v>#DIV/0!</v>
      </c>
      <c r="U396" s="27" t="e">
        <f>T396*P396</f>
        <v>#DIV/0!</v>
      </c>
    </row>
    <row r="397" spans="1:21" x14ac:dyDescent="0.3">
      <c r="A397" s="93" t="s">
        <v>753</v>
      </c>
      <c r="B397" s="94" t="s">
        <v>40</v>
      </c>
      <c r="C397" s="94" t="s">
        <v>290</v>
      </c>
      <c r="D397" s="94" t="s">
        <v>758</v>
      </c>
      <c r="E397" s="95" t="s">
        <v>757</v>
      </c>
      <c r="F397" s="94" t="s">
        <v>755</v>
      </c>
      <c r="G397" s="94" t="s">
        <v>241</v>
      </c>
      <c r="H397" s="94" t="s">
        <v>11</v>
      </c>
      <c r="I397" s="94" t="s">
        <v>219</v>
      </c>
      <c r="J397" s="94"/>
      <c r="K397" s="96">
        <v>45.3</v>
      </c>
      <c r="L397" s="96">
        <f>K397*VLOOKUP(H397,dagsoorttabel1,2,FALSE)</f>
        <v>45.3</v>
      </c>
      <c r="M397" s="97">
        <f>prodnorm38</f>
        <v>0</v>
      </c>
      <c r="N397" s="41">
        <f>dagwerk38</f>
        <v>0</v>
      </c>
      <c r="O397" s="94" t="s">
        <v>106</v>
      </c>
      <c r="P397" s="26">
        <f>uurtarief38</f>
        <v>0</v>
      </c>
      <c r="Q397" s="96" t="e">
        <f>IF(ISBLANK(M397),0,L397/M397)</f>
        <v>#DIV/0!</v>
      </c>
      <c r="R397" s="96" t="e">
        <f>IF(ISBLANK(M397),0,Q397*N397)</f>
        <v>#DIV/0!</v>
      </c>
      <c r="S397" s="26" t="e">
        <f>P397*Q397</f>
        <v>#DIV/0!</v>
      </c>
      <c r="T397" s="96" t="e">
        <f>Q397*dagenperjaar1</f>
        <v>#DIV/0!</v>
      </c>
      <c r="U397" s="27" t="e">
        <f>T397*P397</f>
        <v>#DIV/0!</v>
      </c>
    </row>
    <row r="398" spans="1:21" x14ac:dyDescent="0.3">
      <c r="A398" s="93" t="s">
        <v>753</v>
      </c>
      <c r="B398" s="94" t="s">
        <v>40</v>
      </c>
      <c r="C398" s="94" t="s">
        <v>290</v>
      </c>
      <c r="D398" s="94" t="s">
        <v>759</v>
      </c>
      <c r="E398" s="95" t="s">
        <v>760</v>
      </c>
      <c r="F398" s="94" t="s">
        <v>755</v>
      </c>
      <c r="G398" s="94" t="s">
        <v>223</v>
      </c>
      <c r="H398" s="94" t="s">
        <v>16</v>
      </c>
      <c r="I398" s="94" t="s">
        <v>219</v>
      </c>
      <c r="J398" s="94"/>
      <c r="K398" s="96">
        <v>8</v>
      </c>
      <c r="L398" s="96">
        <f>K398*VLOOKUP(H398,dagsoorttabel1,2,FALSE)</f>
        <v>3.2</v>
      </c>
      <c r="M398" s="97">
        <f>prodnorm20</f>
        <v>0</v>
      </c>
      <c r="N398" s="41">
        <f>dagwerk20</f>
        <v>0</v>
      </c>
      <c r="O398" s="94" t="s">
        <v>106</v>
      </c>
      <c r="P398" s="26">
        <f>uurtarief20</f>
        <v>0</v>
      </c>
      <c r="Q398" s="96" t="e">
        <f>IF(ISBLANK(M398),0,L398/M398)</f>
        <v>#DIV/0!</v>
      </c>
      <c r="R398" s="96" t="e">
        <f>IF(ISBLANK(M398),0,Q398*N398)</f>
        <v>#DIV/0!</v>
      </c>
      <c r="S398" s="26" t="e">
        <f>P398*Q398</f>
        <v>#DIV/0!</v>
      </c>
      <c r="T398" s="96" t="e">
        <f>Q398*dagenperjaar1</f>
        <v>#DIV/0!</v>
      </c>
      <c r="U398" s="27" t="e">
        <f>T398*P398</f>
        <v>#DIV/0!</v>
      </c>
    </row>
    <row r="399" spans="1:21" x14ac:dyDescent="0.3">
      <c r="A399" s="93" t="s">
        <v>753</v>
      </c>
      <c r="B399" s="94" t="s">
        <v>40</v>
      </c>
      <c r="C399" s="94" t="s">
        <v>290</v>
      </c>
      <c r="D399" s="94" t="s">
        <v>761</v>
      </c>
      <c r="E399" s="95" t="s">
        <v>760</v>
      </c>
      <c r="F399" s="94" t="s">
        <v>755</v>
      </c>
      <c r="G399" s="94" t="s">
        <v>223</v>
      </c>
      <c r="H399" s="94" t="s">
        <v>16</v>
      </c>
      <c r="I399" s="94" t="s">
        <v>219</v>
      </c>
      <c r="J399" s="94"/>
      <c r="K399" s="96">
        <v>10.4</v>
      </c>
      <c r="L399" s="96">
        <f>K399*VLOOKUP(H399,dagsoorttabel1,2,FALSE)</f>
        <v>4.16</v>
      </c>
      <c r="M399" s="97">
        <f>prodnorm20</f>
        <v>0</v>
      </c>
      <c r="N399" s="41">
        <f>dagwerk20</f>
        <v>0</v>
      </c>
      <c r="O399" s="94" t="s">
        <v>106</v>
      </c>
      <c r="P399" s="26">
        <f>uurtarief20</f>
        <v>0</v>
      </c>
      <c r="Q399" s="96" t="e">
        <f>IF(ISBLANK(M399),0,L399/M399)</f>
        <v>#DIV/0!</v>
      </c>
      <c r="R399" s="96" t="e">
        <f>IF(ISBLANK(M399),0,Q399*N399)</f>
        <v>#DIV/0!</v>
      </c>
      <c r="S399" s="26" t="e">
        <f>P399*Q399</f>
        <v>#DIV/0!</v>
      </c>
      <c r="T399" s="96" t="e">
        <f>Q399*dagenperjaar1</f>
        <v>#DIV/0!</v>
      </c>
      <c r="U399" s="27" t="e">
        <f>T399*P399</f>
        <v>#DIV/0!</v>
      </c>
    </row>
    <row r="400" spans="1:21" x14ac:dyDescent="0.3">
      <c r="A400" s="93" t="s">
        <v>753</v>
      </c>
      <c r="B400" s="94" t="s">
        <v>40</v>
      </c>
      <c r="C400" s="94" t="s">
        <v>290</v>
      </c>
      <c r="D400" s="94" t="s">
        <v>762</v>
      </c>
      <c r="E400" s="95" t="s">
        <v>757</v>
      </c>
      <c r="F400" s="94" t="s">
        <v>755</v>
      </c>
      <c r="G400" s="94" t="s">
        <v>241</v>
      </c>
      <c r="H400" s="94" t="s">
        <v>11</v>
      </c>
      <c r="I400" s="94" t="s">
        <v>219</v>
      </c>
      <c r="J400" s="94"/>
      <c r="K400" s="96">
        <v>27</v>
      </c>
      <c r="L400" s="96">
        <f>K400*VLOOKUP(H400,dagsoorttabel1,2,FALSE)</f>
        <v>27</v>
      </c>
      <c r="M400" s="97">
        <f>prodnorm38</f>
        <v>0</v>
      </c>
      <c r="N400" s="41">
        <f>dagwerk38</f>
        <v>0</v>
      </c>
      <c r="O400" s="94" t="s">
        <v>106</v>
      </c>
      <c r="P400" s="26">
        <f>uurtarief38</f>
        <v>0</v>
      </c>
      <c r="Q400" s="96" t="e">
        <f>IF(ISBLANK(M400),0,L400/M400)</f>
        <v>#DIV/0!</v>
      </c>
      <c r="R400" s="96" t="e">
        <f>IF(ISBLANK(M400),0,Q400*N400)</f>
        <v>#DIV/0!</v>
      </c>
      <c r="S400" s="26" t="e">
        <f>P400*Q400</f>
        <v>#DIV/0!</v>
      </c>
      <c r="T400" s="96" t="e">
        <f>Q400*dagenperjaar1</f>
        <v>#DIV/0!</v>
      </c>
      <c r="U400" s="27" t="e">
        <f>T400*P400</f>
        <v>#DIV/0!</v>
      </c>
    </row>
    <row r="401" spans="1:21" x14ac:dyDescent="0.3">
      <c r="A401" s="93" t="s">
        <v>753</v>
      </c>
      <c r="B401" s="94" t="s">
        <v>40</v>
      </c>
      <c r="C401" s="94" t="s">
        <v>290</v>
      </c>
      <c r="D401" s="94" t="s">
        <v>763</v>
      </c>
      <c r="E401" s="95" t="s">
        <v>764</v>
      </c>
      <c r="F401" s="94" t="s">
        <v>755</v>
      </c>
      <c r="G401" s="94" t="s">
        <v>223</v>
      </c>
      <c r="H401" s="94" t="s">
        <v>16</v>
      </c>
      <c r="I401" s="94" t="s">
        <v>219</v>
      </c>
      <c r="J401" s="94"/>
      <c r="K401" s="96">
        <v>8</v>
      </c>
      <c r="L401" s="96">
        <f>K401*VLOOKUP(H401,dagsoorttabel1,2,FALSE)</f>
        <v>3.2</v>
      </c>
      <c r="M401" s="97">
        <f>prodnorm20</f>
        <v>0</v>
      </c>
      <c r="N401" s="41">
        <f>dagwerk20</f>
        <v>0</v>
      </c>
      <c r="O401" s="94" t="s">
        <v>106</v>
      </c>
      <c r="P401" s="26">
        <f>uurtarief20</f>
        <v>0</v>
      </c>
      <c r="Q401" s="96" t="e">
        <f>IF(ISBLANK(M401),0,L401/M401)</f>
        <v>#DIV/0!</v>
      </c>
      <c r="R401" s="96" t="e">
        <f>IF(ISBLANK(M401),0,Q401*N401)</f>
        <v>#DIV/0!</v>
      </c>
      <c r="S401" s="26" t="e">
        <f>P401*Q401</f>
        <v>#DIV/0!</v>
      </c>
      <c r="T401" s="96" t="e">
        <f>Q401*dagenperjaar1</f>
        <v>#DIV/0!</v>
      </c>
      <c r="U401" s="27" t="e">
        <f>T401*P401</f>
        <v>#DIV/0!</v>
      </c>
    </row>
    <row r="402" spans="1:21" x14ac:dyDescent="0.3">
      <c r="A402" s="93" t="s">
        <v>753</v>
      </c>
      <c r="B402" s="94" t="s">
        <v>40</v>
      </c>
      <c r="C402" s="94" t="s">
        <v>290</v>
      </c>
      <c r="D402" s="94" t="s">
        <v>765</v>
      </c>
      <c r="E402" s="95" t="s">
        <v>766</v>
      </c>
      <c r="F402" s="94" t="s">
        <v>755</v>
      </c>
      <c r="G402" s="94" t="s">
        <v>223</v>
      </c>
      <c r="H402" s="94" t="s">
        <v>16</v>
      </c>
      <c r="I402" s="94" t="s">
        <v>219</v>
      </c>
      <c r="J402" s="94"/>
      <c r="K402" s="96">
        <v>7.5</v>
      </c>
      <c r="L402" s="96">
        <f>K402*VLOOKUP(H402,dagsoorttabel1,2,FALSE)</f>
        <v>3</v>
      </c>
      <c r="M402" s="97">
        <f>prodnorm20</f>
        <v>0</v>
      </c>
      <c r="N402" s="41">
        <f>dagwerk20</f>
        <v>0</v>
      </c>
      <c r="O402" s="94" t="s">
        <v>106</v>
      </c>
      <c r="P402" s="26">
        <f>uurtarief20</f>
        <v>0</v>
      </c>
      <c r="Q402" s="96" t="e">
        <f>IF(ISBLANK(M402),0,L402/M402)</f>
        <v>#DIV/0!</v>
      </c>
      <c r="R402" s="96" t="e">
        <f>IF(ISBLANK(M402),0,Q402*N402)</f>
        <v>#DIV/0!</v>
      </c>
      <c r="S402" s="26" t="e">
        <f>P402*Q402</f>
        <v>#DIV/0!</v>
      </c>
      <c r="T402" s="96" t="e">
        <f>Q402*dagenperjaar1</f>
        <v>#DIV/0!</v>
      </c>
      <c r="U402" s="27" t="e">
        <f>T402*P402</f>
        <v>#DIV/0!</v>
      </c>
    </row>
    <row r="403" spans="1:21" x14ac:dyDescent="0.3">
      <c r="A403" s="93" t="s">
        <v>753</v>
      </c>
      <c r="B403" s="94" t="s">
        <v>40</v>
      </c>
      <c r="C403" s="94" t="s">
        <v>290</v>
      </c>
      <c r="D403" s="94" t="s">
        <v>517</v>
      </c>
      <c r="E403" s="95" t="s">
        <v>767</v>
      </c>
      <c r="F403" s="94" t="s">
        <v>293</v>
      </c>
      <c r="G403" s="94" t="s">
        <v>218</v>
      </c>
      <c r="H403" s="94" t="s">
        <v>11</v>
      </c>
      <c r="I403" s="94" t="s">
        <v>219</v>
      </c>
      <c r="J403" s="94"/>
      <c r="K403" s="96">
        <v>137.5</v>
      </c>
      <c r="L403" s="96">
        <f>K403*VLOOKUP(H403,dagsoorttabel1,2,FALSE)</f>
        <v>137.5</v>
      </c>
      <c r="M403" s="97">
        <f>prodnorm16</f>
        <v>0</v>
      </c>
      <c r="N403" s="41">
        <f>dagwerk16</f>
        <v>0</v>
      </c>
      <c r="O403" s="94" t="s">
        <v>106</v>
      </c>
      <c r="P403" s="26">
        <f>uurtarief16</f>
        <v>0</v>
      </c>
      <c r="Q403" s="96" t="e">
        <f>IF(ISBLANK(M403),0,L403/M403)</f>
        <v>#DIV/0!</v>
      </c>
      <c r="R403" s="96" t="e">
        <f>IF(ISBLANK(M403),0,Q403*N403)</f>
        <v>#DIV/0!</v>
      </c>
      <c r="S403" s="26" t="e">
        <f>P403*Q403</f>
        <v>#DIV/0!</v>
      </c>
      <c r="T403" s="96" t="e">
        <f>Q403*dagenperjaar1</f>
        <v>#DIV/0!</v>
      </c>
      <c r="U403" s="27" t="e">
        <f>T403*P403</f>
        <v>#DIV/0!</v>
      </c>
    </row>
    <row r="404" spans="1:21" x14ac:dyDescent="0.3">
      <c r="A404" s="93" t="s">
        <v>753</v>
      </c>
      <c r="B404" s="94" t="s">
        <v>40</v>
      </c>
      <c r="C404" s="94" t="s">
        <v>290</v>
      </c>
      <c r="D404" s="94" t="s">
        <v>521</v>
      </c>
      <c r="E404" s="95" t="s">
        <v>301</v>
      </c>
      <c r="F404" s="94" t="s">
        <v>316</v>
      </c>
      <c r="G404" s="94" t="s">
        <v>253</v>
      </c>
      <c r="H404" s="94" t="s">
        <v>11</v>
      </c>
      <c r="I404" s="94" t="s">
        <v>219</v>
      </c>
      <c r="J404" s="94"/>
      <c r="K404" s="96">
        <v>65.8</v>
      </c>
      <c r="L404" s="96">
        <f>K404*VLOOKUP(H404,dagsoorttabel1,2,FALSE)</f>
        <v>65.8</v>
      </c>
      <c r="M404" s="97">
        <f>prodnorm49</f>
        <v>0</v>
      </c>
      <c r="N404" s="41">
        <f>dagwerk49</f>
        <v>0</v>
      </c>
      <c r="O404" s="94" t="s">
        <v>106</v>
      </c>
      <c r="P404" s="26">
        <f>uurtarief49</f>
        <v>0</v>
      </c>
      <c r="Q404" s="96" t="e">
        <f>IF(ISBLANK(M404),0,L404/M404)</f>
        <v>#DIV/0!</v>
      </c>
      <c r="R404" s="96" t="e">
        <f>IF(ISBLANK(M404),0,Q404*N404)</f>
        <v>#DIV/0!</v>
      </c>
      <c r="S404" s="26" t="e">
        <f>P404*Q404</f>
        <v>#DIV/0!</v>
      </c>
      <c r="T404" s="96" t="e">
        <f>Q404*dagenperjaar1</f>
        <v>#DIV/0!</v>
      </c>
      <c r="U404" s="27" t="e">
        <f>T404*P404</f>
        <v>#DIV/0!</v>
      </c>
    </row>
    <row r="405" spans="1:21" x14ac:dyDescent="0.3">
      <c r="A405" s="93" t="s">
        <v>753</v>
      </c>
      <c r="B405" s="94" t="s">
        <v>40</v>
      </c>
      <c r="C405" s="94" t="s">
        <v>290</v>
      </c>
      <c r="D405" s="94" t="s">
        <v>523</v>
      </c>
      <c r="E405" s="95" t="s">
        <v>768</v>
      </c>
      <c r="F405" s="94" t="s">
        <v>316</v>
      </c>
      <c r="G405" s="94" t="s">
        <v>253</v>
      </c>
      <c r="H405" s="94" t="s">
        <v>18</v>
      </c>
      <c r="I405" s="94" t="s">
        <v>219</v>
      </c>
      <c r="J405" s="94"/>
      <c r="K405" s="96">
        <v>440</v>
      </c>
      <c r="L405" s="96">
        <f>K405*VLOOKUP(H405,dagsoorttabel1,2,FALSE)</f>
        <v>88</v>
      </c>
      <c r="M405" s="97">
        <f>prodnorm50</f>
        <v>0</v>
      </c>
      <c r="N405" s="41">
        <f>dagwerk50</f>
        <v>0</v>
      </c>
      <c r="O405" s="94" t="s">
        <v>106</v>
      </c>
      <c r="P405" s="26">
        <f>uurtarief50</f>
        <v>0</v>
      </c>
      <c r="Q405" s="96" t="e">
        <f>IF(ISBLANK(M405),0,L405/M405)</f>
        <v>#DIV/0!</v>
      </c>
      <c r="R405" s="96" t="e">
        <f>IF(ISBLANK(M405),0,Q405*N405)</f>
        <v>#DIV/0!</v>
      </c>
      <c r="S405" s="26" t="e">
        <f>P405*Q405</f>
        <v>#DIV/0!</v>
      </c>
      <c r="T405" s="96" t="e">
        <f>Q405*dagenperjaar1</f>
        <v>#DIV/0!</v>
      </c>
      <c r="U405" s="27" t="e">
        <f>T405*P405</f>
        <v>#DIV/0!</v>
      </c>
    </row>
    <row r="406" spans="1:21" x14ac:dyDescent="0.3">
      <c r="A406" s="93" t="s">
        <v>753</v>
      </c>
      <c r="B406" s="94" t="s">
        <v>40</v>
      </c>
      <c r="C406" s="94" t="s">
        <v>290</v>
      </c>
      <c r="D406" s="94" t="s">
        <v>769</v>
      </c>
      <c r="E406" s="95" t="s">
        <v>301</v>
      </c>
      <c r="F406" s="94" t="s">
        <v>316</v>
      </c>
      <c r="G406" s="94" t="s">
        <v>253</v>
      </c>
      <c r="H406" s="94" t="s">
        <v>11</v>
      </c>
      <c r="I406" s="94" t="s">
        <v>219</v>
      </c>
      <c r="J406" s="94"/>
      <c r="K406" s="96">
        <v>45</v>
      </c>
      <c r="L406" s="96">
        <f>K406*VLOOKUP(H406,dagsoorttabel1,2,FALSE)</f>
        <v>45</v>
      </c>
      <c r="M406" s="97">
        <f>prodnorm49</f>
        <v>0</v>
      </c>
      <c r="N406" s="41">
        <f>dagwerk49</f>
        <v>0</v>
      </c>
      <c r="O406" s="94" t="s">
        <v>106</v>
      </c>
      <c r="P406" s="26">
        <f>uurtarief49</f>
        <v>0</v>
      </c>
      <c r="Q406" s="96" t="e">
        <f>IF(ISBLANK(M406),0,L406/M406)</f>
        <v>#DIV/0!</v>
      </c>
      <c r="R406" s="96" t="e">
        <f>IF(ISBLANK(M406),0,Q406*N406)</f>
        <v>#DIV/0!</v>
      </c>
      <c r="S406" s="26" t="e">
        <f>P406*Q406</f>
        <v>#DIV/0!</v>
      </c>
      <c r="T406" s="96" t="e">
        <f>Q406*dagenperjaar1</f>
        <v>#DIV/0!</v>
      </c>
      <c r="U406" s="27" t="e">
        <f>T406*P406</f>
        <v>#DIV/0!</v>
      </c>
    </row>
    <row r="407" spans="1:21" x14ac:dyDescent="0.3">
      <c r="A407" s="93" t="s">
        <v>753</v>
      </c>
      <c r="B407" s="94" t="s">
        <v>40</v>
      </c>
      <c r="C407" s="94" t="s">
        <v>290</v>
      </c>
      <c r="D407" s="94" t="s">
        <v>770</v>
      </c>
      <c r="E407" s="95" t="s">
        <v>308</v>
      </c>
      <c r="F407" s="94" t="s">
        <v>296</v>
      </c>
      <c r="G407" s="94" t="s">
        <v>223</v>
      </c>
      <c r="H407" s="94" t="s">
        <v>16</v>
      </c>
      <c r="I407" s="94" t="s">
        <v>219</v>
      </c>
      <c r="J407" s="94"/>
      <c r="K407" s="96">
        <v>22.4</v>
      </c>
      <c r="L407" s="96">
        <f>K407*VLOOKUP(H407,dagsoorttabel1,2,FALSE)</f>
        <v>8.9599999999999991</v>
      </c>
      <c r="M407" s="97">
        <f>prodnorm20</f>
        <v>0</v>
      </c>
      <c r="N407" s="41">
        <f>dagwerk20</f>
        <v>0</v>
      </c>
      <c r="O407" s="94" t="s">
        <v>106</v>
      </c>
      <c r="P407" s="26">
        <f>uurtarief20</f>
        <v>0</v>
      </c>
      <c r="Q407" s="96" t="e">
        <f>IF(ISBLANK(M407),0,L407/M407)</f>
        <v>#DIV/0!</v>
      </c>
      <c r="R407" s="96" t="e">
        <f>IF(ISBLANK(M407),0,Q407*N407)</f>
        <v>#DIV/0!</v>
      </c>
      <c r="S407" s="26" t="e">
        <f>P407*Q407</f>
        <v>#DIV/0!</v>
      </c>
      <c r="T407" s="96" t="e">
        <f>Q407*dagenperjaar1</f>
        <v>#DIV/0!</v>
      </c>
      <c r="U407" s="27" t="e">
        <f>T407*P407</f>
        <v>#DIV/0!</v>
      </c>
    </row>
    <row r="408" spans="1:21" x14ac:dyDescent="0.3">
      <c r="A408" s="93" t="s">
        <v>753</v>
      </c>
      <c r="B408" s="94" t="s">
        <v>40</v>
      </c>
      <c r="C408" s="94" t="s">
        <v>290</v>
      </c>
      <c r="D408" s="94" t="s">
        <v>524</v>
      </c>
      <c r="E408" s="95" t="s">
        <v>301</v>
      </c>
      <c r="F408" s="94" t="s">
        <v>316</v>
      </c>
      <c r="G408" s="94" t="s">
        <v>241</v>
      </c>
      <c r="H408" s="94" t="s">
        <v>11</v>
      </c>
      <c r="I408" s="94" t="s">
        <v>219</v>
      </c>
      <c r="J408" s="94"/>
      <c r="K408" s="96">
        <v>45.6</v>
      </c>
      <c r="L408" s="96">
        <f>K408*VLOOKUP(H408,dagsoorttabel1,2,FALSE)</f>
        <v>45.6</v>
      </c>
      <c r="M408" s="97">
        <f>prodnorm38</f>
        <v>0</v>
      </c>
      <c r="N408" s="41">
        <f>dagwerk38</f>
        <v>0</v>
      </c>
      <c r="O408" s="94" t="s">
        <v>106</v>
      </c>
      <c r="P408" s="26">
        <f>uurtarief38</f>
        <v>0</v>
      </c>
      <c r="Q408" s="96" t="e">
        <f>IF(ISBLANK(M408),0,L408/M408)</f>
        <v>#DIV/0!</v>
      </c>
      <c r="R408" s="96" t="e">
        <f>IF(ISBLANK(M408),0,Q408*N408)</f>
        <v>#DIV/0!</v>
      </c>
      <c r="S408" s="26" t="e">
        <f>P408*Q408</f>
        <v>#DIV/0!</v>
      </c>
      <c r="T408" s="96" t="e">
        <f>Q408*dagenperjaar1</f>
        <v>#DIV/0!</v>
      </c>
      <c r="U408" s="27" t="e">
        <f>T408*P408</f>
        <v>#DIV/0!</v>
      </c>
    </row>
    <row r="409" spans="1:21" x14ac:dyDescent="0.3">
      <c r="A409" s="93" t="s">
        <v>753</v>
      </c>
      <c r="B409" s="94" t="s">
        <v>40</v>
      </c>
      <c r="C409" s="94" t="s">
        <v>290</v>
      </c>
      <c r="D409" s="94" t="s">
        <v>620</v>
      </c>
      <c r="E409" s="95" t="s">
        <v>771</v>
      </c>
      <c r="F409" s="94" t="s">
        <v>772</v>
      </c>
      <c r="G409" s="94" t="s">
        <v>241</v>
      </c>
      <c r="H409" s="94" t="s">
        <v>11</v>
      </c>
      <c r="I409" s="94" t="s">
        <v>219</v>
      </c>
      <c r="J409" s="94"/>
      <c r="K409" s="96">
        <v>334.5</v>
      </c>
      <c r="L409" s="96">
        <f>K409*VLOOKUP(H409,dagsoorttabel1,2,FALSE)</f>
        <v>334.5</v>
      </c>
      <c r="M409" s="97">
        <f>prodnorm38</f>
        <v>0</v>
      </c>
      <c r="N409" s="41">
        <f>dagwerk38</f>
        <v>0</v>
      </c>
      <c r="O409" s="94" t="s">
        <v>106</v>
      </c>
      <c r="P409" s="26">
        <f>uurtarief38</f>
        <v>0</v>
      </c>
      <c r="Q409" s="96" t="e">
        <f>IF(ISBLANK(M409),0,L409/M409)</f>
        <v>#DIV/0!</v>
      </c>
      <c r="R409" s="96" t="e">
        <f>IF(ISBLANK(M409),0,Q409*N409)</f>
        <v>#DIV/0!</v>
      </c>
      <c r="S409" s="26" t="e">
        <f>P409*Q409</f>
        <v>#DIV/0!</v>
      </c>
      <c r="T409" s="96" t="e">
        <f>Q409*dagenperjaar1</f>
        <v>#DIV/0!</v>
      </c>
      <c r="U409" s="27" t="e">
        <f>T409*P409</f>
        <v>#DIV/0!</v>
      </c>
    </row>
    <row r="410" spans="1:21" x14ac:dyDescent="0.3">
      <c r="A410" s="93" t="s">
        <v>753</v>
      </c>
      <c r="B410" s="94" t="s">
        <v>40</v>
      </c>
      <c r="C410" s="94" t="s">
        <v>290</v>
      </c>
      <c r="D410" s="94" t="s">
        <v>773</v>
      </c>
      <c r="E410" s="95" t="s">
        <v>750</v>
      </c>
      <c r="F410" s="94" t="s">
        <v>772</v>
      </c>
      <c r="G410" s="94" t="s">
        <v>267</v>
      </c>
      <c r="H410" s="94" t="s">
        <v>11</v>
      </c>
      <c r="I410" s="94" t="s">
        <v>219</v>
      </c>
      <c r="J410" s="94"/>
      <c r="K410" s="96">
        <v>23</v>
      </c>
      <c r="L410" s="96">
        <f>K410*VLOOKUP(H410,dagsoorttabel1,2,FALSE)</f>
        <v>23</v>
      </c>
      <c r="M410" s="97">
        <f>prodnorm63</f>
        <v>0</v>
      </c>
      <c r="N410" s="41">
        <f>dagwerk63</f>
        <v>0</v>
      </c>
      <c r="O410" s="94" t="s">
        <v>106</v>
      </c>
      <c r="P410" s="26">
        <f>uurtarief63</f>
        <v>0</v>
      </c>
      <c r="Q410" s="96" t="e">
        <f>IF(ISBLANK(M410),0,L410/M410)</f>
        <v>#DIV/0!</v>
      </c>
      <c r="R410" s="96" t="e">
        <f>IF(ISBLANK(M410),0,Q410*N410)</f>
        <v>#DIV/0!</v>
      </c>
      <c r="S410" s="26" t="e">
        <f>P410*Q410</f>
        <v>#DIV/0!</v>
      </c>
      <c r="T410" s="96" t="e">
        <f>Q410*dagenperjaar1</f>
        <v>#DIV/0!</v>
      </c>
      <c r="U410" s="27" t="e">
        <f>T410*P410</f>
        <v>#DIV/0!</v>
      </c>
    </row>
    <row r="411" spans="1:21" x14ac:dyDescent="0.3">
      <c r="A411" s="93" t="s">
        <v>753</v>
      </c>
      <c r="B411" s="94" t="s">
        <v>40</v>
      </c>
      <c r="C411" s="94" t="s">
        <v>290</v>
      </c>
      <c r="D411" s="94" t="s">
        <v>774</v>
      </c>
      <c r="E411" s="95" t="s">
        <v>775</v>
      </c>
      <c r="F411" s="94" t="s">
        <v>772</v>
      </c>
      <c r="G411" s="94" t="s">
        <v>267</v>
      </c>
      <c r="H411" s="94" t="s">
        <v>11</v>
      </c>
      <c r="I411" s="94" t="s">
        <v>219</v>
      </c>
      <c r="J411" s="94"/>
      <c r="K411" s="96">
        <v>11.1</v>
      </c>
      <c r="L411" s="96">
        <f>K411*VLOOKUP(H411,dagsoorttabel1,2,FALSE)</f>
        <v>11.1</v>
      </c>
      <c r="M411" s="97">
        <f>prodnorm63</f>
        <v>0</v>
      </c>
      <c r="N411" s="41">
        <f>dagwerk63</f>
        <v>0</v>
      </c>
      <c r="O411" s="94" t="s">
        <v>106</v>
      </c>
      <c r="P411" s="26">
        <f>uurtarief63</f>
        <v>0</v>
      </c>
      <c r="Q411" s="96" t="e">
        <f>IF(ISBLANK(M411),0,L411/M411)</f>
        <v>#DIV/0!</v>
      </c>
      <c r="R411" s="96" t="e">
        <f>IF(ISBLANK(M411),0,Q411*N411)</f>
        <v>#DIV/0!</v>
      </c>
      <c r="S411" s="26" t="e">
        <f>P411*Q411</f>
        <v>#DIV/0!</v>
      </c>
      <c r="T411" s="96" t="e">
        <f>Q411*dagenperjaar1</f>
        <v>#DIV/0!</v>
      </c>
      <c r="U411" s="27" t="e">
        <f>T411*P411</f>
        <v>#DIV/0!</v>
      </c>
    </row>
    <row r="412" spans="1:21" x14ac:dyDescent="0.3">
      <c r="A412" s="93" t="s">
        <v>753</v>
      </c>
      <c r="B412" s="94" t="s">
        <v>40</v>
      </c>
      <c r="C412" s="94" t="s">
        <v>290</v>
      </c>
      <c r="D412" s="94" t="s">
        <v>776</v>
      </c>
      <c r="E412" s="95" t="s">
        <v>549</v>
      </c>
      <c r="F412" s="94" t="s">
        <v>330</v>
      </c>
      <c r="G412" s="94" t="s">
        <v>251</v>
      </c>
      <c r="H412" s="94" t="s">
        <v>11</v>
      </c>
      <c r="I412" s="94" t="s">
        <v>219</v>
      </c>
      <c r="J412" s="94"/>
      <c r="K412" s="96">
        <v>26.5</v>
      </c>
      <c r="L412" s="96">
        <f>K412*VLOOKUP(H412,dagsoorttabel1,2,FALSE)</f>
        <v>26.5</v>
      </c>
      <c r="M412" s="97">
        <f>prodnorm48</f>
        <v>0</v>
      </c>
      <c r="N412" s="41">
        <f>dagwerk48</f>
        <v>0</v>
      </c>
      <c r="O412" s="94" t="s">
        <v>106</v>
      </c>
      <c r="P412" s="26">
        <f>uurtarief48</f>
        <v>0</v>
      </c>
      <c r="Q412" s="96" t="e">
        <f>IF(ISBLANK(M412),0,L412/M412)</f>
        <v>#DIV/0!</v>
      </c>
      <c r="R412" s="96" t="e">
        <f>IF(ISBLANK(M412),0,Q412*N412)</f>
        <v>#DIV/0!</v>
      </c>
      <c r="S412" s="26" t="e">
        <f>P412*Q412</f>
        <v>#DIV/0!</v>
      </c>
      <c r="T412" s="96" t="e">
        <f>Q412*dagenperjaar1</f>
        <v>#DIV/0!</v>
      </c>
      <c r="U412" s="27" t="e">
        <f>T412*P412</f>
        <v>#DIV/0!</v>
      </c>
    </row>
    <row r="413" spans="1:21" x14ac:dyDescent="0.3">
      <c r="A413" s="93" t="s">
        <v>753</v>
      </c>
      <c r="B413" s="94" t="s">
        <v>40</v>
      </c>
      <c r="C413" s="94" t="s">
        <v>290</v>
      </c>
      <c r="D413" s="94" t="s">
        <v>777</v>
      </c>
      <c r="E413" s="95" t="s">
        <v>778</v>
      </c>
      <c r="F413" s="94" t="s">
        <v>772</v>
      </c>
      <c r="G413" s="94" t="s">
        <v>257</v>
      </c>
      <c r="H413" s="94" t="s">
        <v>11</v>
      </c>
      <c r="I413" s="94" t="s">
        <v>219</v>
      </c>
      <c r="J413" s="94"/>
      <c r="K413" s="96">
        <v>19.100000000000001</v>
      </c>
      <c r="L413" s="96">
        <f>K413*VLOOKUP(H413,dagsoorttabel1,2,FALSE)</f>
        <v>19.100000000000001</v>
      </c>
      <c r="M413" s="97">
        <f>prodnorm52</f>
        <v>0</v>
      </c>
      <c r="N413" s="41">
        <f>dagwerk52</f>
        <v>0</v>
      </c>
      <c r="O413" s="94" t="s">
        <v>106</v>
      </c>
      <c r="P413" s="26">
        <f>uurtarief52</f>
        <v>0</v>
      </c>
      <c r="Q413" s="96" t="e">
        <f>IF(ISBLANK(M413),0,L413/M413)</f>
        <v>#DIV/0!</v>
      </c>
      <c r="R413" s="96" t="e">
        <f>IF(ISBLANK(M413),0,Q413*N413)</f>
        <v>#DIV/0!</v>
      </c>
      <c r="S413" s="26" t="e">
        <f>P413*Q413</f>
        <v>#DIV/0!</v>
      </c>
      <c r="T413" s="96" t="e">
        <f>Q413*dagenperjaar1</f>
        <v>#DIV/0!</v>
      </c>
      <c r="U413" s="27" t="e">
        <f>T413*P413</f>
        <v>#DIV/0!</v>
      </c>
    </row>
    <row r="414" spans="1:21" x14ac:dyDescent="0.3">
      <c r="A414" s="93" t="s">
        <v>753</v>
      </c>
      <c r="B414" s="94" t="s">
        <v>40</v>
      </c>
      <c r="C414" s="94" t="s">
        <v>290</v>
      </c>
      <c r="D414" s="94" t="s">
        <v>529</v>
      </c>
      <c r="E414" s="95" t="s">
        <v>768</v>
      </c>
      <c r="F414" s="94" t="s">
        <v>779</v>
      </c>
      <c r="G414" s="94" t="s">
        <v>253</v>
      </c>
      <c r="H414" s="94" t="s">
        <v>11</v>
      </c>
      <c r="I414" s="94" t="s">
        <v>219</v>
      </c>
      <c r="J414" s="94"/>
      <c r="K414" s="96">
        <v>57.8</v>
      </c>
      <c r="L414" s="96">
        <f>K414*VLOOKUP(H414,dagsoorttabel1,2,FALSE)</f>
        <v>57.8</v>
      </c>
      <c r="M414" s="97">
        <f>prodnorm49</f>
        <v>0</v>
      </c>
      <c r="N414" s="41">
        <f>dagwerk49</f>
        <v>0</v>
      </c>
      <c r="O414" s="94" t="s">
        <v>106</v>
      </c>
      <c r="P414" s="26">
        <f>uurtarief49</f>
        <v>0</v>
      </c>
      <c r="Q414" s="96" t="e">
        <f>IF(ISBLANK(M414),0,L414/M414)</f>
        <v>#DIV/0!</v>
      </c>
      <c r="R414" s="96" t="e">
        <f>IF(ISBLANK(M414),0,Q414*N414)</f>
        <v>#DIV/0!</v>
      </c>
      <c r="S414" s="26" t="e">
        <f>P414*Q414</f>
        <v>#DIV/0!</v>
      </c>
      <c r="T414" s="96" t="e">
        <f>Q414*dagenperjaar1</f>
        <v>#DIV/0!</v>
      </c>
      <c r="U414" s="27" t="e">
        <f>T414*P414</f>
        <v>#DIV/0!</v>
      </c>
    </row>
    <row r="415" spans="1:21" x14ac:dyDescent="0.3">
      <c r="A415" s="93" t="s">
        <v>753</v>
      </c>
      <c r="B415" s="94" t="s">
        <v>40</v>
      </c>
      <c r="C415" s="94" t="s">
        <v>290</v>
      </c>
      <c r="D415" s="94" t="s">
        <v>530</v>
      </c>
      <c r="E415" s="95" t="s">
        <v>768</v>
      </c>
      <c r="F415" s="94" t="s">
        <v>779</v>
      </c>
      <c r="G415" s="94" t="s">
        <v>253</v>
      </c>
      <c r="H415" s="94" t="s">
        <v>11</v>
      </c>
      <c r="I415" s="94" t="s">
        <v>219</v>
      </c>
      <c r="J415" s="94"/>
      <c r="K415" s="96">
        <v>57.8</v>
      </c>
      <c r="L415" s="96">
        <f>K415*VLOOKUP(H415,dagsoorttabel1,2,FALSE)</f>
        <v>57.8</v>
      </c>
      <c r="M415" s="97">
        <f>prodnorm49</f>
        <v>0</v>
      </c>
      <c r="N415" s="41">
        <f>dagwerk49</f>
        <v>0</v>
      </c>
      <c r="O415" s="94" t="s">
        <v>106</v>
      </c>
      <c r="P415" s="26">
        <f>uurtarief49</f>
        <v>0</v>
      </c>
      <c r="Q415" s="96" t="e">
        <f>IF(ISBLANK(M415),0,L415/M415)</f>
        <v>#DIV/0!</v>
      </c>
      <c r="R415" s="96" t="e">
        <f>IF(ISBLANK(M415),0,Q415*N415)</f>
        <v>#DIV/0!</v>
      </c>
      <c r="S415" s="26" t="e">
        <f>P415*Q415</f>
        <v>#DIV/0!</v>
      </c>
      <c r="T415" s="96" t="e">
        <f>Q415*dagenperjaar1</f>
        <v>#DIV/0!</v>
      </c>
      <c r="U415" s="27" t="e">
        <f>T415*P415</f>
        <v>#DIV/0!</v>
      </c>
    </row>
    <row r="416" spans="1:21" x14ac:dyDescent="0.3">
      <c r="A416" s="93" t="s">
        <v>753</v>
      </c>
      <c r="B416" s="94" t="s">
        <v>40</v>
      </c>
      <c r="C416" s="94" t="s">
        <v>290</v>
      </c>
      <c r="D416" s="94" t="s">
        <v>622</v>
      </c>
      <c r="E416" s="95" t="s">
        <v>780</v>
      </c>
      <c r="F416" s="94" t="s">
        <v>781</v>
      </c>
      <c r="G416" s="94" t="s">
        <v>241</v>
      </c>
      <c r="H416" s="94" t="s">
        <v>11</v>
      </c>
      <c r="I416" s="94" t="s">
        <v>219</v>
      </c>
      <c r="J416" s="94"/>
      <c r="K416" s="96">
        <v>13.2</v>
      </c>
      <c r="L416" s="96">
        <f>K416*VLOOKUP(H416,dagsoorttabel1,2,FALSE)</f>
        <v>13.2</v>
      </c>
      <c r="M416" s="97">
        <f>prodnorm38</f>
        <v>0</v>
      </c>
      <c r="N416" s="41">
        <f>dagwerk38</f>
        <v>0</v>
      </c>
      <c r="O416" s="94" t="s">
        <v>106</v>
      </c>
      <c r="P416" s="26">
        <f>uurtarief38</f>
        <v>0</v>
      </c>
      <c r="Q416" s="96" t="e">
        <f>IF(ISBLANK(M416),0,L416/M416)</f>
        <v>#DIV/0!</v>
      </c>
      <c r="R416" s="96" t="e">
        <f>IF(ISBLANK(M416),0,Q416*N416)</f>
        <v>#DIV/0!</v>
      </c>
      <c r="S416" s="26" t="e">
        <f>P416*Q416</f>
        <v>#DIV/0!</v>
      </c>
      <c r="T416" s="96" t="e">
        <f>Q416*dagenperjaar1</f>
        <v>#DIV/0!</v>
      </c>
      <c r="U416" s="27" t="e">
        <f>T416*P416</f>
        <v>#DIV/0!</v>
      </c>
    </row>
    <row r="417" spans="1:21" x14ac:dyDescent="0.3">
      <c r="A417" s="93" t="s">
        <v>753</v>
      </c>
      <c r="B417" s="94" t="s">
        <v>40</v>
      </c>
      <c r="C417" s="94" t="s">
        <v>290</v>
      </c>
      <c r="D417" s="94" t="s">
        <v>536</v>
      </c>
      <c r="E417" s="95" t="s">
        <v>295</v>
      </c>
      <c r="F417" s="94" t="s">
        <v>296</v>
      </c>
      <c r="G417" s="94" t="s">
        <v>241</v>
      </c>
      <c r="H417" s="94" t="s">
        <v>11</v>
      </c>
      <c r="I417" s="94" t="s">
        <v>219</v>
      </c>
      <c r="J417" s="94"/>
      <c r="K417" s="96">
        <v>59.7</v>
      </c>
      <c r="L417" s="96">
        <f>K417*VLOOKUP(H417,dagsoorttabel1,2,FALSE)</f>
        <v>59.7</v>
      </c>
      <c r="M417" s="97">
        <f>prodnorm38</f>
        <v>0</v>
      </c>
      <c r="N417" s="41">
        <f>dagwerk38</f>
        <v>0</v>
      </c>
      <c r="O417" s="94" t="s">
        <v>106</v>
      </c>
      <c r="P417" s="26">
        <f>uurtarief38</f>
        <v>0</v>
      </c>
      <c r="Q417" s="96" t="e">
        <f>IF(ISBLANK(M417),0,L417/M417)</f>
        <v>#DIV/0!</v>
      </c>
      <c r="R417" s="96" t="e">
        <f>IF(ISBLANK(M417),0,Q417*N417)</f>
        <v>#DIV/0!</v>
      </c>
      <c r="S417" s="26" t="e">
        <f>P417*Q417</f>
        <v>#DIV/0!</v>
      </c>
      <c r="T417" s="96" t="e">
        <f>Q417*dagenperjaar1</f>
        <v>#DIV/0!</v>
      </c>
      <c r="U417" s="27" t="e">
        <f>T417*P417</f>
        <v>#DIV/0!</v>
      </c>
    </row>
    <row r="418" spans="1:21" x14ac:dyDescent="0.3">
      <c r="A418" s="93" t="s">
        <v>753</v>
      </c>
      <c r="B418" s="94" t="s">
        <v>40</v>
      </c>
      <c r="C418" s="94" t="s">
        <v>290</v>
      </c>
      <c r="D418" s="94" t="s">
        <v>623</v>
      </c>
      <c r="E418" s="95" t="s">
        <v>768</v>
      </c>
      <c r="F418" s="94" t="s">
        <v>779</v>
      </c>
      <c r="G418" s="94" t="s">
        <v>253</v>
      </c>
      <c r="H418" s="94" t="s">
        <v>18</v>
      </c>
      <c r="I418" s="94" t="s">
        <v>219</v>
      </c>
      <c r="J418" s="94"/>
      <c r="K418" s="96">
        <v>395.3</v>
      </c>
      <c r="L418" s="96">
        <f>K418*VLOOKUP(H418,dagsoorttabel1,2,FALSE)</f>
        <v>79.06</v>
      </c>
      <c r="M418" s="97">
        <f>prodnorm50</f>
        <v>0</v>
      </c>
      <c r="N418" s="41">
        <f>dagwerk50</f>
        <v>0</v>
      </c>
      <c r="O418" s="94" t="s">
        <v>106</v>
      </c>
      <c r="P418" s="26">
        <f>uurtarief50</f>
        <v>0</v>
      </c>
      <c r="Q418" s="96" t="e">
        <f>IF(ISBLANK(M418),0,L418/M418)</f>
        <v>#DIV/0!</v>
      </c>
      <c r="R418" s="96" t="e">
        <f>IF(ISBLANK(M418),0,Q418*N418)</f>
        <v>#DIV/0!</v>
      </c>
      <c r="S418" s="26" t="e">
        <f>P418*Q418</f>
        <v>#DIV/0!</v>
      </c>
      <c r="T418" s="96" t="e">
        <f>Q418*dagenperjaar1</f>
        <v>#DIV/0!</v>
      </c>
      <c r="U418" s="27" t="e">
        <f>T418*P418</f>
        <v>#DIV/0!</v>
      </c>
    </row>
    <row r="419" spans="1:21" x14ac:dyDescent="0.3">
      <c r="A419" s="93" t="s">
        <v>753</v>
      </c>
      <c r="B419" s="94" t="s">
        <v>40</v>
      </c>
      <c r="C419" s="94" t="s">
        <v>290</v>
      </c>
      <c r="D419" s="94" t="s">
        <v>538</v>
      </c>
      <c r="E419" s="95" t="s">
        <v>768</v>
      </c>
      <c r="F419" s="94" t="s">
        <v>779</v>
      </c>
      <c r="G419" s="94" t="s">
        <v>253</v>
      </c>
      <c r="H419" s="94" t="s">
        <v>18</v>
      </c>
      <c r="I419" s="94" t="s">
        <v>219</v>
      </c>
      <c r="J419" s="94"/>
      <c r="K419" s="96">
        <v>96.7</v>
      </c>
      <c r="L419" s="96">
        <f>K419*VLOOKUP(H419,dagsoorttabel1,2,FALSE)</f>
        <v>19.340000000000003</v>
      </c>
      <c r="M419" s="97">
        <f>prodnorm50</f>
        <v>0</v>
      </c>
      <c r="N419" s="41">
        <f>dagwerk50</f>
        <v>0</v>
      </c>
      <c r="O419" s="94" t="s">
        <v>106</v>
      </c>
      <c r="P419" s="26">
        <f>uurtarief50</f>
        <v>0</v>
      </c>
      <c r="Q419" s="96" t="e">
        <f>IF(ISBLANK(M419),0,L419/M419)</f>
        <v>#DIV/0!</v>
      </c>
      <c r="R419" s="96" t="e">
        <f>IF(ISBLANK(M419),0,Q419*N419)</f>
        <v>#DIV/0!</v>
      </c>
      <c r="S419" s="26" t="e">
        <f>P419*Q419</f>
        <v>#DIV/0!</v>
      </c>
      <c r="T419" s="96" t="e">
        <f>Q419*dagenperjaar1</f>
        <v>#DIV/0!</v>
      </c>
      <c r="U419" s="27" t="e">
        <f>T419*P419</f>
        <v>#DIV/0!</v>
      </c>
    </row>
    <row r="420" spans="1:21" x14ac:dyDescent="0.3">
      <c r="A420" s="93" t="s">
        <v>753</v>
      </c>
      <c r="B420" s="94" t="s">
        <v>40</v>
      </c>
      <c r="C420" s="94" t="s">
        <v>290</v>
      </c>
      <c r="D420" s="94" t="s">
        <v>668</v>
      </c>
      <c r="E420" s="95" t="s">
        <v>768</v>
      </c>
      <c r="F420" s="94" t="s">
        <v>779</v>
      </c>
      <c r="G420" s="94" t="s">
        <v>253</v>
      </c>
      <c r="H420" s="94" t="s">
        <v>18</v>
      </c>
      <c r="I420" s="94" t="s">
        <v>219</v>
      </c>
      <c r="J420" s="94"/>
      <c r="K420" s="96">
        <v>96.7</v>
      </c>
      <c r="L420" s="96">
        <f>K420*VLOOKUP(H420,dagsoorttabel1,2,FALSE)</f>
        <v>19.340000000000003</v>
      </c>
      <c r="M420" s="97">
        <f>prodnorm50</f>
        <v>0</v>
      </c>
      <c r="N420" s="41">
        <f>dagwerk50</f>
        <v>0</v>
      </c>
      <c r="O420" s="94" t="s">
        <v>106</v>
      </c>
      <c r="P420" s="26">
        <f>uurtarief50</f>
        <v>0</v>
      </c>
      <c r="Q420" s="96" t="e">
        <f>IF(ISBLANK(M420),0,L420/M420)</f>
        <v>#DIV/0!</v>
      </c>
      <c r="R420" s="96" t="e">
        <f>IF(ISBLANK(M420),0,Q420*N420)</f>
        <v>#DIV/0!</v>
      </c>
      <c r="S420" s="26" t="e">
        <f>P420*Q420</f>
        <v>#DIV/0!</v>
      </c>
      <c r="T420" s="96" t="e">
        <f>Q420*dagenperjaar1</f>
        <v>#DIV/0!</v>
      </c>
      <c r="U420" s="27" t="e">
        <f>T420*P420</f>
        <v>#DIV/0!</v>
      </c>
    </row>
    <row r="421" spans="1:21" x14ac:dyDescent="0.3">
      <c r="A421" s="93" t="s">
        <v>753</v>
      </c>
      <c r="B421" s="94" t="s">
        <v>40</v>
      </c>
      <c r="C421" s="94" t="s">
        <v>290</v>
      </c>
      <c r="D421" s="94" t="s">
        <v>672</v>
      </c>
      <c r="E421" s="95" t="s">
        <v>681</v>
      </c>
      <c r="F421" s="94" t="s">
        <v>772</v>
      </c>
      <c r="G421" s="94" t="s">
        <v>223</v>
      </c>
      <c r="H421" s="94" t="s">
        <v>16</v>
      </c>
      <c r="I421" s="94" t="s">
        <v>219</v>
      </c>
      <c r="J421" s="94"/>
      <c r="K421" s="96">
        <v>16</v>
      </c>
      <c r="L421" s="96">
        <f>K421*VLOOKUP(H421,dagsoorttabel1,2,FALSE)</f>
        <v>6.4</v>
      </c>
      <c r="M421" s="97">
        <f>prodnorm20</f>
        <v>0</v>
      </c>
      <c r="N421" s="41">
        <f>dagwerk20</f>
        <v>0</v>
      </c>
      <c r="O421" s="94" t="s">
        <v>106</v>
      </c>
      <c r="P421" s="26">
        <f>uurtarief20</f>
        <v>0</v>
      </c>
      <c r="Q421" s="96" t="e">
        <f>IF(ISBLANK(M421),0,L421/M421)</f>
        <v>#DIV/0!</v>
      </c>
      <c r="R421" s="96" t="e">
        <f>IF(ISBLANK(M421),0,Q421*N421)</f>
        <v>#DIV/0!</v>
      </c>
      <c r="S421" s="26" t="e">
        <f>P421*Q421</f>
        <v>#DIV/0!</v>
      </c>
      <c r="T421" s="96" t="e">
        <f>Q421*dagenperjaar1</f>
        <v>#DIV/0!</v>
      </c>
      <c r="U421" s="27" t="e">
        <f>T421*P421</f>
        <v>#DIV/0!</v>
      </c>
    </row>
    <row r="422" spans="1:21" x14ac:dyDescent="0.3">
      <c r="A422" s="93" t="s">
        <v>753</v>
      </c>
      <c r="B422" s="94" t="s">
        <v>40</v>
      </c>
      <c r="C422" s="94" t="s">
        <v>290</v>
      </c>
      <c r="D422" s="94" t="s">
        <v>539</v>
      </c>
      <c r="E422" s="95" t="s">
        <v>295</v>
      </c>
      <c r="F422" s="94" t="s">
        <v>772</v>
      </c>
      <c r="G422" s="94" t="s">
        <v>241</v>
      </c>
      <c r="H422" s="94" t="s">
        <v>11</v>
      </c>
      <c r="I422" s="94" t="s">
        <v>219</v>
      </c>
      <c r="J422" s="94"/>
      <c r="K422" s="96">
        <v>59.05</v>
      </c>
      <c r="L422" s="96">
        <f>K422*VLOOKUP(H422,dagsoorttabel1,2,FALSE)</f>
        <v>59.05</v>
      </c>
      <c r="M422" s="97">
        <f>prodnorm38</f>
        <v>0</v>
      </c>
      <c r="N422" s="41">
        <f>dagwerk38</f>
        <v>0</v>
      </c>
      <c r="O422" s="94" t="s">
        <v>106</v>
      </c>
      <c r="P422" s="26">
        <f>uurtarief38</f>
        <v>0</v>
      </c>
      <c r="Q422" s="96" t="e">
        <f>IF(ISBLANK(M422),0,L422/M422)</f>
        <v>#DIV/0!</v>
      </c>
      <c r="R422" s="96" t="e">
        <f>IF(ISBLANK(M422),0,Q422*N422)</f>
        <v>#DIV/0!</v>
      </c>
      <c r="S422" s="26" t="e">
        <f>P422*Q422</f>
        <v>#DIV/0!</v>
      </c>
      <c r="T422" s="96" t="e">
        <f>Q422*dagenperjaar1</f>
        <v>#DIV/0!</v>
      </c>
      <c r="U422" s="27" t="e">
        <f>T422*P422</f>
        <v>#DIV/0!</v>
      </c>
    </row>
    <row r="423" spans="1:21" x14ac:dyDescent="0.3">
      <c r="A423" s="93" t="s">
        <v>753</v>
      </c>
      <c r="B423" s="94" t="s">
        <v>40</v>
      </c>
      <c r="C423" s="94" t="s">
        <v>290</v>
      </c>
      <c r="D423" s="94" t="s">
        <v>540</v>
      </c>
      <c r="E423" s="95" t="s">
        <v>782</v>
      </c>
      <c r="F423" s="94" t="s">
        <v>648</v>
      </c>
      <c r="G423" s="94" t="s">
        <v>261</v>
      </c>
      <c r="H423" s="94" t="s">
        <v>11</v>
      </c>
      <c r="I423" s="94" t="s">
        <v>219</v>
      </c>
      <c r="J423" s="94"/>
      <c r="K423" s="96">
        <v>2</v>
      </c>
      <c r="L423" s="96">
        <f>K423*VLOOKUP(H423,dagsoorttabel1,2,FALSE)</f>
        <v>2</v>
      </c>
      <c r="M423" s="97">
        <f>prodnorm56</f>
        <v>0</v>
      </c>
      <c r="N423" s="41">
        <f>dagwerk56</f>
        <v>0</v>
      </c>
      <c r="O423" s="94" t="s">
        <v>106</v>
      </c>
      <c r="P423" s="26">
        <f>uurtarief56</f>
        <v>0</v>
      </c>
      <c r="Q423" s="96" t="e">
        <f>IF(ISBLANK(M423),0,L423/M423)</f>
        <v>#DIV/0!</v>
      </c>
      <c r="R423" s="96" t="e">
        <f>IF(ISBLANK(M423),0,Q423*N423)</f>
        <v>#DIV/0!</v>
      </c>
      <c r="S423" s="26" t="e">
        <f>P423*Q423</f>
        <v>#DIV/0!</v>
      </c>
      <c r="T423" s="96" t="e">
        <f>Q423*dagenperjaar1</f>
        <v>#DIV/0!</v>
      </c>
      <c r="U423" s="27" t="e">
        <f>T423*P423</f>
        <v>#DIV/0!</v>
      </c>
    </row>
    <row r="424" spans="1:21" x14ac:dyDescent="0.3">
      <c r="A424" s="93" t="s">
        <v>753</v>
      </c>
      <c r="B424" s="94" t="s">
        <v>40</v>
      </c>
      <c r="C424" s="94" t="s">
        <v>290</v>
      </c>
      <c r="D424" s="94" t="s">
        <v>541</v>
      </c>
      <c r="E424" s="95" t="s">
        <v>782</v>
      </c>
      <c r="F424" s="94" t="s">
        <v>648</v>
      </c>
      <c r="G424" s="94" t="s">
        <v>261</v>
      </c>
      <c r="H424" s="94" t="s">
        <v>11</v>
      </c>
      <c r="I424" s="94" t="s">
        <v>219</v>
      </c>
      <c r="J424" s="94"/>
      <c r="K424" s="96">
        <v>2</v>
      </c>
      <c r="L424" s="96">
        <f>K424*VLOOKUP(H424,dagsoorttabel1,2,FALSE)</f>
        <v>2</v>
      </c>
      <c r="M424" s="97">
        <f>prodnorm56</f>
        <v>0</v>
      </c>
      <c r="N424" s="41">
        <f>dagwerk56</f>
        <v>0</v>
      </c>
      <c r="O424" s="94" t="s">
        <v>106</v>
      </c>
      <c r="P424" s="26">
        <f>uurtarief56</f>
        <v>0</v>
      </c>
      <c r="Q424" s="96" t="e">
        <f>IF(ISBLANK(M424),0,L424/M424)</f>
        <v>#DIV/0!</v>
      </c>
      <c r="R424" s="96" t="e">
        <f>IF(ISBLANK(M424),0,Q424*N424)</f>
        <v>#DIV/0!</v>
      </c>
      <c r="S424" s="26" t="e">
        <f>P424*Q424</f>
        <v>#DIV/0!</v>
      </c>
      <c r="T424" s="96" t="e">
        <f>Q424*dagenperjaar1</f>
        <v>#DIV/0!</v>
      </c>
      <c r="U424" s="27" t="e">
        <f>T424*P424</f>
        <v>#DIV/0!</v>
      </c>
    </row>
    <row r="425" spans="1:21" x14ac:dyDescent="0.3">
      <c r="A425" s="93" t="s">
        <v>753</v>
      </c>
      <c r="B425" s="94" t="s">
        <v>40</v>
      </c>
      <c r="C425" s="94" t="s">
        <v>290</v>
      </c>
      <c r="D425" s="94" t="s">
        <v>542</v>
      </c>
      <c r="E425" s="95" t="s">
        <v>783</v>
      </c>
      <c r="F425" s="94" t="s">
        <v>648</v>
      </c>
      <c r="G425" s="94" t="s">
        <v>261</v>
      </c>
      <c r="H425" s="94" t="s">
        <v>11</v>
      </c>
      <c r="I425" s="94" t="s">
        <v>219</v>
      </c>
      <c r="J425" s="94"/>
      <c r="K425" s="96">
        <v>6</v>
      </c>
      <c r="L425" s="96">
        <f>K425*VLOOKUP(H425,dagsoorttabel1,2,FALSE)</f>
        <v>6</v>
      </c>
      <c r="M425" s="97">
        <f>prodnorm56</f>
        <v>0</v>
      </c>
      <c r="N425" s="41">
        <f>dagwerk56</f>
        <v>0</v>
      </c>
      <c r="O425" s="94" t="s">
        <v>106</v>
      </c>
      <c r="P425" s="26">
        <f>uurtarief56</f>
        <v>0</v>
      </c>
      <c r="Q425" s="96" t="e">
        <f>IF(ISBLANK(M425),0,L425/M425)</f>
        <v>#DIV/0!</v>
      </c>
      <c r="R425" s="96" t="e">
        <f>IF(ISBLANK(M425),0,Q425*N425)</f>
        <v>#DIV/0!</v>
      </c>
      <c r="S425" s="26" t="e">
        <f>P425*Q425</f>
        <v>#DIV/0!</v>
      </c>
      <c r="T425" s="96" t="e">
        <f>Q425*dagenperjaar1</f>
        <v>#DIV/0!</v>
      </c>
      <c r="U425" s="27" t="e">
        <f>T425*P425</f>
        <v>#DIV/0!</v>
      </c>
    </row>
    <row r="426" spans="1:21" x14ac:dyDescent="0.3">
      <c r="A426" s="93" t="s">
        <v>753</v>
      </c>
      <c r="B426" s="94" t="s">
        <v>40</v>
      </c>
      <c r="C426" s="94" t="s">
        <v>290</v>
      </c>
      <c r="D426" s="94" t="s">
        <v>784</v>
      </c>
      <c r="E426" s="95" t="s">
        <v>785</v>
      </c>
      <c r="F426" s="94" t="s">
        <v>330</v>
      </c>
      <c r="G426" s="94" t="s">
        <v>218</v>
      </c>
      <c r="H426" s="94" t="s">
        <v>11</v>
      </c>
      <c r="I426" s="94" t="s">
        <v>219</v>
      </c>
      <c r="J426" s="94"/>
      <c r="K426" s="96">
        <v>211.4</v>
      </c>
      <c r="L426" s="96">
        <f>K426*VLOOKUP(H426,dagsoorttabel1,2,FALSE)</f>
        <v>211.4</v>
      </c>
      <c r="M426" s="97">
        <f>prodnorm16</f>
        <v>0</v>
      </c>
      <c r="N426" s="41">
        <f>dagwerk16</f>
        <v>0</v>
      </c>
      <c r="O426" s="94" t="s">
        <v>106</v>
      </c>
      <c r="P426" s="26">
        <f>uurtarief16</f>
        <v>0</v>
      </c>
      <c r="Q426" s="96" t="e">
        <f>IF(ISBLANK(M426),0,L426/M426)</f>
        <v>#DIV/0!</v>
      </c>
      <c r="R426" s="96" t="e">
        <f>IF(ISBLANK(M426),0,Q426*N426)</f>
        <v>#DIV/0!</v>
      </c>
      <c r="S426" s="26" t="e">
        <f>P426*Q426</f>
        <v>#DIV/0!</v>
      </c>
      <c r="T426" s="96" t="e">
        <f>Q426*dagenperjaar1</f>
        <v>#DIV/0!</v>
      </c>
      <c r="U426" s="27" t="e">
        <f>T426*P426</f>
        <v>#DIV/0!</v>
      </c>
    </row>
    <row r="427" spans="1:21" x14ac:dyDescent="0.3">
      <c r="A427" s="93" t="s">
        <v>753</v>
      </c>
      <c r="B427" s="94" t="s">
        <v>40</v>
      </c>
      <c r="C427" s="94" t="s">
        <v>290</v>
      </c>
      <c r="D427" s="94" t="s">
        <v>786</v>
      </c>
      <c r="E427" s="95" t="s">
        <v>344</v>
      </c>
      <c r="F427" s="94" t="s">
        <v>316</v>
      </c>
      <c r="G427" s="94" t="s">
        <v>261</v>
      </c>
      <c r="H427" s="94" t="s">
        <v>11</v>
      </c>
      <c r="I427" s="94" t="s">
        <v>219</v>
      </c>
      <c r="J427" s="94"/>
      <c r="K427" s="96">
        <v>11</v>
      </c>
      <c r="L427" s="96">
        <f>K427*VLOOKUP(H427,dagsoorttabel1,2,FALSE)</f>
        <v>11</v>
      </c>
      <c r="M427" s="97">
        <f>prodnorm56</f>
        <v>0</v>
      </c>
      <c r="N427" s="41">
        <f>dagwerk56</f>
        <v>0</v>
      </c>
      <c r="O427" s="94" t="s">
        <v>106</v>
      </c>
      <c r="P427" s="26">
        <f>uurtarief56</f>
        <v>0</v>
      </c>
      <c r="Q427" s="96" t="e">
        <f>IF(ISBLANK(M427),0,L427/M427)</f>
        <v>#DIV/0!</v>
      </c>
      <c r="R427" s="96" t="e">
        <f>IF(ISBLANK(M427),0,Q427*N427)</f>
        <v>#DIV/0!</v>
      </c>
      <c r="S427" s="26" t="e">
        <f>P427*Q427</f>
        <v>#DIV/0!</v>
      </c>
      <c r="T427" s="96" t="e">
        <f>Q427*dagenperjaar1</f>
        <v>#DIV/0!</v>
      </c>
      <c r="U427" s="27" t="e">
        <f>T427*P427</f>
        <v>#DIV/0!</v>
      </c>
    </row>
    <row r="428" spans="1:21" x14ac:dyDescent="0.3">
      <c r="A428" s="93" t="s">
        <v>753</v>
      </c>
      <c r="B428" s="94" t="s">
        <v>40</v>
      </c>
      <c r="C428" s="94" t="s">
        <v>290</v>
      </c>
      <c r="D428" s="94" t="s">
        <v>786</v>
      </c>
      <c r="E428" s="95" t="s">
        <v>344</v>
      </c>
      <c r="F428" s="94" t="s">
        <v>316</v>
      </c>
      <c r="G428" s="94" t="s">
        <v>263</v>
      </c>
      <c r="H428" s="94" t="s">
        <v>9</v>
      </c>
      <c r="I428" s="94" t="s">
        <v>219</v>
      </c>
      <c r="J428" s="94"/>
      <c r="K428" s="96">
        <v>11</v>
      </c>
      <c r="L428" s="96">
        <f>K428*VLOOKUP(H428,dagsoorttabel1,2,FALSE)</f>
        <v>22</v>
      </c>
      <c r="M428" s="97">
        <f>prodnorm59</f>
        <v>0</v>
      </c>
      <c r="N428" s="41">
        <f>dagwerk59</f>
        <v>0</v>
      </c>
      <c r="O428" s="94" t="s">
        <v>106</v>
      </c>
      <c r="P428" s="26">
        <f>uurtarief59</f>
        <v>0</v>
      </c>
      <c r="Q428" s="96" t="e">
        <f>IF(ISBLANK(M428),0,L428/M428)</f>
        <v>#DIV/0!</v>
      </c>
      <c r="R428" s="96" t="e">
        <f>IF(ISBLANK(M428),0,Q428*N428)</f>
        <v>#DIV/0!</v>
      </c>
      <c r="S428" s="26" t="e">
        <f>P428*Q428</f>
        <v>#DIV/0!</v>
      </c>
      <c r="T428" s="96" t="e">
        <f>Q428*dagenperjaar1</f>
        <v>#DIV/0!</v>
      </c>
      <c r="U428" s="27" t="e">
        <f>T428*P428</f>
        <v>#DIV/0!</v>
      </c>
    </row>
    <row r="429" spans="1:21" x14ac:dyDescent="0.3">
      <c r="A429" s="93" t="s">
        <v>753</v>
      </c>
      <c r="B429" s="94" t="s">
        <v>40</v>
      </c>
      <c r="C429" s="94" t="s">
        <v>290</v>
      </c>
      <c r="D429" s="94" t="s">
        <v>787</v>
      </c>
      <c r="E429" s="95" t="s">
        <v>342</v>
      </c>
      <c r="F429" s="94" t="s">
        <v>316</v>
      </c>
      <c r="G429" s="94" t="s">
        <v>261</v>
      </c>
      <c r="H429" s="94" t="s">
        <v>11</v>
      </c>
      <c r="I429" s="94" t="s">
        <v>219</v>
      </c>
      <c r="J429" s="94"/>
      <c r="K429" s="96">
        <v>12</v>
      </c>
      <c r="L429" s="96">
        <f>K429*VLOOKUP(H429,dagsoorttabel1,2,FALSE)</f>
        <v>12</v>
      </c>
      <c r="M429" s="97">
        <f>prodnorm56</f>
        <v>0</v>
      </c>
      <c r="N429" s="41">
        <f>dagwerk56</f>
        <v>0</v>
      </c>
      <c r="O429" s="94" t="s">
        <v>106</v>
      </c>
      <c r="P429" s="26">
        <f>uurtarief56</f>
        <v>0</v>
      </c>
      <c r="Q429" s="96" t="e">
        <f>IF(ISBLANK(M429),0,L429/M429)</f>
        <v>#DIV/0!</v>
      </c>
      <c r="R429" s="96" t="e">
        <f>IF(ISBLANK(M429),0,Q429*N429)</f>
        <v>#DIV/0!</v>
      </c>
      <c r="S429" s="26" t="e">
        <f>P429*Q429</f>
        <v>#DIV/0!</v>
      </c>
      <c r="T429" s="96" t="e">
        <f>Q429*dagenperjaar1</f>
        <v>#DIV/0!</v>
      </c>
      <c r="U429" s="27" t="e">
        <f>T429*P429</f>
        <v>#DIV/0!</v>
      </c>
    </row>
    <row r="430" spans="1:21" x14ac:dyDescent="0.3">
      <c r="A430" s="93" t="s">
        <v>753</v>
      </c>
      <c r="B430" s="94" t="s">
        <v>40</v>
      </c>
      <c r="C430" s="94" t="s">
        <v>290</v>
      </c>
      <c r="D430" s="94" t="s">
        <v>787</v>
      </c>
      <c r="E430" s="95" t="s">
        <v>342</v>
      </c>
      <c r="F430" s="94" t="s">
        <v>316</v>
      </c>
      <c r="G430" s="94" t="s">
        <v>263</v>
      </c>
      <c r="H430" s="94" t="s">
        <v>9</v>
      </c>
      <c r="I430" s="94" t="s">
        <v>219</v>
      </c>
      <c r="J430" s="94"/>
      <c r="K430" s="96">
        <v>12</v>
      </c>
      <c r="L430" s="96">
        <f>K430*VLOOKUP(H430,dagsoorttabel1,2,FALSE)</f>
        <v>24</v>
      </c>
      <c r="M430" s="97">
        <f>prodnorm59</f>
        <v>0</v>
      </c>
      <c r="N430" s="41">
        <f>dagwerk59</f>
        <v>0</v>
      </c>
      <c r="O430" s="94" t="s">
        <v>106</v>
      </c>
      <c r="P430" s="26">
        <f>uurtarief59</f>
        <v>0</v>
      </c>
      <c r="Q430" s="96" t="e">
        <f>IF(ISBLANK(M430),0,L430/M430)</f>
        <v>#DIV/0!</v>
      </c>
      <c r="R430" s="96" t="e">
        <f>IF(ISBLANK(M430),0,Q430*N430)</f>
        <v>#DIV/0!</v>
      </c>
      <c r="S430" s="26" t="e">
        <f>P430*Q430</f>
        <v>#DIV/0!</v>
      </c>
      <c r="T430" s="96" t="e">
        <f>Q430*dagenperjaar1</f>
        <v>#DIV/0!</v>
      </c>
      <c r="U430" s="27" t="e">
        <f>T430*P430</f>
        <v>#DIV/0!</v>
      </c>
    </row>
    <row r="431" spans="1:21" x14ac:dyDescent="0.3">
      <c r="A431" s="93" t="s">
        <v>753</v>
      </c>
      <c r="B431" s="94" t="s">
        <v>40</v>
      </c>
      <c r="C431" s="94" t="s">
        <v>290</v>
      </c>
      <c r="D431" s="94" t="s">
        <v>788</v>
      </c>
      <c r="E431" s="95" t="s">
        <v>303</v>
      </c>
      <c r="F431" s="94" t="s">
        <v>657</v>
      </c>
      <c r="G431" s="94" t="s">
        <v>265</v>
      </c>
      <c r="H431" s="94" t="s">
        <v>11</v>
      </c>
      <c r="I431" s="94" t="s">
        <v>219</v>
      </c>
      <c r="J431" s="94"/>
      <c r="K431" s="96">
        <v>16</v>
      </c>
      <c r="L431" s="96">
        <f>K431*VLOOKUP(H431,dagsoorttabel1,2,FALSE)</f>
        <v>16</v>
      </c>
      <c r="M431" s="97">
        <f>prodnorm61</f>
        <v>0</v>
      </c>
      <c r="N431" s="41">
        <f>dagwerk61</f>
        <v>0</v>
      </c>
      <c r="O431" s="94" t="s">
        <v>106</v>
      </c>
      <c r="P431" s="26">
        <f>uurtarief61</f>
        <v>0</v>
      </c>
      <c r="Q431" s="96" t="e">
        <f>IF(ISBLANK(M431),0,L431/M431)</f>
        <v>#DIV/0!</v>
      </c>
      <c r="R431" s="96" t="e">
        <f>IF(ISBLANK(M431),0,Q431*N431)</f>
        <v>#DIV/0!</v>
      </c>
      <c r="S431" s="26" t="e">
        <f>P431*Q431</f>
        <v>#DIV/0!</v>
      </c>
      <c r="T431" s="96" t="e">
        <f>Q431*dagenperjaar1</f>
        <v>#DIV/0!</v>
      </c>
      <c r="U431" s="27" t="e">
        <f>T431*P431</f>
        <v>#DIV/0!</v>
      </c>
    </row>
    <row r="432" spans="1:21" x14ac:dyDescent="0.3">
      <c r="A432" s="93" t="s">
        <v>753</v>
      </c>
      <c r="B432" s="94" t="s">
        <v>40</v>
      </c>
      <c r="C432" s="94" t="s">
        <v>290</v>
      </c>
      <c r="D432" s="94" t="s">
        <v>789</v>
      </c>
      <c r="E432" s="95" t="s">
        <v>392</v>
      </c>
      <c r="F432" s="94" t="s">
        <v>316</v>
      </c>
      <c r="G432" s="94" t="s">
        <v>261</v>
      </c>
      <c r="H432" s="94" t="s">
        <v>11</v>
      </c>
      <c r="I432" s="94" t="s">
        <v>219</v>
      </c>
      <c r="J432" s="94"/>
      <c r="K432" s="96">
        <v>8</v>
      </c>
      <c r="L432" s="96">
        <f>K432*VLOOKUP(H432,dagsoorttabel1,2,FALSE)</f>
        <v>8</v>
      </c>
      <c r="M432" s="97">
        <f>prodnorm56</f>
        <v>0</v>
      </c>
      <c r="N432" s="41">
        <f>dagwerk56</f>
        <v>0</v>
      </c>
      <c r="O432" s="94" t="s">
        <v>106</v>
      </c>
      <c r="P432" s="26">
        <f>uurtarief56</f>
        <v>0</v>
      </c>
      <c r="Q432" s="96" t="e">
        <f>IF(ISBLANK(M432),0,L432/M432)</f>
        <v>#DIV/0!</v>
      </c>
      <c r="R432" s="96" t="e">
        <f>IF(ISBLANK(M432),0,Q432*N432)</f>
        <v>#DIV/0!</v>
      </c>
      <c r="S432" s="26" t="e">
        <f>P432*Q432</f>
        <v>#DIV/0!</v>
      </c>
      <c r="T432" s="96" t="e">
        <f>Q432*dagenperjaar1</f>
        <v>#DIV/0!</v>
      </c>
      <c r="U432" s="27" t="e">
        <f>T432*P432</f>
        <v>#DIV/0!</v>
      </c>
    </row>
    <row r="433" spans="1:21" x14ac:dyDescent="0.3">
      <c r="A433" s="93" t="s">
        <v>753</v>
      </c>
      <c r="B433" s="94" t="s">
        <v>40</v>
      </c>
      <c r="C433" s="94" t="s">
        <v>290</v>
      </c>
      <c r="D433" s="94" t="s">
        <v>789</v>
      </c>
      <c r="E433" s="95" t="s">
        <v>392</v>
      </c>
      <c r="F433" s="94" t="s">
        <v>316</v>
      </c>
      <c r="G433" s="94" t="s">
        <v>263</v>
      </c>
      <c r="H433" s="94" t="s">
        <v>9</v>
      </c>
      <c r="I433" s="94" t="s">
        <v>219</v>
      </c>
      <c r="J433" s="94"/>
      <c r="K433" s="96">
        <v>8</v>
      </c>
      <c r="L433" s="96">
        <f>K433*VLOOKUP(H433,dagsoorttabel1,2,FALSE)</f>
        <v>16</v>
      </c>
      <c r="M433" s="97">
        <f>prodnorm59</f>
        <v>0</v>
      </c>
      <c r="N433" s="41">
        <f>dagwerk59</f>
        <v>0</v>
      </c>
      <c r="O433" s="94" t="s">
        <v>106</v>
      </c>
      <c r="P433" s="26">
        <f>uurtarief59</f>
        <v>0</v>
      </c>
      <c r="Q433" s="96" t="e">
        <f>IF(ISBLANK(M433),0,L433/M433)</f>
        <v>#DIV/0!</v>
      </c>
      <c r="R433" s="96" t="e">
        <f>IF(ISBLANK(M433),0,Q433*N433)</f>
        <v>#DIV/0!</v>
      </c>
      <c r="S433" s="26" t="e">
        <f>P433*Q433</f>
        <v>#DIV/0!</v>
      </c>
      <c r="T433" s="96" t="e">
        <f>Q433*dagenperjaar1</f>
        <v>#DIV/0!</v>
      </c>
      <c r="U433" s="27" t="e">
        <f>T433*P433</f>
        <v>#DIV/0!</v>
      </c>
    </row>
    <row r="434" spans="1:21" x14ac:dyDescent="0.3">
      <c r="A434" s="93" t="s">
        <v>753</v>
      </c>
      <c r="B434" s="94" t="s">
        <v>40</v>
      </c>
      <c r="C434" s="94" t="s">
        <v>290</v>
      </c>
      <c r="D434" s="94" t="s">
        <v>790</v>
      </c>
      <c r="E434" s="95" t="s">
        <v>338</v>
      </c>
      <c r="F434" s="94" t="s">
        <v>330</v>
      </c>
      <c r="G434" s="94" t="s">
        <v>267</v>
      </c>
      <c r="H434" s="94" t="s">
        <v>11</v>
      </c>
      <c r="I434" s="94" t="s">
        <v>219</v>
      </c>
      <c r="J434" s="94"/>
      <c r="K434" s="96">
        <v>112</v>
      </c>
      <c r="L434" s="96">
        <f>K434*VLOOKUP(H434,dagsoorttabel1,2,FALSE)</f>
        <v>112</v>
      </c>
      <c r="M434" s="97">
        <f>prodnorm63</f>
        <v>0</v>
      </c>
      <c r="N434" s="41">
        <f>dagwerk63</f>
        <v>0</v>
      </c>
      <c r="O434" s="94" t="s">
        <v>106</v>
      </c>
      <c r="P434" s="26">
        <f>uurtarief63</f>
        <v>0</v>
      </c>
      <c r="Q434" s="96" t="e">
        <f>IF(ISBLANK(M434),0,L434/M434)</f>
        <v>#DIV/0!</v>
      </c>
      <c r="R434" s="96" t="e">
        <f>IF(ISBLANK(M434),0,Q434*N434)</f>
        <v>#DIV/0!</v>
      </c>
      <c r="S434" s="26" t="e">
        <f>P434*Q434</f>
        <v>#DIV/0!</v>
      </c>
      <c r="T434" s="96" t="e">
        <f>Q434*dagenperjaar1</f>
        <v>#DIV/0!</v>
      </c>
      <c r="U434" s="27" t="e">
        <f>T434*P434</f>
        <v>#DIV/0!</v>
      </c>
    </row>
    <row r="435" spans="1:21" x14ac:dyDescent="0.3">
      <c r="A435" s="93" t="s">
        <v>753</v>
      </c>
      <c r="B435" s="94" t="s">
        <v>40</v>
      </c>
      <c r="C435" s="94" t="s">
        <v>290</v>
      </c>
      <c r="D435" s="94" t="s">
        <v>791</v>
      </c>
      <c r="E435" s="95" t="s">
        <v>306</v>
      </c>
      <c r="F435" s="94" t="s">
        <v>330</v>
      </c>
      <c r="G435" s="94" t="s">
        <v>267</v>
      </c>
      <c r="H435" s="94" t="s">
        <v>11</v>
      </c>
      <c r="I435" s="94" t="s">
        <v>219</v>
      </c>
      <c r="J435" s="94"/>
      <c r="K435" s="96">
        <v>17</v>
      </c>
      <c r="L435" s="96">
        <f>K435*VLOOKUP(H435,dagsoorttabel1,2,FALSE)</f>
        <v>17</v>
      </c>
      <c r="M435" s="97">
        <f>prodnorm63</f>
        <v>0</v>
      </c>
      <c r="N435" s="41">
        <f>dagwerk63</f>
        <v>0</v>
      </c>
      <c r="O435" s="94" t="s">
        <v>106</v>
      </c>
      <c r="P435" s="26">
        <f>uurtarief63</f>
        <v>0</v>
      </c>
      <c r="Q435" s="96" t="e">
        <f>IF(ISBLANK(M435),0,L435/M435)</f>
        <v>#DIV/0!</v>
      </c>
      <c r="R435" s="96" t="e">
        <f>IF(ISBLANK(M435),0,Q435*N435)</f>
        <v>#DIV/0!</v>
      </c>
      <c r="S435" s="26" t="e">
        <f>P435*Q435</f>
        <v>#DIV/0!</v>
      </c>
      <c r="T435" s="96" t="e">
        <f>Q435*dagenperjaar1</f>
        <v>#DIV/0!</v>
      </c>
      <c r="U435" s="27" t="e">
        <f>T435*P435</f>
        <v>#DIV/0!</v>
      </c>
    </row>
    <row r="436" spans="1:21" x14ac:dyDescent="0.3">
      <c r="A436" s="93" t="s">
        <v>753</v>
      </c>
      <c r="B436" s="94" t="s">
        <v>40</v>
      </c>
      <c r="C436" s="94" t="s">
        <v>290</v>
      </c>
      <c r="D436" s="94" t="s">
        <v>792</v>
      </c>
      <c r="E436" s="95" t="s">
        <v>380</v>
      </c>
      <c r="F436" s="94" t="s">
        <v>330</v>
      </c>
      <c r="G436" s="94" t="s">
        <v>233</v>
      </c>
      <c r="H436" s="94" t="s">
        <v>11</v>
      </c>
      <c r="I436" s="94" t="s">
        <v>219</v>
      </c>
      <c r="J436" s="94"/>
      <c r="K436" s="96">
        <v>3</v>
      </c>
      <c r="L436" s="96">
        <f>K436*VLOOKUP(H436,dagsoorttabel1,2,FALSE)</f>
        <v>3</v>
      </c>
      <c r="M436" s="97">
        <f>prodnorm31</f>
        <v>0</v>
      </c>
      <c r="N436" s="41">
        <f>dagwerk31</f>
        <v>0</v>
      </c>
      <c r="O436" s="94" t="s">
        <v>106</v>
      </c>
      <c r="P436" s="26">
        <f>uurtarief31</f>
        <v>0</v>
      </c>
      <c r="Q436" s="96" t="e">
        <f>IF(ISBLANK(M436),0,L436/M436)</f>
        <v>#DIV/0!</v>
      </c>
      <c r="R436" s="96" t="e">
        <f>IF(ISBLANK(M436),0,Q436*N436)</f>
        <v>#DIV/0!</v>
      </c>
      <c r="S436" s="26" t="e">
        <f>P436*Q436</f>
        <v>#DIV/0!</v>
      </c>
      <c r="T436" s="96" t="e">
        <f>Q436*dagenperjaar1</f>
        <v>#DIV/0!</v>
      </c>
      <c r="U436" s="27" t="e">
        <f>T436*P436</f>
        <v>#DIV/0!</v>
      </c>
    </row>
    <row r="437" spans="1:21" x14ac:dyDescent="0.3">
      <c r="A437" s="93" t="s">
        <v>753</v>
      </c>
      <c r="B437" s="94" t="s">
        <v>40</v>
      </c>
      <c r="C437" s="94" t="s">
        <v>290</v>
      </c>
      <c r="D437" s="94" t="s">
        <v>793</v>
      </c>
      <c r="E437" s="95" t="s">
        <v>303</v>
      </c>
      <c r="F437" s="94" t="s">
        <v>781</v>
      </c>
      <c r="G437" s="94" t="s">
        <v>265</v>
      </c>
      <c r="H437" s="94" t="s">
        <v>11</v>
      </c>
      <c r="I437" s="94" t="s">
        <v>219</v>
      </c>
      <c r="J437" s="94"/>
      <c r="K437" s="96">
        <v>16</v>
      </c>
      <c r="L437" s="96">
        <f>K437*VLOOKUP(H437,dagsoorttabel1,2,FALSE)</f>
        <v>16</v>
      </c>
      <c r="M437" s="97">
        <f>prodnorm61</f>
        <v>0</v>
      </c>
      <c r="N437" s="41">
        <f>dagwerk61</f>
        <v>0</v>
      </c>
      <c r="O437" s="94" t="s">
        <v>106</v>
      </c>
      <c r="P437" s="26">
        <f>uurtarief61</f>
        <v>0</v>
      </c>
      <c r="Q437" s="96" t="e">
        <f>IF(ISBLANK(M437),0,L437/M437)</f>
        <v>#DIV/0!</v>
      </c>
      <c r="R437" s="96" t="e">
        <f>IF(ISBLANK(M437),0,Q437*N437)</f>
        <v>#DIV/0!</v>
      </c>
      <c r="S437" s="26" t="e">
        <f>P437*Q437</f>
        <v>#DIV/0!</v>
      </c>
      <c r="T437" s="96" t="e">
        <f>Q437*dagenperjaar1</f>
        <v>#DIV/0!</v>
      </c>
      <c r="U437" s="27" t="e">
        <f>T437*P437</f>
        <v>#DIV/0!</v>
      </c>
    </row>
    <row r="438" spans="1:21" x14ac:dyDescent="0.3">
      <c r="A438" s="93" t="s">
        <v>753</v>
      </c>
      <c r="B438" s="94" t="s">
        <v>40</v>
      </c>
      <c r="C438" s="94" t="s">
        <v>290</v>
      </c>
      <c r="D438" s="94" t="s">
        <v>794</v>
      </c>
      <c r="E438" s="95" t="s">
        <v>313</v>
      </c>
      <c r="F438" s="94" t="s">
        <v>296</v>
      </c>
      <c r="G438" s="94" t="s">
        <v>267</v>
      </c>
      <c r="H438" s="94" t="s">
        <v>11</v>
      </c>
      <c r="I438" s="94" t="s">
        <v>219</v>
      </c>
      <c r="J438" s="94"/>
      <c r="K438" s="96">
        <v>10</v>
      </c>
      <c r="L438" s="96">
        <f>K438*VLOOKUP(H438,dagsoorttabel1,2,FALSE)</f>
        <v>10</v>
      </c>
      <c r="M438" s="97">
        <f>prodnorm63</f>
        <v>0</v>
      </c>
      <c r="N438" s="41">
        <f>dagwerk63</f>
        <v>0</v>
      </c>
      <c r="O438" s="94" t="s">
        <v>106</v>
      </c>
      <c r="P438" s="26">
        <f>uurtarief63</f>
        <v>0</v>
      </c>
      <c r="Q438" s="96" t="e">
        <f>IF(ISBLANK(M438),0,L438/M438)</f>
        <v>#DIV/0!</v>
      </c>
      <c r="R438" s="96" t="e">
        <f>IF(ISBLANK(M438),0,Q438*N438)</f>
        <v>#DIV/0!</v>
      </c>
      <c r="S438" s="26" t="e">
        <f>P438*Q438</f>
        <v>#DIV/0!</v>
      </c>
      <c r="T438" s="96" t="e">
        <f>Q438*dagenperjaar1</f>
        <v>#DIV/0!</v>
      </c>
      <c r="U438" s="27" t="e">
        <f>T438*P438</f>
        <v>#DIV/0!</v>
      </c>
    </row>
    <row r="439" spans="1:21" x14ac:dyDescent="0.3">
      <c r="A439" s="93" t="s">
        <v>753</v>
      </c>
      <c r="B439" s="94" t="s">
        <v>40</v>
      </c>
      <c r="C439" s="94" t="s">
        <v>290</v>
      </c>
      <c r="D439" s="94" t="s">
        <v>795</v>
      </c>
      <c r="E439" s="95" t="s">
        <v>453</v>
      </c>
      <c r="F439" s="94" t="s">
        <v>316</v>
      </c>
      <c r="G439" s="94" t="s">
        <v>261</v>
      </c>
      <c r="H439" s="94" t="s">
        <v>11</v>
      </c>
      <c r="I439" s="94" t="s">
        <v>219</v>
      </c>
      <c r="J439" s="94"/>
      <c r="K439" s="96">
        <v>10</v>
      </c>
      <c r="L439" s="96">
        <f>K439*VLOOKUP(H439,dagsoorttabel1,2,FALSE)</f>
        <v>10</v>
      </c>
      <c r="M439" s="97">
        <f>prodnorm56</f>
        <v>0</v>
      </c>
      <c r="N439" s="41">
        <f>dagwerk56</f>
        <v>0</v>
      </c>
      <c r="O439" s="94" t="s">
        <v>106</v>
      </c>
      <c r="P439" s="26">
        <f>uurtarief56</f>
        <v>0</v>
      </c>
      <c r="Q439" s="96" t="e">
        <f>IF(ISBLANK(M439),0,L439/M439)</f>
        <v>#DIV/0!</v>
      </c>
      <c r="R439" s="96" t="e">
        <f>IF(ISBLANK(M439),0,Q439*N439)</f>
        <v>#DIV/0!</v>
      </c>
      <c r="S439" s="26" t="e">
        <f>P439*Q439</f>
        <v>#DIV/0!</v>
      </c>
      <c r="T439" s="96" t="e">
        <f>Q439*dagenperjaar1</f>
        <v>#DIV/0!</v>
      </c>
      <c r="U439" s="27" t="e">
        <f>T439*P439</f>
        <v>#DIV/0!</v>
      </c>
    </row>
    <row r="440" spans="1:21" x14ac:dyDescent="0.3">
      <c r="A440" s="93" t="s">
        <v>753</v>
      </c>
      <c r="B440" s="94" t="s">
        <v>40</v>
      </c>
      <c r="C440" s="94" t="s">
        <v>290</v>
      </c>
      <c r="D440" s="94" t="s">
        <v>795</v>
      </c>
      <c r="E440" s="95" t="s">
        <v>453</v>
      </c>
      <c r="F440" s="94" t="s">
        <v>316</v>
      </c>
      <c r="G440" s="94" t="s">
        <v>263</v>
      </c>
      <c r="H440" s="94" t="s">
        <v>9</v>
      </c>
      <c r="I440" s="94" t="s">
        <v>219</v>
      </c>
      <c r="J440" s="94"/>
      <c r="K440" s="96">
        <v>10</v>
      </c>
      <c r="L440" s="96">
        <f>K440*VLOOKUP(H440,dagsoorttabel1,2,FALSE)</f>
        <v>20</v>
      </c>
      <c r="M440" s="97">
        <f>prodnorm59</f>
        <v>0</v>
      </c>
      <c r="N440" s="41">
        <f>dagwerk59</f>
        <v>0</v>
      </c>
      <c r="O440" s="94" t="s">
        <v>106</v>
      </c>
      <c r="P440" s="26">
        <f>uurtarief59</f>
        <v>0</v>
      </c>
      <c r="Q440" s="96" t="e">
        <f>IF(ISBLANK(M440),0,L440/M440)</f>
        <v>#DIV/0!</v>
      </c>
      <c r="R440" s="96" t="e">
        <f>IF(ISBLANK(M440),0,Q440*N440)</f>
        <v>#DIV/0!</v>
      </c>
      <c r="S440" s="26" t="e">
        <f>P440*Q440</f>
        <v>#DIV/0!</v>
      </c>
      <c r="T440" s="96" t="e">
        <f>Q440*dagenperjaar1</f>
        <v>#DIV/0!</v>
      </c>
      <c r="U440" s="27" t="e">
        <f>T440*P440</f>
        <v>#DIV/0!</v>
      </c>
    </row>
    <row r="441" spans="1:21" x14ac:dyDescent="0.3">
      <c r="A441" s="93" t="s">
        <v>753</v>
      </c>
      <c r="B441" s="94" t="s">
        <v>40</v>
      </c>
      <c r="C441" s="94" t="s">
        <v>290</v>
      </c>
      <c r="D441" s="94" t="s">
        <v>796</v>
      </c>
      <c r="E441" s="95" t="s">
        <v>455</v>
      </c>
      <c r="F441" s="94" t="s">
        <v>316</v>
      </c>
      <c r="G441" s="94" t="s">
        <v>261</v>
      </c>
      <c r="H441" s="94" t="s">
        <v>11</v>
      </c>
      <c r="I441" s="94" t="s">
        <v>219</v>
      </c>
      <c r="J441" s="94"/>
      <c r="K441" s="96">
        <v>10</v>
      </c>
      <c r="L441" s="96">
        <f>K441*VLOOKUP(H441,dagsoorttabel1,2,FALSE)</f>
        <v>10</v>
      </c>
      <c r="M441" s="97">
        <f>prodnorm56</f>
        <v>0</v>
      </c>
      <c r="N441" s="41">
        <f>dagwerk56</f>
        <v>0</v>
      </c>
      <c r="O441" s="94" t="s">
        <v>106</v>
      </c>
      <c r="P441" s="26">
        <f>uurtarief56</f>
        <v>0</v>
      </c>
      <c r="Q441" s="96" t="e">
        <f>IF(ISBLANK(M441),0,L441/M441)</f>
        <v>#DIV/0!</v>
      </c>
      <c r="R441" s="96" t="e">
        <f>IF(ISBLANK(M441),0,Q441*N441)</f>
        <v>#DIV/0!</v>
      </c>
      <c r="S441" s="26" t="e">
        <f>P441*Q441</f>
        <v>#DIV/0!</v>
      </c>
      <c r="T441" s="96" t="e">
        <f>Q441*dagenperjaar1</f>
        <v>#DIV/0!</v>
      </c>
      <c r="U441" s="27" t="e">
        <f>T441*P441</f>
        <v>#DIV/0!</v>
      </c>
    </row>
    <row r="442" spans="1:21" x14ac:dyDescent="0.3">
      <c r="A442" s="93" t="s">
        <v>753</v>
      </c>
      <c r="B442" s="94" t="s">
        <v>40</v>
      </c>
      <c r="C442" s="94" t="s">
        <v>290</v>
      </c>
      <c r="D442" s="94" t="s">
        <v>796</v>
      </c>
      <c r="E442" s="95" t="s">
        <v>455</v>
      </c>
      <c r="F442" s="94" t="s">
        <v>316</v>
      </c>
      <c r="G442" s="94" t="s">
        <v>263</v>
      </c>
      <c r="H442" s="94" t="s">
        <v>9</v>
      </c>
      <c r="I442" s="94" t="s">
        <v>219</v>
      </c>
      <c r="J442" s="94"/>
      <c r="K442" s="96">
        <v>10</v>
      </c>
      <c r="L442" s="96">
        <f>K442*VLOOKUP(H442,dagsoorttabel1,2,FALSE)</f>
        <v>20</v>
      </c>
      <c r="M442" s="97">
        <f>prodnorm59</f>
        <v>0</v>
      </c>
      <c r="N442" s="41">
        <f>dagwerk59</f>
        <v>0</v>
      </c>
      <c r="O442" s="94" t="s">
        <v>106</v>
      </c>
      <c r="P442" s="26">
        <f>uurtarief59</f>
        <v>0</v>
      </c>
      <c r="Q442" s="96" t="e">
        <f>IF(ISBLANK(M442),0,L442/M442)</f>
        <v>#DIV/0!</v>
      </c>
      <c r="R442" s="96" t="e">
        <f>IF(ISBLANK(M442),0,Q442*N442)</f>
        <v>#DIV/0!</v>
      </c>
      <c r="S442" s="26" t="e">
        <f>P442*Q442</f>
        <v>#DIV/0!</v>
      </c>
      <c r="T442" s="96" t="e">
        <f>Q442*dagenperjaar1</f>
        <v>#DIV/0!</v>
      </c>
      <c r="U442" s="27" t="e">
        <f>T442*P442</f>
        <v>#DIV/0!</v>
      </c>
    </row>
    <row r="443" spans="1:21" x14ac:dyDescent="0.3">
      <c r="A443" s="93" t="s">
        <v>753</v>
      </c>
      <c r="B443" s="94" t="s">
        <v>40</v>
      </c>
      <c r="C443" s="94" t="s">
        <v>290</v>
      </c>
      <c r="D443" s="94" t="s">
        <v>797</v>
      </c>
      <c r="E443" s="95" t="s">
        <v>455</v>
      </c>
      <c r="F443" s="94" t="s">
        <v>316</v>
      </c>
      <c r="G443" s="94" t="s">
        <v>261</v>
      </c>
      <c r="H443" s="94" t="s">
        <v>11</v>
      </c>
      <c r="I443" s="94" t="s">
        <v>219</v>
      </c>
      <c r="J443" s="94"/>
      <c r="K443" s="96">
        <v>6</v>
      </c>
      <c r="L443" s="96">
        <f>K443*VLOOKUP(H443,dagsoorttabel1,2,FALSE)</f>
        <v>6</v>
      </c>
      <c r="M443" s="97">
        <f>prodnorm56</f>
        <v>0</v>
      </c>
      <c r="N443" s="41">
        <f>dagwerk56</f>
        <v>0</v>
      </c>
      <c r="O443" s="94" t="s">
        <v>106</v>
      </c>
      <c r="P443" s="26">
        <f>uurtarief56</f>
        <v>0</v>
      </c>
      <c r="Q443" s="96" t="e">
        <f>IF(ISBLANK(M443),0,L443/M443)</f>
        <v>#DIV/0!</v>
      </c>
      <c r="R443" s="96" t="e">
        <f>IF(ISBLANK(M443),0,Q443*N443)</f>
        <v>#DIV/0!</v>
      </c>
      <c r="S443" s="26" t="e">
        <f>P443*Q443</f>
        <v>#DIV/0!</v>
      </c>
      <c r="T443" s="96" t="e">
        <f>Q443*dagenperjaar1</f>
        <v>#DIV/0!</v>
      </c>
      <c r="U443" s="27" t="e">
        <f>T443*P443</f>
        <v>#DIV/0!</v>
      </c>
    </row>
    <row r="444" spans="1:21" x14ac:dyDescent="0.3">
      <c r="A444" s="93" t="s">
        <v>753</v>
      </c>
      <c r="B444" s="94" t="s">
        <v>40</v>
      </c>
      <c r="C444" s="94" t="s">
        <v>290</v>
      </c>
      <c r="D444" s="94" t="s">
        <v>797</v>
      </c>
      <c r="E444" s="95" t="s">
        <v>455</v>
      </c>
      <c r="F444" s="94" t="s">
        <v>316</v>
      </c>
      <c r="G444" s="94" t="s">
        <v>263</v>
      </c>
      <c r="H444" s="94" t="s">
        <v>9</v>
      </c>
      <c r="I444" s="94" t="s">
        <v>219</v>
      </c>
      <c r="J444" s="94"/>
      <c r="K444" s="96">
        <v>6</v>
      </c>
      <c r="L444" s="96">
        <f>K444*VLOOKUP(H444,dagsoorttabel1,2,FALSE)</f>
        <v>12</v>
      </c>
      <c r="M444" s="97">
        <f>prodnorm59</f>
        <v>0</v>
      </c>
      <c r="N444" s="41">
        <f>dagwerk59</f>
        <v>0</v>
      </c>
      <c r="O444" s="94" t="s">
        <v>106</v>
      </c>
      <c r="P444" s="26">
        <f>uurtarief59</f>
        <v>0</v>
      </c>
      <c r="Q444" s="96" t="e">
        <f>IF(ISBLANK(M444),0,L444/M444)</f>
        <v>#DIV/0!</v>
      </c>
      <c r="R444" s="96" t="e">
        <f>IF(ISBLANK(M444),0,Q444*N444)</f>
        <v>#DIV/0!</v>
      </c>
      <c r="S444" s="26" t="e">
        <f>P444*Q444</f>
        <v>#DIV/0!</v>
      </c>
      <c r="T444" s="96" t="e">
        <f>Q444*dagenperjaar1</f>
        <v>#DIV/0!</v>
      </c>
      <c r="U444" s="27" t="e">
        <f>T444*P444</f>
        <v>#DIV/0!</v>
      </c>
    </row>
    <row r="445" spans="1:21" x14ac:dyDescent="0.3">
      <c r="A445" s="93" t="s">
        <v>753</v>
      </c>
      <c r="B445" s="94" t="s">
        <v>40</v>
      </c>
      <c r="C445" s="94" t="s">
        <v>290</v>
      </c>
      <c r="D445" s="94" t="s">
        <v>798</v>
      </c>
      <c r="E445" s="95" t="s">
        <v>453</v>
      </c>
      <c r="F445" s="94" t="s">
        <v>316</v>
      </c>
      <c r="G445" s="94" t="s">
        <v>261</v>
      </c>
      <c r="H445" s="94" t="s">
        <v>11</v>
      </c>
      <c r="I445" s="94" t="s">
        <v>219</v>
      </c>
      <c r="J445" s="94"/>
      <c r="K445" s="96">
        <v>6</v>
      </c>
      <c r="L445" s="96">
        <f>K445*VLOOKUP(H445,dagsoorttabel1,2,FALSE)</f>
        <v>6</v>
      </c>
      <c r="M445" s="97">
        <f>prodnorm56</f>
        <v>0</v>
      </c>
      <c r="N445" s="41">
        <f>dagwerk56</f>
        <v>0</v>
      </c>
      <c r="O445" s="94" t="s">
        <v>106</v>
      </c>
      <c r="P445" s="26">
        <f>uurtarief56</f>
        <v>0</v>
      </c>
      <c r="Q445" s="96" t="e">
        <f>IF(ISBLANK(M445),0,L445/M445)</f>
        <v>#DIV/0!</v>
      </c>
      <c r="R445" s="96" t="e">
        <f>IF(ISBLANK(M445),0,Q445*N445)</f>
        <v>#DIV/0!</v>
      </c>
      <c r="S445" s="26" t="e">
        <f>P445*Q445</f>
        <v>#DIV/0!</v>
      </c>
      <c r="T445" s="96" t="e">
        <f>Q445*dagenperjaar1</f>
        <v>#DIV/0!</v>
      </c>
      <c r="U445" s="27" t="e">
        <f>T445*P445</f>
        <v>#DIV/0!</v>
      </c>
    </row>
    <row r="446" spans="1:21" x14ac:dyDescent="0.3">
      <c r="A446" s="93" t="s">
        <v>753</v>
      </c>
      <c r="B446" s="94" t="s">
        <v>40</v>
      </c>
      <c r="C446" s="94" t="s">
        <v>290</v>
      </c>
      <c r="D446" s="94" t="s">
        <v>798</v>
      </c>
      <c r="E446" s="95" t="s">
        <v>453</v>
      </c>
      <c r="F446" s="94" t="s">
        <v>316</v>
      </c>
      <c r="G446" s="94" t="s">
        <v>263</v>
      </c>
      <c r="H446" s="94" t="s">
        <v>9</v>
      </c>
      <c r="I446" s="94" t="s">
        <v>219</v>
      </c>
      <c r="J446" s="94"/>
      <c r="K446" s="96">
        <v>6</v>
      </c>
      <c r="L446" s="96">
        <f>K446*VLOOKUP(H446,dagsoorttabel1,2,FALSE)</f>
        <v>12</v>
      </c>
      <c r="M446" s="97">
        <f>prodnorm59</f>
        <v>0</v>
      </c>
      <c r="N446" s="41">
        <f>dagwerk59</f>
        <v>0</v>
      </c>
      <c r="O446" s="94" t="s">
        <v>106</v>
      </c>
      <c r="P446" s="26">
        <f>uurtarief59</f>
        <v>0</v>
      </c>
      <c r="Q446" s="96" t="e">
        <f>IF(ISBLANK(M446),0,L446/M446)</f>
        <v>#DIV/0!</v>
      </c>
      <c r="R446" s="96" t="e">
        <f>IF(ISBLANK(M446),0,Q446*N446)</f>
        <v>#DIV/0!</v>
      </c>
      <c r="S446" s="26" t="e">
        <f>P446*Q446</f>
        <v>#DIV/0!</v>
      </c>
      <c r="T446" s="96" t="e">
        <f>Q446*dagenperjaar1</f>
        <v>#DIV/0!</v>
      </c>
      <c r="U446" s="27" t="e">
        <f>T446*P446</f>
        <v>#DIV/0!</v>
      </c>
    </row>
    <row r="447" spans="1:21" x14ac:dyDescent="0.3">
      <c r="A447" s="93" t="s">
        <v>753</v>
      </c>
      <c r="B447" s="94" t="s">
        <v>40</v>
      </c>
      <c r="C447" s="94" t="s">
        <v>290</v>
      </c>
      <c r="D447" s="94" t="s">
        <v>799</v>
      </c>
      <c r="E447" s="95" t="s">
        <v>303</v>
      </c>
      <c r="F447" s="94" t="s">
        <v>657</v>
      </c>
      <c r="G447" s="94" t="s">
        <v>265</v>
      </c>
      <c r="H447" s="94" t="s">
        <v>11</v>
      </c>
      <c r="I447" s="94" t="s">
        <v>219</v>
      </c>
      <c r="J447" s="94"/>
      <c r="K447" s="96">
        <v>16</v>
      </c>
      <c r="L447" s="96">
        <f>K447*VLOOKUP(H447,dagsoorttabel1,2,FALSE)</f>
        <v>16</v>
      </c>
      <c r="M447" s="97">
        <f>prodnorm61</f>
        <v>0</v>
      </c>
      <c r="N447" s="41">
        <f>dagwerk61</f>
        <v>0</v>
      </c>
      <c r="O447" s="94" t="s">
        <v>106</v>
      </c>
      <c r="P447" s="26">
        <f>uurtarief61</f>
        <v>0</v>
      </c>
      <c r="Q447" s="96" t="e">
        <f>IF(ISBLANK(M447),0,L447/M447)</f>
        <v>#DIV/0!</v>
      </c>
      <c r="R447" s="96" t="e">
        <f>IF(ISBLANK(M447),0,Q447*N447)</f>
        <v>#DIV/0!</v>
      </c>
      <c r="S447" s="26" t="e">
        <f>P447*Q447</f>
        <v>#DIV/0!</v>
      </c>
      <c r="T447" s="96" t="e">
        <f>Q447*dagenperjaar1</f>
        <v>#DIV/0!</v>
      </c>
      <c r="U447" s="27" t="e">
        <f>T447*P447</f>
        <v>#DIV/0!</v>
      </c>
    </row>
    <row r="448" spans="1:21" x14ac:dyDescent="0.3">
      <c r="A448" s="93" t="s">
        <v>753</v>
      </c>
      <c r="B448" s="94" t="s">
        <v>40</v>
      </c>
      <c r="C448" s="94" t="s">
        <v>290</v>
      </c>
      <c r="D448" s="94" t="s">
        <v>800</v>
      </c>
      <c r="E448" s="95" t="s">
        <v>453</v>
      </c>
      <c r="F448" s="94" t="s">
        <v>316</v>
      </c>
      <c r="G448" s="94" t="s">
        <v>261</v>
      </c>
      <c r="H448" s="94" t="s">
        <v>11</v>
      </c>
      <c r="I448" s="94" t="s">
        <v>219</v>
      </c>
      <c r="J448" s="94"/>
      <c r="K448" s="96">
        <v>12</v>
      </c>
      <c r="L448" s="96">
        <f>K448*VLOOKUP(H448,dagsoorttabel1,2,FALSE)</f>
        <v>12</v>
      </c>
      <c r="M448" s="97">
        <f>prodnorm56</f>
        <v>0</v>
      </c>
      <c r="N448" s="41">
        <f>dagwerk56</f>
        <v>0</v>
      </c>
      <c r="O448" s="94" t="s">
        <v>106</v>
      </c>
      <c r="P448" s="26">
        <f>uurtarief56</f>
        <v>0</v>
      </c>
      <c r="Q448" s="96" t="e">
        <f>IF(ISBLANK(M448),0,L448/M448)</f>
        <v>#DIV/0!</v>
      </c>
      <c r="R448" s="96" t="e">
        <f>IF(ISBLANK(M448),0,Q448*N448)</f>
        <v>#DIV/0!</v>
      </c>
      <c r="S448" s="26" t="e">
        <f>P448*Q448</f>
        <v>#DIV/0!</v>
      </c>
      <c r="T448" s="96" t="e">
        <f>Q448*dagenperjaar1</f>
        <v>#DIV/0!</v>
      </c>
      <c r="U448" s="27" t="e">
        <f>T448*P448</f>
        <v>#DIV/0!</v>
      </c>
    </row>
    <row r="449" spans="1:21" x14ac:dyDescent="0.3">
      <c r="A449" s="93" t="s">
        <v>753</v>
      </c>
      <c r="B449" s="94" t="s">
        <v>40</v>
      </c>
      <c r="C449" s="94" t="s">
        <v>290</v>
      </c>
      <c r="D449" s="94" t="s">
        <v>800</v>
      </c>
      <c r="E449" s="95" t="s">
        <v>453</v>
      </c>
      <c r="F449" s="94" t="s">
        <v>316</v>
      </c>
      <c r="G449" s="94" t="s">
        <v>263</v>
      </c>
      <c r="H449" s="94" t="s">
        <v>9</v>
      </c>
      <c r="I449" s="94" t="s">
        <v>219</v>
      </c>
      <c r="J449" s="94"/>
      <c r="K449" s="96">
        <v>12</v>
      </c>
      <c r="L449" s="96">
        <f>K449*VLOOKUP(H449,dagsoorttabel1,2,FALSE)</f>
        <v>24</v>
      </c>
      <c r="M449" s="97">
        <f>prodnorm59</f>
        <v>0</v>
      </c>
      <c r="N449" s="41">
        <f>dagwerk59</f>
        <v>0</v>
      </c>
      <c r="O449" s="94" t="s">
        <v>106</v>
      </c>
      <c r="P449" s="26">
        <f>uurtarief59</f>
        <v>0</v>
      </c>
      <c r="Q449" s="96" t="e">
        <f>IF(ISBLANK(M449),0,L449/M449)</f>
        <v>#DIV/0!</v>
      </c>
      <c r="R449" s="96" t="e">
        <f>IF(ISBLANK(M449),0,Q449*N449)</f>
        <v>#DIV/0!</v>
      </c>
      <c r="S449" s="26" t="e">
        <f>P449*Q449</f>
        <v>#DIV/0!</v>
      </c>
      <c r="T449" s="96" t="e">
        <f>Q449*dagenperjaar1</f>
        <v>#DIV/0!</v>
      </c>
      <c r="U449" s="27" t="e">
        <f>T449*P449</f>
        <v>#DIV/0!</v>
      </c>
    </row>
    <row r="450" spans="1:21" x14ac:dyDescent="0.3">
      <c r="A450" s="93" t="s">
        <v>753</v>
      </c>
      <c r="B450" s="94" t="s">
        <v>40</v>
      </c>
      <c r="C450" s="94" t="s">
        <v>290</v>
      </c>
      <c r="D450" s="94" t="s">
        <v>801</v>
      </c>
      <c r="E450" s="95" t="s">
        <v>455</v>
      </c>
      <c r="F450" s="94" t="s">
        <v>316</v>
      </c>
      <c r="G450" s="94" t="s">
        <v>261</v>
      </c>
      <c r="H450" s="94" t="s">
        <v>11</v>
      </c>
      <c r="I450" s="94" t="s">
        <v>219</v>
      </c>
      <c r="J450" s="94"/>
      <c r="K450" s="96">
        <v>11</v>
      </c>
      <c r="L450" s="96">
        <f>K450*VLOOKUP(H450,dagsoorttabel1,2,FALSE)</f>
        <v>11</v>
      </c>
      <c r="M450" s="97">
        <f>prodnorm56</f>
        <v>0</v>
      </c>
      <c r="N450" s="41">
        <f>dagwerk56</f>
        <v>0</v>
      </c>
      <c r="O450" s="94" t="s">
        <v>106</v>
      </c>
      <c r="P450" s="26">
        <f>uurtarief56</f>
        <v>0</v>
      </c>
      <c r="Q450" s="96" t="e">
        <f>IF(ISBLANK(M450),0,L450/M450)</f>
        <v>#DIV/0!</v>
      </c>
      <c r="R450" s="96" t="e">
        <f>IF(ISBLANK(M450),0,Q450*N450)</f>
        <v>#DIV/0!</v>
      </c>
      <c r="S450" s="26" t="e">
        <f>P450*Q450</f>
        <v>#DIV/0!</v>
      </c>
      <c r="T450" s="96" t="e">
        <f>Q450*dagenperjaar1</f>
        <v>#DIV/0!</v>
      </c>
      <c r="U450" s="27" t="e">
        <f>T450*P450</f>
        <v>#DIV/0!</v>
      </c>
    </row>
    <row r="451" spans="1:21" x14ac:dyDescent="0.3">
      <c r="A451" s="93" t="s">
        <v>753</v>
      </c>
      <c r="B451" s="94" t="s">
        <v>40</v>
      </c>
      <c r="C451" s="94" t="s">
        <v>290</v>
      </c>
      <c r="D451" s="94" t="s">
        <v>801</v>
      </c>
      <c r="E451" s="95" t="s">
        <v>455</v>
      </c>
      <c r="F451" s="94" t="s">
        <v>316</v>
      </c>
      <c r="G451" s="94" t="s">
        <v>263</v>
      </c>
      <c r="H451" s="94" t="s">
        <v>9</v>
      </c>
      <c r="I451" s="94" t="s">
        <v>219</v>
      </c>
      <c r="J451" s="94"/>
      <c r="K451" s="96">
        <v>11</v>
      </c>
      <c r="L451" s="96">
        <f>K451*VLOOKUP(H451,dagsoorttabel1,2,FALSE)</f>
        <v>22</v>
      </c>
      <c r="M451" s="97">
        <f>prodnorm59</f>
        <v>0</v>
      </c>
      <c r="N451" s="41">
        <f>dagwerk59</f>
        <v>0</v>
      </c>
      <c r="O451" s="94" t="s">
        <v>106</v>
      </c>
      <c r="P451" s="26">
        <f>uurtarief59</f>
        <v>0</v>
      </c>
      <c r="Q451" s="96" t="e">
        <f>IF(ISBLANK(M451),0,L451/M451)</f>
        <v>#DIV/0!</v>
      </c>
      <c r="R451" s="96" t="e">
        <f>IF(ISBLANK(M451),0,Q451*N451)</f>
        <v>#DIV/0!</v>
      </c>
      <c r="S451" s="26" t="e">
        <f>P451*Q451</f>
        <v>#DIV/0!</v>
      </c>
      <c r="T451" s="96" t="e">
        <f>Q451*dagenperjaar1</f>
        <v>#DIV/0!</v>
      </c>
      <c r="U451" s="27" t="e">
        <f>T451*P451</f>
        <v>#DIV/0!</v>
      </c>
    </row>
    <row r="452" spans="1:21" x14ac:dyDescent="0.3">
      <c r="A452" s="93" t="s">
        <v>753</v>
      </c>
      <c r="B452" s="94" t="s">
        <v>40</v>
      </c>
      <c r="C452" s="94" t="s">
        <v>290</v>
      </c>
      <c r="D452" s="94" t="s">
        <v>802</v>
      </c>
      <c r="E452" s="95" t="s">
        <v>303</v>
      </c>
      <c r="F452" s="94" t="s">
        <v>657</v>
      </c>
      <c r="G452" s="94" t="s">
        <v>265</v>
      </c>
      <c r="H452" s="94" t="s">
        <v>11</v>
      </c>
      <c r="I452" s="94" t="s">
        <v>219</v>
      </c>
      <c r="J452" s="94"/>
      <c r="K452" s="96">
        <v>18</v>
      </c>
      <c r="L452" s="96">
        <f>K452*VLOOKUP(H452,dagsoorttabel1,2,FALSE)</f>
        <v>18</v>
      </c>
      <c r="M452" s="97">
        <f>prodnorm61</f>
        <v>0</v>
      </c>
      <c r="N452" s="41">
        <f>dagwerk61</f>
        <v>0</v>
      </c>
      <c r="O452" s="94" t="s">
        <v>106</v>
      </c>
      <c r="P452" s="26">
        <f>uurtarief61</f>
        <v>0</v>
      </c>
      <c r="Q452" s="96" t="e">
        <f>IF(ISBLANK(M452),0,L452/M452)</f>
        <v>#DIV/0!</v>
      </c>
      <c r="R452" s="96" t="e">
        <f>IF(ISBLANK(M452),0,Q452*N452)</f>
        <v>#DIV/0!</v>
      </c>
      <c r="S452" s="26" t="e">
        <f>P452*Q452</f>
        <v>#DIV/0!</v>
      </c>
      <c r="T452" s="96" t="e">
        <f>Q452*dagenperjaar1</f>
        <v>#DIV/0!</v>
      </c>
      <c r="U452" s="27" t="e">
        <f>T452*P452</f>
        <v>#DIV/0!</v>
      </c>
    </row>
    <row r="453" spans="1:21" x14ac:dyDescent="0.3">
      <c r="A453" s="93" t="s">
        <v>753</v>
      </c>
      <c r="B453" s="94" t="s">
        <v>40</v>
      </c>
      <c r="C453" s="94" t="s">
        <v>290</v>
      </c>
      <c r="D453" s="94" t="s">
        <v>803</v>
      </c>
      <c r="E453" s="95" t="s">
        <v>338</v>
      </c>
      <c r="F453" s="94" t="s">
        <v>330</v>
      </c>
      <c r="G453" s="94" t="s">
        <v>267</v>
      </c>
      <c r="H453" s="94" t="s">
        <v>11</v>
      </c>
      <c r="I453" s="94" t="s">
        <v>219</v>
      </c>
      <c r="J453" s="94"/>
      <c r="K453" s="96">
        <v>32</v>
      </c>
      <c r="L453" s="96">
        <f>K453*VLOOKUP(H453,dagsoorttabel1,2,FALSE)</f>
        <v>32</v>
      </c>
      <c r="M453" s="97">
        <f>prodnorm63</f>
        <v>0</v>
      </c>
      <c r="N453" s="41">
        <f>dagwerk63</f>
        <v>0</v>
      </c>
      <c r="O453" s="94" t="s">
        <v>106</v>
      </c>
      <c r="P453" s="26">
        <f>uurtarief63</f>
        <v>0</v>
      </c>
      <c r="Q453" s="96" t="e">
        <f>IF(ISBLANK(M453),0,L453/M453)</f>
        <v>#DIV/0!</v>
      </c>
      <c r="R453" s="96" t="e">
        <f>IF(ISBLANK(M453),0,Q453*N453)</f>
        <v>#DIV/0!</v>
      </c>
      <c r="S453" s="26" t="e">
        <f>P453*Q453</f>
        <v>#DIV/0!</v>
      </c>
      <c r="T453" s="96" t="e">
        <f>Q453*dagenperjaar1</f>
        <v>#DIV/0!</v>
      </c>
      <c r="U453" s="27" t="e">
        <f>T453*P453</f>
        <v>#DIV/0!</v>
      </c>
    </row>
    <row r="454" spans="1:21" x14ac:dyDescent="0.3">
      <c r="A454" s="93" t="s">
        <v>753</v>
      </c>
      <c r="B454" s="94" t="s">
        <v>40</v>
      </c>
      <c r="C454" s="94" t="s">
        <v>290</v>
      </c>
      <c r="D454" s="94" t="s">
        <v>804</v>
      </c>
      <c r="E454" s="95" t="s">
        <v>338</v>
      </c>
      <c r="F454" s="94" t="s">
        <v>330</v>
      </c>
      <c r="G454" s="94" t="s">
        <v>267</v>
      </c>
      <c r="H454" s="94" t="s">
        <v>11</v>
      </c>
      <c r="I454" s="94" t="s">
        <v>219</v>
      </c>
      <c r="J454" s="94"/>
      <c r="K454" s="96">
        <v>167</v>
      </c>
      <c r="L454" s="96">
        <f>K454*VLOOKUP(H454,dagsoorttabel1,2,FALSE)</f>
        <v>167</v>
      </c>
      <c r="M454" s="97">
        <f>prodnorm63</f>
        <v>0</v>
      </c>
      <c r="N454" s="41">
        <f>dagwerk63</f>
        <v>0</v>
      </c>
      <c r="O454" s="94" t="s">
        <v>106</v>
      </c>
      <c r="P454" s="26">
        <f>uurtarief63</f>
        <v>0</v>
      </c>
      <c r="Q454" s="96" t="e">
        <f>IF(ISBLANK(M454),0,L454/M454)</f>
        <v>#DIV/0!</v>
      </c>
      <c r="R454" s="96" t="e">
        <f>IF(ISBLANK(M454),0,Q454*N454)</f>
        <v>#DIV/0!</v>
      </c>
      <c r="S454" s="26" t="e">
        <f>P454*Q454</f>
        <v>#DIV/0!</v>
      </c>
      <c r="T454" s="96" t="e">
        <f>Q454*dagenperjaar1</f>
        <v>#DIV/0!</v>
      </c>
      <c r="U454" s="27" t="e">
        <f>T454*P454</f>
        <v>#DIV/0!</v>
      </c>
    </row>
    <row r="455" spans="1:21" x14ac:dyDescent="0.3">
      <c r="A455" s="93" t="s">
        <v>753</v>
      </c>
      <c r="B455" s="94" t="s">
        <v>40</v>
      </c>
      <c r="C455" s="94" t="s">
        <v>290</v>
      </c>
      <c r="D455" s="94" t="s">
        <v>805</v>
      </c>
      <c r="E455" s="95" t="s">
        <v>409</v>
      </c>
      <c r="F455" s="94" t="s">
        <v>781</v>
      </c>
      <c r="G455" s="94" t="s">
        <v>267</v>
      </c>
      <c r="H455" s="94" t="s">
        <v>11</v>
      </c>
      <c r="I455" s="94" t="s">
        <v>219</v>
      </c>
      <c r="J455" s="94"/>
      <c r="K455" s="96">
        <v>30</v>
      </c>
      <c r="L455" s="96">
        <f>K455*VLOOKUP(H455,dagsoorttabel1,2,FALSE)</f>
        <v>30</v>
      </c>
      <c r="M455" s="97">
        <f>prodnorm63</f>
        <v>0</v>
      </c>
      <c r="N455" s="41">
        <f>dagwerk63</f>
        <v>0</v>
      </c>
      <c r="O455" s="94" t="s">
        <v>106</v>
      </c>
      <c r="P455" s="26">
        <f>uurtarief63</f>
        <v>0</v>
      </c>
      <c r="Q455" s="96" t="e">
        <f>IF(ISBLANK(M455),0,L455/M455)</f>
        <v>#DIV/0!</v>
      </c>
      <c r="R455" s="96" t="e">
        <f>IF(ISBLANK(M455),0,Q455*N455)</f>
        <v>#DIV/0!</v>
      </c>
      <c r="S455" s="26" t="e">
        <f>P455*Q455</f>
        <v>#DIV/0!</v>
      </c>
      <c r="T455" s="96" t="e">
        <f>Q455*dagenperjaar1</f>
        <v>#DIV/0!</v>
      </c>
      <c r="U455" s="27" t="e">
        <f>T455*P455</f>
        <v>#DIV/0!</v>
      </c>
    </row>
    <row r="456" spans="1:21" x14ac:dyDescent="0.3">
      <c r="A456" s="93" t="s">
        <v>753</v>
      </c>
      <c r="B456" s="94" t="s">
        <v>40</v>
      </c>
      <c r="C456" s="94" t="s">
        <v>290</v>
      </c>
      <c r="D456" s="94" t="s">
        <v>806</v>
      </c>
      <c r="E456" s="95" t="s">
        <v>807</v>
      </c>
      <c r="F456" s="94" t="s">
        <v>330</v>
      </c>
      <c r="G456" s="94" t="s">
        <v>218</v>
      </c>
      <c r="H456" s="94" t="s">
        <v>11</v>
      </c>
      <c r="I456" s="94" t="s">
        <v>219</v>
      </c>
      <c r="J456" s="94"/>
      <c r="K456" s="96">
        <v>80</v>
      </c>
      <c r="L456" s="96">
        <f>K456*VLOOKUP(H456,dagsoorttabel1,2,FALSE)</f>
        <v>80</v>
      </c>
      <c r="M456" s="97">
        <f>prodnorm16</f>
        <v>0</v>
      </c>
      <c r="N456" s="41">
        <f>dagwerk16</f>
        <v>0</v>
      </c>
      <c r="O456" s="94" t="s">
        <v>106</v>
      </c>
      <c r="P456" s="26">
        <f>uurtarief16</f>
        <v>0</v>
      </c>
      <c r="Q456" s="96" t="e">
        <f>IF(ISBLANK(M456),0,L456/M456)</f>
        <v>#DIV/0!</v>
      </c>
      <c r="R456" s="96" t="e">
        <f>IF(ISBLANK(M456),0,Q456*N456)</f>
        <v>#DIV/0!</v>
      </c>
      <c r="S456" s="26" t="e">
        <f>P456*Q456</f>
        <v>#DIV/0!</v>
      </c>
      <c r="T456" s="96" t="e">
        <f>Q456*dagenperjaar1</f>
        <v>#DIV/0!</v>
      </c>
      <c r="U456" s="27" t="e">
        <f>T456*P456</f>
        <v>#DIV/0!</v>
      </c>
    </row>
    <row r="457" spans="1:21" x14ac:dyDescent="0.3">
      <c r="A457" s="93" t="s">
        <v>753</v>
      </c>
      <c r="B457" s="94" t="s">
        <v>40</v>
      </c>
      <c r="C457" s="94" t="s">
        <v>290</v>
      </c>
      <c r="D457" s="94" t="s">
        <v>808</v>
      </c>
      <c r="E457" s="95" t="s">
        <v>292</v>
      </c>
      <c r="F457" s="94" t="s">
        <v>612</v>
      </c>
      <c r="G457" s="94" t="s">
        <v>229</v>
      </c>
      <c r="H457" s="94" t="s">
        <v>11</v>
      </c>
      <c r="I457" s="94" t="s">
        <v>219</v>
      </c>
      <c r="J457" s="94"/>
      <c r="K457" s="96">
        <v>21</v>
      </c>
      <c r="L457" s="96">
        <f>K457*VLOOKUP(H457,dagsoorttabel1,2,FALSE)</f>
        <v>21</v>
      </c>
      <c r="M457" s="97">
        <f>prodnorm27</f>
        <v>0</v>
      </c>
      <c r="N457" s="41">
        <f>dagwerk27</f>
        <v>0</v>
      </c>
      <c r="O457" s="94" t="s">
        <v>106</v>
      </c>
      <c r="P457" s="26">
        <f>uurtarief27</f>
        <v>0</v>
      </c>
      <c r="Q457" s="96" t="e">
        <f>IF(ISBLANK(M457),0,L457/M457)</f>
        <v>#DIV/0!</v>
      </c>
      <c r="R457" s="96" t="e">
        <f>IF(ISBLANK(M457),0,Q457*N457)</f>
        <v>#DIV/0!</v>
      </c>
      <c r="S457" s="26" t="e">
        <f>P457*Q457</f>
        <v>#DIV/0!</v>
      </c>
      <c r="T457" s="96" t="e">
        <f>Q457*dagenperjaar1</f>
        <v>#DIV/0!</v>
      </c>
      <c r="U457" s="27" t="e">
        <f>T457*P457</f>
        <v>#DIV/0!</v>
      </c>
    </row>
    <row r="458" spans="1:21" x14ac:dyDescent="0.3">
      <c r="A458" s="93" t="s">
        <v>753</v>
      </c>
      <c r="B458" s="94" t="s">
        <v>40</v>
      </c>
      <c r="C458" s="94" t="s">
        <v>290</v>
      </c>
      <c r="D458" s="94" t="s">
        <v>809</v>
      </c>
      <c r="E458" s="95" t="s">
        <v>292</v>
      </c>
      <c r="F458" s="94" t="s">
        <v>612</v>
      </c>
      <c r="G458" s="94" t="s">
        <v>229</v>
      </c>
      <c r="H458" s="94" t="s">
        <v>11</v>
      </c>
      <c r="I458" s="94" t="s">
        <v>219</v>
      </c>
      <c r="J458" s="94"/>
      <c r="K458" s="96">
        <v>21</v>
      </c>
      <c r="L458" s="96">
        <f>K458*VLOOKUP(H458,dagsoorttabel1,2,FALSE)</f>
        <v>21</v>
      </c>
      <c r="M458" s="97">
        <f>prodnorm27</f>
        <v>0</v>
      </c>
      <c r="N458" s="41">
        <f>dagwerk27</f>
        <v>0</v>
      </c>
      <c r="O458" s="94" t="s">
        <v>106</v>
      </c>
      <c r="P458" s="26">
        <f>uurtarief27</f>
        <v>0</v>
      </c>
      <c r="Q458" s="96" t="e">
        <f>IF(ISBLANK(M458),0,L458/M458)</f>
        <v>#DIV/0!</v>
      </c>
      <c r="R458" s="96" t="e">
        <f>IF(ISBLANK(M458),0,Q458*N458)</f>
        <v>#DIV/0!</v>
      </c>
      <c r="S458" s="26" t="e">
        <f>P458*Q458</f>
        <v>#DIV/0!</v>
      </c>
      <c r="T458" s="96" t="e">
        <f>Q458*dagenperjaar1</f>
        <v>#DIV/0!</v>
      </c>
      <c r="U458" s="27" t="e">
        <f>T458*P458</f>
        <v>#DIV/0!</v>
      </c>
    </row>
    <row r="459" spans="1:21" x14ac:dyDescent="0.3">
      <c r="A459" s="93" t="s">
        <v>753</v>
      </c>
      <c r="B459" s="94" t="s">
        <v>40</v>
      </c>
      <c r="C459" s="94" t="s">
        <v>290</v>
      </c>
      <c r="D459" s="94" t="s">
        <v>810</v>
      </c>
      <c r="E459" s="95" t="s">
        <v>785</v>
      </c>
      <c r="F459" s="94" t="s">
        <v>330</v>
      </c>
      <c r="G459" s="94" t="s">
        <v>218</v>
      </c>
      <c r="H459" s="94" t="s">
        <v>11</v>
      </c>
      <c r="I459" s="94" t="s">
        <v>219</v>
      </c>
      <c r="J459" s="94"/>
      <c r="K459" s="96">
        <v>112</v>
      </c>
      <c r="L459" s="96">
        <f>K459*VLOOKUP(H459,dagsoorttabel1,2,FALSE)</f>
        <v>112</v>
      </c>
      <c r="M459" s="97">
        <f>prodnorm16</f>
        <v>0</v>
      </c>
      <c r="N459" s="41">
        <f>dagwerk16</f>
        <v>0</v>
      </c>
      <c r="O459" s="94" t="s">
        <v>106</v>
      </c>
      <c r="P459" s="26">
        <f>uurtarief16</f>
        <v>0</v>
      </c>
      <c r="Q459" s="96" t="e">
        <f>IF(ISBLANK(M459),0,L459/M459)</f>
        <v>#DIV/0!</v>
      </c>
      <c r="R459" s="96" t="e">
        <f>IF(ISBLANK(M459),0,Q459*N459)</f>
        <v>#DIV/0!</v>
      </c>
      <c r="S459" s="26" t="e">
        <f>P459*Q459</f>
        <v>#DIV/0!</v>
      </c>
      <c r="T459" s="96" t="e">
        <f>Q459*dagenperjaar1</f>
        <v>#DIV/0!</v>
      </c>
      <c r="U459" s="27" t="e">
        <f>T459*P459</f>
        <v>#DIV/0!</v>
      </c>
    </row>
    <row r="460" spans="1:21" x14ac:dyDescent="0.3">
      <c r="A460" s="93" t="s">
        <v>753</v>
      </c>
      <c r="B460" s="94" t="s">
        <v>40</v>
      </c>
      <c r="C460" s="94" t="s">
        <v>290</v>
      </c>
      <c r="D460" s="94" t="s">
        <v>811</v>
      </c>
      <c r="E460" s="95" t="s">
        <v>338</v>
      </c>
      <c r="F460" s="94" t="s">
        <v>330</v>
      </c>
      <c r="G460" s="94" t="s">
        <v>267</v>
      </c>
      <c r="H460" s="94" t="s">
        <v>11</v>
      </c>
      <c r="I460" s="94" t="s">
        <v>219</v>
      </c>
      <c r="J460" s="94"/>
      <c r="K460" s="96">
        <v>56</v>
      </c>
      <c r="L460" s="96">
        <f>K460*VLOOKUP(H460,dagsoorttabel1,2,FALSE)</f>
        <v>56</v>
      </c>
      <c r="M460" s="97">
        <f>prodnorm63</f>
        <v>0</v>
      </c>
      <c r="N460" s="41">
        <f>dagwerk63</f>
        <v>0</v>
      </c>
      <c r="O460" s="94" t="s">
        <v>106</v>
      </c>
      <c r="P460" s="26">
        <f>uurtarief63</f>
        <v>0</v>
      </c>
      <c r="Q460" s="96" t="e">
        <f>IF(ISBLANK(M460),0,L460/M460)</f>
        <v>#DIV/0!</v>
      </c>
      <c r="R460" s="96" t="e">
        <f>IF(ISBLANK(M460),0,Q460*N460)</f>
        <v>#DIV/0!</v>
      </c>
      <c r="S460" s="26" t="e">
        <f>P460*Q460</f>
        <v>#DIV/0!</v>
      </c>
      <c r="T460" s="96" t="e">
        <f>Q460*dagenperjaar1</f>
        <v>#DIV/0!</v>
      </c>
      <c r="U460" s="27" t="e">
        <f>T460*P460</f>
        <v>#DIV/0!</v>
      </c>
    </row>
    <row r="461" spans="1:21" x14ac:dyDescent="0.3">
      <c r="A461" s="93" t="s">
        <v>753</v>
      </c>
      <c r="B461" s="94" t="s">
        <v>40</v>
      </c>
      <c r="C461" s="94" t="s">
        <v>290</v>
      </c>
      <c r="D461" s="94" t="s">
        <v>812</v>
      </c>
      <c r="E461" s="95" t="s">
        <v>338</v>
      </c>
      <c r="F461" s="94" t="s">
        <v>330</v>
      </c>
      <c r="G461" s="94" t="s">
        <v>267</v>
      </c>
      <c r="H461" s="94" t="s">
        <v>11</v>
      </c>
      <c r="I461" s="94" t="s">
        <v>219</v>
      </c>
      <c r="J461" s="94"/>
      <c r="K461" s="96">
        <v>32</v>
      </c>
      <c r="L461" s="96">
        <f>K461*VLOOKUP(H461,dagsoorttabel1,2,FALSE)</f>
        <v>32</v>
      </c>
      <c r="M461" s="97">
        <f>prodnorm63</f>
        <v>0</v>
      </c>
      <c r="N461" s="41">
        <f>dagwerk63</f>
        <v>0</v>
      </c>
      <c r="O461" s="94" t="s">
        <v>106</v>
      </c>
      <c r="P461" s="26">
        <f>uurtarief63</f>
        <v>0</v>
      </c>
      <c r="Q461" s="96" t="e">
        <f>IF(ISBLANK(M461),0,L461/M461)</f>
        <v>#DIV/0!</v>
      </c>
      <c r="R461" s="96" t="e">
        <f>IF(ISBLANK(M461),0,Q461*N461)</f>
        <v>#DIV/0!</v>
      </c>
      <c r="S461" s="26" t="e">
        <f>P461*Q461</f>
        <v>#DIV/0!</v>
      </c>
      <c r="T461" s="96" t="e">
        <f>Q461*dagenperjaar1</f>
        <v>#DIV/0!</v>
      </c>
      <c r="U461" s="27" t="e">
        <f>T461*P461</f>
        <v>#DIV/0!</v>
      </c>
    </row>
    <row r="462" spans="1:21" x14ac:dyDescent="0.3">
      <c r="A462" s="93" t="s">
        <v>753</v>
      </c>
      <c r="B462" s="94" t="s">
        <v>40</v>
      </c>
      <c r="C462" s="94" t="s">
        <v>290</v>
      </c>
      <c r="D462" s="94" t="s">
        <v>813</v>
      </c>
      <c r="E462" s="95" t="s">
        <v>292</v>
      </c>
      <c r="F462" s="94" t="s">
        <v>612</v>
      </c>
      <c r="G462" s="94" t="s">
        <v>229</v>
      </c>
      <c r="H462" s="94" t="s">
        <v>11</v>
      </c>
      <c r="I462" s="94" t="s">
        <v>219</v>
      </c>
      <c r="J462" s="94"/>
      <c r="K462" s="96">
        <v>4.5999999999999996</v>
      </c>
      <c r="L462" s="96">
        <f>K462*VLOOKUP(H462,dagsoorttabel1,2,FALSE)</f>
        <v>4.5999999999999996</v>
      </c>
      <c r="M462" s="97">
        <f>prodnorm27</f>
        <v>0</v>
      </c>
      <c r="N462" s="41">
        <f>dagwerk27</f>
        <v>0</v>
      </c>
      <c r="O462" s="94" t="s">
        <v>106</v>
      </c>
      <c r="P462" s="26">
        <f>uurtarief27</f>
        <v>0</v>
      </c>
      <c r="Q462" s="96" t="e">
        <f>IF(ISBLANK(M462),0,L462/M462)</f>
        <v>#DIV/0!</v>
      </c>
      <c r="R462" s="96" t="e">
        <f>IF(ISBLANK(M462),0,Q462*N462)</f>
        <v>#DIV/0!</v>
      </c>
      <c r="S462" s="26" t="e">
        <f>P462*Q462</f>
        <v>#DIV/0!</v>
      </c>
      <c r="T462" s="96" t="e">
        <f>Q462*dagenperjaar1</f>
        <v>#DIV/0!</v>
      </c>
      <c r="U462" s="27" t="e">
        <f>T462*P462</f>
        <v>#DIV/0!</v>
      </c>
    </row>
    <row r="463" spans="1:21" x14ac:dyDescent="0.3">
      <c r="A463" s="93" t="s">
        <v>753</v>
      </c>
      <c r="B463" s="94" t="s">
        <v>40</v>
      </c>
      <c r="C463" s="94" t="s">
        <v>290</v>
      </c>
      <c r="D463" s="94" t="s">
        <v>814</v>
      </c>
      <c r="E463" s="95" t="s">
        <v>750</v>
      </c>
      <c r="F463" s="94" t="s">
        <v>330</v>
      </c>
      <c r="G463" s="94" t="s">
        <v>267</v>
      </c>
      <c r="H463" s="94" t="s">
        <v>11</v>
      </c>
      <c r="I463" s="94" t="s">
        <v>219</v>
      </c>
      <c r="J463" s="94"/>
      <c r="K463" s="96">
        <v>54.9</v>
      </c>
      <c r="L463" s="96">
        <f>K463*VLOOKUP(H463,dagsoorttabel1,2,FALSE)</f>
        <v>54.9</v>
      </c>
      <c r="M463" s="97">
        <f>prodnorm63</f>
        <v>0</v>
      </c>
      <c r="N463" s="41">
        <f>dagwerk63</f>
        <v>0</v>
      </c>
      <c r="O463" s="94" t="s">
        <v>106</v>
      </c>
      <c r="P463" s="26">
        <f>uurtarief63</f>
        <v>0</v>
      </c>
      <c r="Q463" s="96" t="e">
        <f>IF(ISBLANK(M463),0,L463/M463)</f>
        <v>#DIV/0!</v>
      </c>
      <c r="R463" s="96" t="e">
        <f>IF(ISBLANK(M463),0,Q463*N463)</f>
        <v>#DIV/0!</v>
      </c>
      <c r="S463" s="26" t="e">
        <f>P463*Q463</f>
        <v>#DIV/0!</v>
      </c>
      <c r="T463" s="96" t="e">
        <f>Q463*dagenperjaar1</f>
        <v>#DIV/0!</v>
      </c>
      <c r="U463" s="27" t="e">
        <f>T463*P463</f>
        <v>#DIV/0!</v>
      </c>
    </row>
    <row r="464" spans="1:21" x14ac:dyDescent="0.3">
      <c r="A464" s="93" t="s">
        <v>753</v>
      </c>
      <c r="B464" s="94" t="s">
        <v>40</v>
      </c>
      <c r="C464" s="94" t="s">
        <v>290</v>
      </c>
      <c r="D464" s="94" t="s">
        <v>815</v>
      </c>
      <c r="E464" s="95" t="s">
        <v>303</v>
      </c>
      <c r="F464" s="94" t="s">
        <v>816</v>
      </c>
      <c r="G464" s="94" t="s">
        <v>265</v>
      </c>
      <c r="H464" s="94" t="s">
        <v>11</v>
      </c>
      <c r="I464" s="94" t="s">
        <v>219</v>
      </c>
      <c r="J464" s="94"/>
      <c r="K464" s="96">
        <v>11.5</v>
      </c>
      <c r="L464" s="96">
        <f>K464*VLOOKUP(H464,dagsoorttabel1,2,FALSE)</f>
        <v>11.5</v>
      </c>
      <c r="M464" s="97">
        <f>prodnorm61</f>
        <v>0</v>
      </c>
      <c r="N464" s="41">
        <f>dagwerk61</f>
        <v>0</v>
      </c>
      <c r="O464" s="94" t="s">
        <v>106</v>
      </c>
      <c r="P464" s="26">
        <f>uurtarief61</f>
        <v>0</v>
      </c>
      <c r="Q464" s="96" t="e">
        <f>IF(ISBLANK(M464),0,L464/M464)</f>
        <v>#DIV/0!</v>
      </c>
      <c r="R464" s="96" t="e">
        <f>IF(ISBLANK(M464),0,Q464*N464)</f>
        <v>#DIV/0!</v>
      </c>
      <c r="S464" s="26" t="e">
        <f>P464*Q464</f>
        <v>#DIV/0!</v>
      </c>
      <c r="T464" s="96" t="e">
        <f>Q464*dagenperjaar1</f>
        <v>#DIV/0!</v>
      </c>
      <c r="U464" s="27" t="e">
        <f>T464*P464</f>
        <v>#DIV/0!</v>
      </c>
    </row>
    <row r="465" spans="1:21" x14ac:dyDescent="0.3">
      <c r="A465" s="93" t="s">
        <v>753</v>
      </c>
      <c r="B465" s="94" t="s">
        <v>40</v>
      </c>
      <c r="C465" s="94" t="s">
        <v>290</v>
      </c>
      <c r="D465" s="94" t="s">
        <v>817</v>
      </c>
      <c r="E465" s="95" t="s">
        <v>303</v>
      </c>
      <c r="F465" s="94" t="s">
        <v>816</v>
      </c>
      <c r="G465" s="94" t="s">
        <v>265</v>
      </c>
      <c r="H465" s="94" t="s">
        <v>11</v>
      </c>
      <c r="I465" s="94" t="s">
        <v>219</v>
      </c>
      <c r="J465" s="94"/>
      <c r="K465" s="96">
        <v>5.25</v>
      </c>
      <c r="L465" s="96">
        <f>K465*VLOOKUP(H465,dagsoorttabel1,2,FALSE)</f>
        <v>5.25</v>
      </c>
      <c r="M465" s="97">
        <f>prodnorm61</f>
        <v>0</v>
      </c>
      <c r="N465" s="41">
        <f>dagwerk61</f>
        <v>0</v>
      </c>
      <c r="O465" s="94" t="s">
        <v>106</v>
      </c>
      <c r="P465" s="26">
        <f>uurtarief61</f>
        <v>0</v>
      </c>
      <c r="Q465" s="96" t="e">
        <f>IF(ISBLANK(M465),0,L465/M465)</f>
        <v>#DIV/0!</v>
      </c>
      <c r="R465" s="96" t="e">
        <f>IF(ISBLANK(M465),0,Q465*N465)</f>
        <v>#DIV/0!</v>
      </c>
      <c r="S465" s="26" t="e">
        <f>P465*Q465</f>
        <v>#DIV/0!</v>
      </c>
      <c r="T465" s="96" t="e">
        <f>Q465*dagenperjaar1</f>
        <v>#DIV/0!</v>
      </c>
      <c r="U465" s="27" t="e">
        <f>T465*P465</f>
        <v>#DIV/0!</v>
      </c>
    </row>
    <row r="466" spans="1:21" x14ac:dyDescent="0.3">
      <c r="A466" s="93" t="s">
        <v>753</v>
      </c>
      <c r="B466" s="94" t="s">
        <v>40</v>
      </c>
      <c r="C466" s="94" t="s">
        <v>290</v>
      </c>
      <c r="D466" s="94" t="s">
        <v>818</v>
      </c>
      <c r="E466" s="95" t="s">
        <v>819</v>
      </c>
      <c r="F466" s="94" t="s">
        <v>781</v>
      </c>
      <c r="G466" s="94" t="s">
        <v>241</v>
      </c>
      <c r="H466" s="94" t="s">
        <v>11</v>
      </c>
      <c r="I466" s="94" t="s">
        <v>219</v>
      </c>
      <c r="J466" s="94"/>
      <c r="K466" s="96">
        <v>58.8</v>
      </c>
      <c r="L466" s="96">
        <f>K466*VLOOKUP(H466,dagsoorttabel1,2,FALSE)</f>
        <v>58.8</v>
      </c>
      <c r="M466" s="97">
        <f>prodnorm38</f>
        <v>0</v>
      </c>
      <c r="N466" s="41">
        <f>dagwerk38</f>
        <v>0</v>
      </c>
      <c r="O466" s="94" t="s">
        <v>106</v>
      </c>
      <c r="P466" s="26">
        <f>uurtarief38</f>
        <v>0</v>
      </c>
      <c r="Q466" s="96" t="e">
        <f>IF(ISBLANK(M466),0,L466/M466)</f>
        <v>#DIV/0!</v>
      </c>
      <c r="R466" s="96" t="e">
        <f>IF(ISBLANK(M466),0,Q466*N466)</f>
        <v>#DIV/0!</v>
      </c>
      <c r="S466" s="26" t="e">
        <f>P466*Q466</f>
        <v>#DIV/0!</v>
      </c>
      <c r="T466" s="96" t="e">
        <f>Q466*dagenperjaar1</f>
        <v>#DIV/0!</v>
      </c>
      <c r="U466" s="27" t="e">
        <f>T466*P466</f>
        <v>#DIV/0!</v>
      </c>
    </row>
    <row r="467" spans="1:21" x14ac:dyDescent="0.3">
      <c r="A467" s="93" t="s">
        <v>753</v>
      </c>
      <c r="B467" s="94" t="s">
        <v>40</v>
      </c>
      <c r="C467" s="94" t="s">
        <v>290</v>
      </c>
      <c r="D467" s="94" t="s">
        <v>820</v>
      </c>
      <c r="E467" s="95" t="s">
        <v>329</v>
      </c>
      <c r="F467" s="94" t="s">
        <v>781</v>
      </c>
      <c r="G467" s="94" t="s">
        <v>218</v>
      </c>
      <c r="H467" s="94" t="s">
        <v>11</v>
      </c>
      <c r="I467" s="94" t="s">
        <v>219</v>
      </c>
      <c r="J467" s="94"/>
      <c r="K467" s="96">
        <v>372</v>
      </c>
      <c r="L467" s="96">
        <f>K467*VLOOKUP(H467,dagsoorttabel1,2,FALSE)</f>
        <v>372</v>
      </c>
      <c r="M467" s="97">
        <f>prodnorm16</f>
        <v>0</v>
      </c>
      <c r="N467" s="41">
        <f>dagwerk16</f>
        <v>0</v>
      </c>
      <c r="O467" s="94" t="s">
        <v>106</v>
      </c>
      <c r="P467" s="26">
        <f>uurtarief16</f>
        <v>0</v>
      </c>
      <c r="Q467" s="96" t="e">
        <f>IF(ISBLANK(M467),0,L467/M467)</f>
        <v>#DIV/0!</v>
      </c>
      <c r="R467" s="96" t="e">
        <f>IF(ISBLANK(M467),0,Q467*N467)</f>
        <v>#DIV/0!</v>
      </c>
      <c r="S467" s="26" t="e">
        <f>P467*Q467</f>
        <v>#DIV/0!</v>
      </c>
      <c r="T467" s="96" t="e">
        <f>Q467*dagenperjaar1</f>
        <v>#DIV/0!</v>
      </c>
      <c r="U467" s="27" t="e">
        <f>T467*P467</f>
        <v>#DIV/0!</v>
      </c>
    </row>
    <row r="468" spans="1:21" x14ac:dyDescent="0.3">
      <c r="A468" s="93" t="s">
        <v>753</v>
      </c>
      <c r="B468" s="94" t="s">
        <v>40</v>
      </c>
      <c r="C468" s="94" t="s">
        <v>290</v>
      </c>
      <c r="D468" s="94" t="s">
        <v>821</v>
      </c>
      <c r="E468" s="95" t="s">
        <v>822</v>
      </c>
      <c r="F468" s="94" t="s">
        <v>330</v>
      </c>
      <c r="G468" s="94" t="s">
        <v>218</v>
      </c>
      <c r="H468" s="94" t="s">
        <v>11</v>
      </c>
      <c r="I468" s="94" t="s">
        <v>219</v>
      </c>
      <c r="J468" s="94"/>
      <c r="K468" s="96">
        <v>56</v>
      </c>
      <c r="L468" s="96">
        <f>K468*VLOOKUP(H468,dagsoorttabel1,2,FALSE)</f>
        <v>56</v>
      </c>
      <c r="M468" s="97">
        <f>prodnorm16</f>
        <v>0</v>
      </c>
      <c r="N468" s="41">
        <f>dagwerk16</f>
        <v>0</v>
      </c>
      <c r="O468" s="94" t="s">
        <v>106</v>
      </c>
      <c r="P468" s="26">
        <f>uurtarief16</f>
        <v>0</v>
      </c>
      <c r="Q468" s="96" t="e">
        <f>IF(ISBLANK(M468),0,L468/M468)</f>
        <v>#DIV/0!</v>
      </c>
      <c r="R468" s="96" t="e">
        <f>IF(ISBLANK(M468),0,Q468*N468)</f>
        <v>#DIV/0!</v>
      </c>
      <c r="S468" s="26" t="e">
        <f>P468*Q468</f>
        <v>#DIV/0!</v>
      </c>
      <c r="T468" s="96" t="e">
        <f>Q468*dagenperjaar1</f>
        <v>#DIV/0!</v>
      </c>
      <c r="U468" s="27" t="e">
        <f>T468*P468</f>
        <v>#DIV/0!</v>
      </c>
    </row>
    <row r="469" spans="1:21" x14ac:dyDescent="0.3">
      <c r="A469" s="93" t="s">
        <v>753</v>
      </c>
      <c r="B469" s="94" t="s">
        <v>40</v>
      </c>
      <c r="C469" s="94" t="s">
        <v>290</v>
      </c>
      <c r="D469" s="94" t="s">
        <v>823</v>
      </c>
      <c r="E469" s="95" t="s">
        <v>824</v>
      </c>
      <c r="F469" s="94" t="s">
        <v>330</v>
      </c>
      <c r="G469" s="94" t="s">
        <v>223</v>
      </c>
      <c r="H469" s="94" t="s">
        <v>16</v>
      </c>
      <c r="I469" s="94" t="s">
        <v>219</v>
      </c>
      <c r="J469" s="94"/>
      <c r="K469" s="96">
        <v>25</v>
      </c>
      <c r="L469" s="96">
        <f>K469*VLOOKUP(H469,dagsoorttabel1,2,FALSE)</f>
        <v>10</v>
      </c>
      <c r="M469" s="97">
        <f>prodnorm20</f>
        <v>0</v>
      </c>
      <c r="N469" s="41">
        <f>dagwerk20</f>
        <v>0</v>
      </c>
      <c r="O469" s="94" t="s">
        <v>106</v>
      </c>
      <c r="P469" s="26">
        <f>uurtarief20</f>
        <v>0</v>
      </c>
      <c r="Q469" s="96" t="e">
        <f>IF(ISBLANK(M469),0,L469/M469)</f>
        <v>#DIV/0!</v>
      </c>
      <c r="R469" s="96" t="e">
        <f>IF(ISBLANK(M469),0,Q469*N469)</f>
        <v>#DIV/0!</v>
      </c>
      <c r="S469" s="26" t="e">
        <f>P469*Q469</f>
        <v>#DIV/0!</v>
      </c>
      <c r="T469" s="96" t="e">
        <f>Q469*dagenperjaar1</f>
        <v>#DIV/0!</v>
      </c>
      <c r="U469" s="27" t="e">
        <f>T469*P469</f>
        <v>#DIV/0!</v>
      </c>
    </row>
    <row r="470" spans="1:21" x14ac:dyDescent="0.3">
      <c r="A470" s="93" t="s">
        <v>753</v>
      </c>
      <c r="B470" s="94" t="s">
        <v>40</v>
      </c>
      <c r="C470" s="94" t="s">
        <v>290</v>
      </c>
      <c r="D470" s="94" t="s">
        <v>825</v>
      </c>
      <c r="E470" s="95" t="s">
        <v>308</v>
      </c>
      <c r="F470" s="94" t="s">
        <v>330</v>
      </c>
      <c r="G470" s="94" t="s">
        <v>223</v>
      </c>
      <c r="H470" s="94" t="s">
        <v>16</v>
      </c>
      <c r="I470" s="94" t="s">
        <v>219</v>
      </c>
      <c r="J470" s="94"/>
      <c r="K470" s="96">
        <v>9</v>
      </c>
      <c r="L470" s="96">
        <f>K470*VLOOKUP(H470,dagsoorttabel1,2,FALSE)</f>
        <v>3.6</v>
      </c>
      <c r="M470" s="97">
        <f>prodnorm20</f>
        <v>0</v>
      </c>
      <c r="N470" s="41">
        <f>dagwerk20</f>
        <v>0</v>
      </c>
      <c r="O470" s="94" t="s">
        <v>106</v>
      </c>
      <c r="P470" s="26">
        <f>uurtarief20</f>
        <v>0</v>
      </c>
      <c r="Q470" s="96" t="e">
        <f>IF(ISBLANK(M470),0,L470/M470)</f>
        <v>#DIV/0!</v>
      </c>
      <c r="R470" s="96" t="e">
        <f>IF(ISBLANK(M470),0,Q470*N470)</f>
        <v>#DIV/0!</v>
      </c>
      <c r="S470" s="26" t="e">
        <f>P470*Q470</f>
        <v>#DIV/0!</v>
      </c>
      <c r="T470" s="96" t="e">
        <f>Q470*dagenperjaar1</f>
        <v>#DIV/0!</v>
      </c>
      <c r="U470" s="27" t="e">
        <f>T470*P470</f>
        <v>#DIV/0!</v>
      </c>
    </row>
    <row r="471" spans="1:21" x14ac:dyDescent="0.3">
      <c r="A471" s="93" t="s">
        <v>753</v>
      </c>
      <c r="B471" s="94" t="s">
        <v>40</v>
      </c>
      <c r="C471" s="94" t="s">
        <v>419</v>
      </c>
      <c r="D471" s="94" t="s">
        <v>826</v>
      </c>
      <c r="E471" s="95" t="s">
        <v>308</v>
      </c>
      <c r="F471" s="94" t="s">
        <v>293</v>
      </c>
      <c r="G471" s="94" t="s">
        <v>225</v>
      </c>
      <c r="H471" s="94" t="s">
        <v>16</v>
      </c>
      <c r="I471" s="94" t="s">
        <v>219</v>
      </c>
      <c r="J471" s="94"/>
      <c r="K471" s="96">
        <v>33.1</v>
      </c>
      <c r="L471" s="96">
        <f>K471*VLOOKUP(H471,dagsoorttabel1,2,FALSE)</f>
        <v>13.240000000000002</v>
      </c>
      <c r="M471" s="97">
        <f>prodnorm24</f>
        <v>0</v>
      </c>
      <c r="N471" s="41">
        <f>dagwerk24</f>
        <v>0</v>
      </c>
      <c r="O471" s="94" t="s">
        <v>106</v>
      </c>
      <c r="P471" s="26">
        <f>uurtarief24</f>
        <v>0</v>
      </c>
      <c r="Q471" s="96" t="e">
        <f>IF(ISBLANK(M471),0,L471/M471)</f>
        <v>#DIV/0!</v>
      </c>
      <c r="R471" s="96" t="e">
        <f>IF(ISBLANK(M471),0,Q471*N471)</f>
        <v>#DIV/0!</v>
      </c>
      <c r="S471" s="26" t="e">
        <f>P471*Q471</f>
        <v>#DIV/0!</v>
      </c>
      <c r="T471" s="96" t="e">
        <f>Q471*dagenperjaar1</f>
        <v>#DIV/0!</v>
      </c>
      <c r="U471" s="27" t="e">
        <f>T471*P471</f>
        <v>#DIV/0!</v>
      </c>
    </row>
    <row r="472" spans="1:21" x14ac:dyDescent="0.3">
      <c r="A472" s="93" t="s">
        <v>753</v>
      </c>
      <c r="B472" s="94" t="s">
        <v>40</v>
      </c>
      <c r="C472" s="94" t="s">
        <v>419</v>
      </c>
      <c r="D472" s="94" t="s">
        <v>563</v>
      </c>
      <c r="E472" s="95" t="s">
        <v>295</v>
      </c>
      <c r="F472" s="94" t="s">
        <v>296</v>
      </c>
      <c r="G472" s="94" t="s">
        <v>241</v>
      </c>
      <c r="H472" s="94" t="s">
        <v>11</v>
      </c>
      <c r="I472" s="94" t="s">
        <v>219</v>
      </c>
      <c r="J472" s="94"/>
      <c r="K472" s="96">
        <v>55</v>
      </c>
      <c r="L472" s="96">
        <f>K472*VLOOKUP(H472,dagsoorttabel1,2,FALSE)</f>
        <v>55</v>
      </c>
      <c r="M472" s="97">
        <f>prodnorm38</f>
        <v>0</v>
      </c>
      <c r="N472" s="41">
        <f>dagwerk38</f>
        <v>0</v>
      </c>
      <c r="O472" s="94" t="s">
        <v>106</v>
      </c>
      <c r="P472" s="26">
        <f>uurtarief38</f>
        <v>0</v>
      </c>
      <c r="Q472" s="96" t="e">
        <f>IF(ISBLANK(M472),0,L472/M472)</f>
        <v>#DIV/0!</v>
      </c>
      <c r="R472" s="96" t="e">
        <f>IF(ISBLANK(M472),0,Q472*N472)</f>
        <v>#DIV/0!</v>
      </c>
      <c r="S472" s="26" t="e">
        <f>P472*Q472</f>
        <v>#DIV/0!</v>
      </c>
      <c r="T472" s="96" t="e">
        <f>Q472*dagenperjaar1</f>
        <v>#DIV/0!</v>
      </c>
      <c r="U472" s="27" t="e">
        <f>T472*P472</f>
        <v>#DIV/0!</v>
      </c>
    </row>
    <row r="473" spans="1:21" x14ac:dyDescent="0.3">
      <c r="A473" s="93" t="s">
        <v>753</v>
      </c>
      <c r="B473" s="94" t="s">
        <v>40</v>
      </c>
      <c r="C473" s="94" t="s">
        <v>419</v>
      </c>
      <c r="D473" s="94" t="s">
        <v>565</v>
      </c>
      <c r="E473" s="95" t="s">
        <v>295</v>
      </c>
      <c r="F473" s="94" t="s">
        <v>296</v>
      </c>
      <c r="G473" s="94" t="s">
        <v>241</v>
      </c>
      <c r="H473" s="94" t="s">
        <v>11</v>
      </c>
      <c r="I473" s="94" t="s">
        <v>219</v>
      </c>
      <c r="J473" s="94"/>
      <c r="K473" s="96">
        <v>55</v>
      </c>
      <c r="L473" s="96">
        <f>K473*VLOOKUP(H473,dagsoorttabel1,2,FALSE)</f>
        <v>55</v>
      </c>
      <c r="M473" s="97">
        <f>prodnorm38</f>
        <v>0</v>
      </c>
      <c r="N473" s="41">
        <f>dagwerk38</f>
        <v>0</v>
      </c>
      <c r="O473" s="94" t="s">
        <v>106</v>
      </c>
      <c r="P473" s="26">
        <f>uurtarief38</f>
        <v>0</v>
      </c>
      <c r="Q473" s="96" t="e">
        <f>IF(ISBLANK(M473),0,L473/M473)</f>
        <v>#DIV/0!</v>
      </c>
      <c r="R473" s="96" t="e">
        <f>IF(ISBLANK(M473),0,Q473*N473)</f>
        <v>#DIV/0!</v>
      </c>
      <c r="S473" s="26" t="e">
        <f>P473*Q473</f>
        <v>#DIV/0!</v>
      </c>
      <c r="T473" s="96" t="e">
        <f>Q473*dagenperjaar1</f>
        <v>#DIV/0!</v>
      </c>
      <c r="U473" s="27" t="e">
        <f>T473*P473</f>
        <v>#DIV/0!</v>
      </c>
    </row>
    <row r="474" spans="1:21" x14ac:dyDescent="0.3">
      <c r="A474" s="93" t="s">
        <v>753</v>
      </c>
      <c r="B474" s="94" t="s">
        <v>40</v>
      </c>
      <c r="C474" s="94" t="s">
        <v>419</v>
      </c>
      <c r="D474" s="94" t="s">
        <v>566</v>
      </c>
      <c r="E474" s="95" t="s">
        <v>295</v>
      </c>
      <c r="F474" s="94" t="s">
        <v>296</v>
      </c>
      <c r="G474" s="94" t="s">
        <v>241</v>
      </c>
      <c r="H474" s="94" t="s">
        <v>11</v>
      </c>
      <c r="I474" s="94" t="s">
        <v>219</v>
      </c>
      <c r="J474" s="94"/>
      <c r="K474" s="96">
        <v>55</v>
      </c>
      <c r="L474" s="96">
        <f>K474*VLOOKUP(H474,dagsoorttabel1,2,FALSE)</f>
        <v>55</v>
      </c>
      <c r="M474" s="97">
        <f>prodnorm38</f>
        <v>0</v>
      </c>
      <c r="N474" s="41">
        <f>dagwerk38</f>
        <v>0</v>
      </c>
      <c r="O474" s="94" t="s">
        <v>106</v>
      </c>
      <c r="P474" s="26">
        <f>uurtarief38</f>
        <v>0</v>
      </c>
      <c r="Q474" s="96" t="e">
        <f>IF(ISBLANK(M474),0,L474/M474)</f>
        <v>#DIV/0!</v>
      </c>
      <c r="R474" s="96" t="e">
        <f>IF(ISBLANK(M474),0,Q474*N474)</f>
        <v>#DIV/0!</v>
      </c>
      <c r="S474" s="26" t="e">
        <f>P474*Q474</f>
        <v>#DIV/0!</v>
      </c>
      <c r="T474" s="96" t="e">
        <f>Q474*dagenperjaar1</f>
        <v>#DIV/0!</v>
      </c>
      <c r="U474" s="27" t="e">
        <f>T474*P474</f>
        <v>#DIV/0!</v>
      </c>
    </row>
    <row r="475" spans="1:21" x14ac:dyDescent="0.3">
      <c r="A475" s="93" t="s">
        <v>753</v>
      </c>
      <c r="B475" s="94" t="s">
        <v>40</v>
      </c>
      <c r="C475" s="94" t="s">
        <v>419</v>
      </c>
      <c r="D475" s="94" t="s">
        <v>567</v>
      </c>
      <c r="E475" s="95" t="s">
        <v>295</v>
      </c>
      <c r="F475" s="94" t="s">
        <v>330</v>
      </c>
      <c r="G475" s="94" t="s">
        <v>241</v>
      </c>
      <c r="H475" s="94" t="s">
        <v>11</v>
      </c>
      <c r="I475" s="94" t="s">
        <v>219</v>
      </c>
      <c r="J475" s="94"/>
      <c r="K475" s="96">
        <v>55</v>
      </c>
      <c r="L475" s="96">
        <f>K475*VLOOKUP(H475,dagsoorttabel1,2,FALSE)</f>
        <v>55</v>
      </c>
      <c r="M475" s="97">
        <f>prodnorm38</f>
        <v>0</v>
      </c>
      <c r="N475" s="41">
        <f>dagwerk38</f>
        <v>0</v>
      </c>
      <c r="O475" s="94" t="s">
        <v>106</v>
      </c>
      <c r="P475" s="26">
        <f>uurtarief38</f>
        <v>0</v>
      </c>
      <c r="Q475" s="96" t="e">
        <f>IF(ISBLANK(M475),0,L475/M475)</f>
        <v>#DIV/0!</v>
      </c>
      <c r="R475" s="96" t="e">
        <f>IF(ISBLANK(M475),0,Q475*N475)</f>
        <v>#DIV/0!</v>
      </c>
      <c r="S475" s="26" t="e">
        <f>P475*Q475</f>
        <v>#DIV/0!</v>
      </c>
      <c r="T475" s="96" t="e">
        <f>Q475*dagenperjaar1</f>
        <v>#DIV/0!</v>
      </c>
      <c r="U475" s="27" t="e">
        <f>T475*P475</f>
        <v>#DIV/0!</v>
      </c>
    </row>
    <row r="476" spans="1:21" x14ac:dyDescent="0.3">
      <c r="A476" s="93" t="s">
        <v>753</v>
      </c>
      <c r="B476" s="94" t="s">
        <v>40</v>
      </c>
      <c r="C476" s="94" t="s">
        <v>419</v>
      </c>
      <c r="D476" s="94" t="s">
        <v>568</v>
      </c>
      <c r="E476" s="95" t="s">
        <v>295</v>
      </c>
      <c r="F476" s="94" t="s">
        <v>296</v>
      </c>
      <c r="G476" s="94" t="s">
        <v>241</v>
      </c>
      <c r="H476" s="94" t="s">
        <v>11</v>
      </c>
      <c r="I476" s="94" t="s">
        <v>219</v>
      </c>
      <c r="J476" s="94"/>
      <c r="K476" s="96">
        <v>288.13</v>
      </c>
      <c r="L476" s="96">
        <f>K476*VLOOKUP(H476,dagsoorttabel1,2,FALSE)</f>
        <v>288.13</v>
      </c>
      <c r="M476" s="97">
        <f>prodnorm38</f>
        <v>0</v>
      </c>
      <c r="N476" s="41">
        <f>dagwerk38</f>
        <v>0</v>
      </c>
      <c r="O476" s="94" t="s">
        <v>106</v>
      </c>
      <c r="P476" s="26">
        <f>uurtarief38</f>
        <v>0</v>
      </c>
      <c r="Q476" s="96" t="e">
        <f>IF(ISBLANK(M476),0,L476/M476)</f>
        <v>#DIV/0!</v>
      </c>
      <c r="R476" s="96" t="e">
        <f>IF(ISBLANK(M476),0,Q476*N476)</f>
        <v>#DIV/0!</v>
      </c>
      <c r="S476" s="26" t="e">
        <f>P476*Q476</f>
        <v>#DIV/0!</v>
      </c>
      <c r="T476" s="96" t="e">
        <f>Q476*dagenperjaar1</f>
        <v>#DIV/0!</v>
      </c>
      <c r="U476" s="27" t="e">
        <f>T476*P476</f>
        <v>#DIV/0!</v>
      </c>
    </row>
    <row r="477" spans="1:21" x14ac:dyDescent="0.3">
      <c r="A477" s="93" t="s">
        <v>753</v>
      </c>
      <c r="B477" s="94" t="s">
        <v>40</v>
      </c>
      <c r="C477" s="94" t="s">
        <v>419</v>
      </c>
      <c r="D477" s="94" t="s">
        <v>627</v>
      </c>
      <c r="E477" s="95" t="s">
        <v>308</v>
      </c>
      <c r="F477" s="94" t="s">
        <v>293</v>
      </c>
      <c r="G477" s="94" t="s">
        <v>225</v>
      </c>
      <c r="H477" s="94" t="s">
        <v>16</v>
      </c>
      <c r="I477" s="94" t="s">
        <v>219</v>
      </c>
      <c r="J477" s="94"/>
      <c r="K477" s="96">
        <v>27</v>
      </c>
      <c r="L477" s="96">
        <f>K477*VLOOKUP(H477,dagsoorttabel1,2,FALSE)</f>
        <v>10.8</v>
      </c>
      <c r="M477" s="97">
        <f>prodnorm24</f>
        <v>0</v>
      </c>
      <c r="N477" s="41">
        <f>dagwerk24</f>
        <v>0</v>
      </c>
      <c r="O477" s="94" t="s">
        <v>106</v>
      </c>
      <c r="P477" s="26">
        <f>uurtarief24</f>
        <v>0</v>
      </c>
      <c r="Q477" s="96" t="e">
        <f>IF(ISBLANK(M477),0,L477/M477)</f>
        <v>#DIV/0!</v>
      </c>
      <c r="R477" s="96" t="e">
        <f>IF(ISBLANK(M477),0,Q477*N477)</f>
        <v>#DIV/0!</v>
      </c>
      <c r="S477" s="26" t="e">
        <f>P477*Q477</f>
        <v>#DIV/0!</v>
      </c>
      <c r="T477" s="96" t="e">
        <f>Q477*dagenperjaar1</f>
        <v>#DIV/0!</v>
      </c>
      <c r="U477" s="27" t="e">
        <f>T477*P477</f>
        <v>#DIV/0!</v>
      </c>
    </row>
    <row r="478" spans="1:21" x14ac:dyDescent="0.3">
      <c r="A478" s="93" t="s">
        <v>753</v>
      </c>
      <c r="B478" s="94" t="s">
        <v>40</v>
      </c>
      <c r="C478" s="94" t="s">
        <v>419</v>
      </c>
      <c r="D478" s="94" t="s">
        <v>572</v>
      </c>
      <c r="E478" s="95" t="s">
        <v>308</v>
      </c>
      <c r="F478" s="94" t="s">
        <v>293</v>
      </c>
      <c r="G478" s="94" t="s">
        <v>225</v>
      </c>
      <c r="H478" s="94" t="s">
        <v>16</v>
      </c>
      <c r="I478" s="94" t="s">
        <v>219</v>
      </c>
      <c r="J478" s="94"/>
      <c r="K478" s="96">
        <v>20</v>
      </c>
      <c r="L478" s="96">
        <f>K478*VLOOKUP(H478,dagsoorttabel1,2,FALSE)</f>
        <v>8</v>
      </c>
      <c r="M478" s="97">
        <f>prodnorm24</f>
        <v>0</v>
      </c>
      <c r="N478" s="41">
        <f>dagwerk24</f>
        <v>0</v>
      </c>
      <c r="O478" s="94" t="s">
        <v>106</v>
      </c>
      <c r="P478" s="26">
        <f>uurtarief24</f>
        <v>0</v>
      </c>
      <c r="Q478" s="96" t="e">
        <f>IF(ISBLANK(M478),0,L478/M478)</f>
        <v>#DIV/0!</v>
      </c>
      <c r="R478" s="96" t="e">
        <f>IF(ISBLANK(M478),0,Q478*N478)</f>
        <v>#DIV/0!</v>
      </c>
      <c r="S478" s="26" t="e">
        <f>P478*Q478</f>
        <v>#DIV/0!</v>
      </c>
      <c r="T478" s="96" t="e">
        <f>Q478*dagenperjaar1</f>
        <v>#DIV/0!</v>
      </c>
      <c r="U478" s="27" t="e">
        <f>T478*P478</f>
        <v>#DIV/0!</v>
      </c>
    </row>
    <row r="479" spans="1:21" x14ac:dyDescent="0.3">
      <c r="A479" s="93" t="s">
        <v>753</v>
      </c>
      <c r="B479" s="94" t="s">
        <v>40</v>
      </c>
      <c r="C479" s="94" t="s">
        <v>419</v>
      </c>
      <c r="D479" s="94" t="s">
        <v>573</v>
      </c>
      <c r="E479" s="95" t="s">
        <v>308</v>
      </c>
      <c r="F479" s="94" t="s">
        <v>293</v>
      </c>
      <c r="G479" s="94" t="s">
        <v>225</v>
      </c>
      <c r="H479" s="94" t="s">
        <v>16</v>
      </c>
      <c r="I479" s="94" t="s">
        <v>219</v>
      </c>
      <c r="J479" s="94"/>
      <c r="K479" s="96">
        <v>27</v>
      </c>
      <c r="L479" s="96">
        <f>K479*VLOOKUP(H479,dagsoorttabel1,2,FALSE)</f>
        <v>10.8</v>
      </c>
      <c r="M479" s="97">
        <f>prodnorm24</f>
        <v>0</v>
      </c>
      <c r="N479" s="41">
        <f>dagwerk24</f>
        <v>0</v>
      </c>
      <c r="O479" s="94" t="s">
        <v>106</v>
      </c>
      <c r="P479" s="26">
        <f>uurtarief24</f>
        <v>0</v>
      </c>
      <c r="Q479" s="96" t="e">
        <f>IF(ISBLANK(M479),0,L479/M479)</f>
        <v>#DIV/0!</v>
      </c>
      <c r="R479" s="96" t="e">
        <f>IF(ISBLANK(M479),0,Q479*N479)</f>
        <v>#DIV/0!</v>
      </c>
      <c r="S479" s="26" t="e">
        <f>P479*Q479</f>
        <v>#DIV/0!</v>
      </c>
      <c r="T479" s="96" t="e">
        <f>Q479*dagenperjaar1</f>
        <v>#DIV/0!</v>
      </c>
      <c r="U479" s="27" t="e">
        <f>T479*P479</f>
        <v>#DIV/0!</v>
      </c>
    </row>
    <row r="480" spans="1:21" x14ac:dyDescent="0.3">
      <c r="A480" s="93" t="s">
        <v>753</v>
      </c>
      <c r="B480" s="94" t="s">
        <v>40</v>
      </c>
      <c r="C480" s="94" t="s">
        <v>419</v>
      </c>
      <c r="D480" s="94" t="s">
        <v>575</v>
      </c>
      <c r="E480" s="95" t="s">
        <v>308</v>
      </c>
      <c r="F480" s="94" t="s">
        <v>293</v>
      </c>
      <c r="G480" s="94" t="s">
        <v>225</v>
      </c>
      <c r="H480" s="94" t="s">
        <v>16</v>
      </c>
      <c r="I480" s="94" t="s">
        <v>219</v>
      </c>
      <c r="J480" s="94"/>
      <c r="K480" s="96">
        <v>54</v>
      </c>
      <c r="L480" s="96">
        <f>K480*VLOOKUP(H480,dagsoorttabel1,2,FALSE)</f>
        <v>21.6</v>
      </c>
      <c r="M480" s="97">
        <f>prodnorm24</f>
        <v>0</v>
      </c>
      <c r="N480" s="41">
        <f>dagwerk24</f>
        <v>0</v>
      </c>
      <c r="O480" s="94" t="s">
        <v>106</v>
      </c>
      <c r="P480" s="26">
        <f>uurtarief24</f>
        <v>0</v>
      </c>
      <c r="Q480" s="96" t="e">
        <f>IF(ISBLANK(M480),0,L480/M480)</f>
        <v>#DIV/0!</v>
      </c>
      <c r="R480" s="96" t="e">
        <f>IF(ISBLANK(M480),0,Q480*N480)</f>
        <v>#DIV/0!</v>
      </c>
      <c r="S480" s="26" t="e">
        <f>P480*Q480</f>
        <v>#DIV/0!</v>
      </c>
      <c r="T480" s="96" t="e">
        <f>Q480*dagenperjaar1</f>
        <v>#DIV/0!</v>
      </c>
      <c r="U480" s="27" t="e">
        <f>T480*P480</f>
        <v>#DIV/0!</v>
      </c>
    </row>
    <row r="481" spans="1:21" x14ac:dyDescent="0.3">
      <c r="A481" s="93" t="s">
        <v>753</v>
      </c>
      <c r="B481" s="94" t="s">
        <v>40</v>
      </c>
      <c r="C481" s="94" t="s">
        <v>419</v>
      </c>
      <c r="D481" s="94" t="s">
        <v>576</v>
      </c>
      <c r="E481" s="95" t="s">
        <v>308</v>
      </c>
      <c r="F481" s="94" t="s">
        <v>293</v>
      </c>
      <c r="G481" s="94" t="s">
        <v>225</v>
      </c>
      <c r="H481" s="94" t="s">
        <v>16</v>
      </c>
      <c r="I481" s="94" t="s">
        <v>219</v>
      </c>
      <c r="J481" s="94"/>
      <c r="K481" s="96">
        <v>27</v>
      </c>
      <c r="L481" s="96">
        <f>K481*VLOOKUP(H481,dagsoorttabel1,2,FALSE)</f>
        <v>10.8</v>
      </c>
      <c r="M481" s="97">
        <f>prodnorm24</f>
        <v>0</v>
      </c>
      <c r="N481" s="41">
        <f>dagwerk24</f>
        <v>0</v>
      </c>
      <c r="O481" s="94" t="s">
        <v>106</v>
      </c>
      <c r="P481" s="26">
        <f>uurtarief24</f>
        <v>0</v>
      </c>
      <c r="Q481" s="96" t="e">
        <f>IF(ISBLANK(M481),0,L481/M481)</f>
        <v>#DIV/0!</v>
      </c>
      <c r="R481" s="96" t="e">
        <f>IF(ISBLANK(M481),0,Q481*N481)</f>
        <v>#DIV/0!</v>
      </c>
      <c r="S481" s="26" t="e">
        <f>P481*Q481</f>
        <v>#DIV/0!</v>
      </c>
      <c r="T481" s="96" t="e">
        <f>Q481*dagenperjaar1</f>
        <v>#DIV/0!</v>
      </c>
      <c r="U481" s="27" t="e">
        <f>T481*P481</f>
        <v>#DIV/0!</v>
      </c>
    </row>
    <row r="482" spans="1:21" x14ac:dyDescent="0.3">
      <c r="A482" s="93" t="s">
        <v>753</v>
      </c>
      <c r="B482" s="94" t="s">
        <v>40</v>
      </c>
      <c r="C482" s="94" t="s">
        <v>419</v>
      </c>
      <c r="D482" s="94" t="s">
        <v>577</v>
      </c>
      <c r="E482" s="95" t="s">
        <v>308</v>
      </c>
      <c r="F482" s="94" t="s">
        <v>293</v>
      </c>
      <c r="G482" s="94" t="s">
        <v>225</v>
      </c>
      <c r="H482" s="94" t="s">
        <v>16</v>
      </c>
      <c r="I482" s="94" t="s">
        <v>219</v>
      </c>
      <c r="J482" s="94"/>
      <c r="K482" s="96">
        <v>27</v>
      </c>
      <c r="L482" s="96">
        <f>K482*VLOOKUP(H482,dagsoorttabel1,2,FALSE)</f>
        <v>10.8</v>
      </c>
      <c r="M482" s="97">
        <f>prodnorm24</f>
        <v>0</v>
      </c>
      <c r="N482" s="41">
        <f>dagwerk24</f>
        <v>0</v>
      </c>
      <c r="O482" s="94" t="s">
        <v>106</v>
      </c>
      <c r="P482" s="26">
        <f>uurtarief24</f>
        <v>0</v>
      </c>
      <c r="Q482" s="96" t="e">
        <f>IF(ISBLANK(M482),0,L482/M482)</f>
        <v>#DIV/0!</v>
      </c>
      <c r="R482" s="96" t="e">
        <f>IF(ISBLANK(M482),0,Q482*N482)</f>
        <v>#DIV/0!</v>
      </c>
      <c r="S482" s="26" t="e">
        <f>P482*Q482</f>
        <v>#DIV/0!</v>
      </c>
      <c r="T482" s="96" t="e">
        <f>Q482*dagenperjaar1</f>
        <v>#DIV/0!</v>
      </c>
      <c r="U482" s="27" t="e">
        <f>T482*P482</f>
        <v>#DIV/0!</v>
      </c>
    </row>
    <row r="483" spans="1:21" x14ac:dyDescent="0.3">
      <c r="A483" s="93" t="s">
        <v>753</v>
      </c>
      <c r="B483" s="94" t="s">
        <v>40</v>
      </c>
      <c r="C483" s="94" t="s">
        <v>419</v>
      </c>
      <c r="D483" s="94" t="s">
        <v>827</v>
      </c>
      <c r="E483" s="95" t="s">
        <v>308</v>
      </c>
      <c r="F483" s="94" t="s">
        <v>293</v>
      </c>
      <c r="G483" s="94" t="s">
        <v>225</v>
      </c>
      <c r="H483" s="94" t="s">
        <v>16</v>
      </c>
      <c r="I483" s="94" t="s">
        <v>219</v>
      </c>
      <c r="J483" s="94"/>
      <c r="K483" s="96">
        <v>24</v>
      </c>
      <c r="L483" s="96">
        <f>K483*VLOOKUP(H483,dagsoorttabel1,2,FALSE)</f>
        <v>9.6000000000000014</v>
      </c>
      <c r="M483" s="97">
        <f>prodnorm24</f>
        <v>0</v>
      </c>
      <c r="N483" s="41">
        <f>dagwerk24</f>
        <v>0</v>
      </c>
      <c r="O483" s="94" t="s">
        <v>106</v>
      </c>
      <c r="P483" s="26">
        <f>uurtarief24</f>
        <v>0</v>
      </c>
      <c r="Q483" s="96" t="e">
        <f>IF(ISBLANK(M483),0,L483/M483)</f>
        <v>#DIV/0!</v>
      </c>
      <c r="R483" s="96" t="e">
        <f>IF(ISBLANK(M483),0,Q483*N483)</f>
        <v>#DIV/0!</v>
      </c>
      <c r="S483" s="26" t="e">
        <f>P483*Q483</f>
        <v>#DIV/0!</v>
      </c>
      <c r="T483" s="96" t="e">
        <f>Q483*dagenperjaar1</f>
        <v>#DIV/0!</v>
      </c>
      <c r="U483" s="27" t="e">
        <f>T483*P483</f>
        <v>#DIV/0!</v>
      </c>
    </row>
    <row r="484" spans="1:21" x14ac:dyDescent="0.3">
      <c r="A484" s="93" t="s">
        <v>753</v>
      </c>
      <c r="B484" s="94" t="s">
        <v>40</v>
      </c>
      <c r="C484" s="94" t="s">
        <v>419</v>
      </c>
      <c r="D484" s="94" t="s">
        <v>578</v>
      </c>
      <c r="E484" s="95" t="s">
        <v>298</v>
      </c>
      <c r="F484" s="94" t="s">
        <v>293</v>
      </c>
      <c r="G484" s="94" t="s">
        <v>225</v>
      </c>
      <c r="H484" s="94" t="s">
        <v>16</v>
      </c>
      <c r="I484" s="94" t="s">
        <v>219</v>
      </c>
      <c r="J484" s="94"/>
      <c r="K484" s="96">
        <v>54</v>
      </c>
      <c r="L484" s="96">
        <f>K484*VLOOKUP(H484,dagsoorttabel1,2,FALSE)</f>
        <v>21.6</v>
      </c>
      <c r="M484" s="97">
        <f>prodnorm24</f>
        <v>0</v>
      </c>
      <c r="N484" s="41">
        <f>dagwerk24</f>
        <v>0</v>
      </c>
      <c r="O484" s="94" t="s">
        <v>106</v>
      </c>
      <c r="P484" s="26">
        <f>uurtarief24</f>
        <v>0</v>
      </c>
      <c r="Q484" s="96" t="e">
        <f>IF(ISBLANK(M484),0,L484/M484)</f>
        <v>#DIV/0!</v>
      </c>
      <c r="R484" s="96" t="e">
        <f>IF(ISBLANK(M484),0,Q484*N484)</f>
        <v>#DIV/0!</v>
      </c>
      <c r="S484" s="26" t="e">
        <f>P484*Q484</f>
        <v>#DIV/0!</v>
      </c>
      <c r="T484" s="96" t="e">
        <f>Q484*dagenperjaar1</f>
        <v>#DIV/0!</v>
      </c>
      <c r="U484" s="27" t="e">
        <f>T484*P484</f>
        <v>#DIV/0!</v>
      </c>
    </row>
    <row r="485" spans="1:21" x14ac:dyDescent="0.3">
      <c r="A485" s="93" t="s">
        <v>753</v>
      </c>
      <c r="B485" s="94" t="s">
        <v>40</v>
      </c>
      <c r="C485" s="94" t="s">
        <v>419</v>
      </c>
      <c r="D485" s="94" t="s">
        <v>579</v>
      </c>
      <c r="E485" s="95" t="s">
        <v>308</v>
      </c>
      <c r="F485" s="94" t="s">
        <v>293</v>
      </c>
      <c r="G485" s="94" t="s">
        <v>225</v>
      </c>
      <c r="H485" s="94" t="s">
        <v>16</v>
      </c>
      <c r="I485" s="94" t="s">
        <v>219</v>
      </c>
      <c r="J485" s="94"/>
      <c r="K485" s="96">
        <v>27</v>
      </c>
      <c r="L485" s="96">
        <f>K485*VLOOKUP(H485,dagsoorttabel1,2,FALSE)</f>
        <v>10.8</v>
      </c>
      <c r="M485" s="97">
        <f>prodnorm24</f>
        <v>0</v>
      </c>
      <c r="N485" s="41">
        <f>dagwerk24</f>
        <v>0</v>
      </c>
      <c r="O485" s="94" t="s">
        <v>106</v>
      </c>
      <c r="P485" s="26">
        <f>uurtarief24</f>
        <v>0</v>
      </c>
      <c r="Q485" s="96" t="e">
        <f>IF(ISBLANK(M485),0,L485/M485)</f>
        <v>#DIV/0!</v>
      </c>
      <c r="R485" s="96" t="e">
        <f>IF(ISBLANK(M485),0,Q485*N485)</f>
        <v>#DIV/0!</v>
      </c>
      <c r="S485" s="26" t="e">
        <f>P485*Q485</f>
        <v>#DIV/0!</v>
      </c>
      <c r="T485" s="96" t="e">
        <f>Q485*dagenperjaar1</f>
        <v>#DIV/0!</v>
      </c>
      <c r="U485" s="27" t="e">
        <f>T485*P485</f>
        <v>#DIV/0!</v>
      </c>
    </row>
    <row r="486" spans="1:21" x14ac:dyDescent="0.3">
      <c r="A486" s="93" t="s">
        <v>753</v>
      </c>
      <c r="B486" s="94" t="s">
        <v>40</v>
      </c>
      <c r="C486" s="94" t="s">
        <v>419</v>
      </c>
      <c r="D486" s="94" t="s">
        <v>828</v>
      </c>
      <c r="E486" s="95" t="s">
        <v>308</v>
      </c>
      <c r="F486" s="94" t="s">
        <v>418</v>
      </c>
      <c r="G486" s="94" t="s">
        <v>225</v>
      </c>
      <c r="H486" s="94" t="s">
        <v>16</v>
      </c>
      <c r="I486" s="94" t="s">
        <v>219</v>
      </c>
      <c r="J486" s="94"/>
      <c r="K486" s="96">
        <v>26.8</v>
      </c>
      <c r="L486" s="96">
        <f>K486*VLOOKUP(H486,dagsoorttabel1,2,FALSE)</f>
        <v>10.72</v>
      </c>
      <c r="M486" s="97">
        <f>prodnorm24</f>
        <v>0</v>
      </c>
      <c r="N486" s="41">
        <f>dagwerk24</f>
        <v>0</v>
      </c>
      <c r="O486" s="94" t="s">
        <v>106</v>
      </c>
      <c r="P486" s="26">
        <f>uurtarief24</f>
        <v>0</v>
      </c>
      <c r="Q486" s="96" t="e">
        <f>IF(ISBLANK(M486),0,L486/M486)</f>
        <v>#DIV/0!</v>
      </c>
      <c r="R486" s="96" t="e">
        <f>IF(ISBLANK(M486),0,Q486*N486)</f>
        <v>#DIV/0!</v>
      </c>
      <c r="S486" s="26" t="e">
        <f>P486*Q486</f>
        <v>#DIV/0!</v>
      </c>
      <c r="T486" s="96" t="e">
        <f>Q486*dagenperjaar1</f>
        <v>#DIV/0!</v>
      </c>
      <c r="U486" s="27" t="e">
        <f>T486*P486</f>
        <v>#DIV/0!</v>
      </c>
    </row>
    <row r="487" spans="1:21" x14ac:dyDescent="0.3">
      <c r="A487" s="93" t="s">
        <v>753</v>
      </c>
      <c r="B487" s="94" t="s">
        <v>40</v>
      </c>
      <c r="C487" s="94" t="s">
        <v>419</v>
      </c>
      <c r="D487" s="94" t="s">
        <v>829</v>
      </c>
      <c r="E487" s="95" t="s">
        <v>308</v>
      </c>
      <c r="F487" s="94" t="s">
        <v>418</v>
      </c>
      <c r="G487" s="94" t="s">
        <v>225</v>
      </c>
      <c r="H487" s="94" t="s">
        <v>16</v>
      </c>
      <c r="I487" s="94" t="s">
        <v>219</v>
      </c>
      <c r="J487" s="94"/>
      <c r="K487" s="96">
        <v>13.1</v>
      </c>
      <c r="L487" s="96">
        <f>K487*VLOOKUP(H487,dagsoorttabel1,2,FALSE)</f>
        <v>5.24</v>
      </c>
      <c r="M487" s="97">
        <f>prodnorm24</f>
        <v>0</v>
      </c>
      <c r="N487" s="41">
        <f>dagwerk24</f>
        <v>0</v>
      </c>
      <c r="O487" s="94" t="s">
        <v>106</v>
      </c>
      <c r="P487" s="26">
        <f>uurtarief24</f>
        <v>0</v>
      </c>
      <c r="Q487" s="96" t="e">
        <f>IF(ISBLANK(M487),0,L487/M487)</f>
        <v>#DIV/0!</v>
      </c>
      <c r="R487" s="96" t="e">
        <f>IF(ISBLANK(M487),0,Q487*N487)</f>
        <v>#DIV/0!</v>
      </c>
      <c r="S487" s="26" t="e">
        <f>P487*Q487</f>
        <v>#DIV/0!</v>
      </c>
      <c r="T487" s="96" t="e">
        <f>Q487*dagenperjaar1</f>
        <v>#DIV/0!</v>
      </c>
      <c r="U487" s="27" t="e">
        <f>T487*P487</f>
        <v>#DIV/0!</v>
      </c>
    </row>
    <row r="488" spans="1:21" x14ac:dyDescent="0.3">
      <c r="A488" s="93" t="s">
        <v>753</v>
      </c>
      <c r="B488" s="94" t="s">
        <v>40</v>
      </c>
      <c r="C488" s="94" t="s">
        <v>419</v>
      </c>
      <c r="D488" s="94" t="s">
        <v>830</v>
      </c>
      <c r="E488" s="95" t="s">
        <v>308</v>
      </c>
      <c r="F488" s="94" t="s">
        <v>418</v>
      </c>
      <c r="G488" s="94" t="s">
        <v>225</v>
      </c>
      <c r="H488" s="94" t="s">
        <v>16</v>
      </c>
      <c r="I488" s="94" t="s">
        <v>219</v>
      </c>
      <c r="J488" s="94"/>
      <c r="K488" s="96">
        <v>26.8</v>
      </c>
      <c r="L488" s="96">
        <f>K488*VLOOKUP(H488,dagsoorttabel1,2,FALSE)</f>
        <v>10.72</v>
      </c>
      <c r="M488" s="97">
        <f>prodnorm24</f>
        <v>0</v>
      </c>
      <c r="N488" s="41">
        <f>dagwerk24</f>
        <v>0</v>
      </c>
      <c r="O488" s="94" t="s">
        <v>106</v>
      </c>
      <c r="P488" s="26">
        <f>uurtarief24</f>
        <v>0</v>
      </c>
      <c r="Q488" s="96" t="e">
        <f>IF(ISBLANK(M488),0,L488/M488)</f>
        <v>#DIV/0!</v>
      </c>
      <c r="R488" s="96" t="e">
        <f>IF(ISBLANK(M488),0,Q488*N488)</f>
        <v>#DIV/0!</v>
      </c>
      <c r="S488" s="26" t="e">
        <f>P488*Q488</f>
        <v>#DIV/0!</v>
      </c>
      <c r="T488" s="96" t="e">
        <f>Q488*dagenperjaar1</f>
        <v>#DIV/0!</v>
      </c>
      <c r="U488" s="27" t="e">
        <f>T488*P488</f>
        <v>#DIV/0!</v>
      </c>
    </row>
    <row r="489" spans="1:21" x14ac:dyDescent="0.3">
      <c r="A489" s="93" t="s">
        <v>753</v>
      </c>
      <c r="B489" s="94" t="s">
        <v>40</v>
      </c>
      <c r="C489" s="94" t="s">
        <v>419</v>
      </c>
      <c r="D489" s="94" t="s">
        <v>831</v>
      </c>
      <c r="E489" s="95" t="s">
        <v>308</v>
      </c>
      <c r="F489" s="94" t="s">
        <v>418</v>
      </c>
      <c r="G489" s="94" t="s">
        <v>225</v>
      </c>
      <c r="H489" s="94" t="s">
        <v>16</v>
      </c>
      <c r="I489" s="94" t="s">
        <v>219</v>
      </c>
      <c r="J489" s="94"/>
      <c r="K489" s="96">
        <v>13.1</v>
      </c>
      <c r="L489" s="96">
        <f>K489*VLOOKUP(H489,dagsoorttabel1,2,FALSE)</f>
        <v>5.24</v>
      </c>
      <c r="M489" s="97">
        <f>prodnorm24</f>
        <v>0</v>
      </c>
      <c r="N489" s="41">
        <f>dagwerk24</f>
        <v>0</v>
      </c>
      <c r="O489" s="94" t="s">
        <v>106</v>
      </c>
      <c r="P489" s="26">
        <f>uurtarief24</f>
        <v>0</v>
      </c>
      <c r="Q489" s="96" t="e">
        <f>IF(ISBLANK(M489),0,L489/M489)</f>
        <v>#DIV/0!</v>
      </c>
      <c r="R489" s="96" t="e">
        <f>IF(ISBLANK(M489),0,Q489*N489)</f>
        <v>#DIV/0!</v>
      </c>
      <c r="S489" s="26" t="e">
        <f>P489*Q489</f>
        <v>#DIV/0!</v>
      </c>
      <c r="T489" s="96" t="e">
        <f>Q489*dagenperjaar1</f>
        <v>#DIV/0!</v>
      </c>
      <c r="U489" s="27" t="e">
        <f>T489*P489</f>
        <v>#DIV/0!</v>
      </c>
    </row>
    <row r="490" spans="1:21" x14ac:dyDescent="0.3">
      <c r="A490" s="93" t="s">
        <v>753</v>
      </c>
      <c r="B490" s="94" t="s">
        <v>40</v>
      </c>
      <c r="C490" s="94" t="s">
        <v>419</v>
      </c>
      <c r="D490" s="94" t="s">
        <v>832</v>
      </c>
      <c r="E490" s="95" t="s">
        <v>308</v>
      </c>
      <c r="F490" s="94" t="s">
        <v>418</v>
      </c>
      <c r="G490" s="94" t="s">
        <v>225</v>
      </c>
      <c r="H490" s="94" t="s">
        <v>16</v>
      </c>
      <c r="I490" s="94" t="s">
        <v>219</v>
      </c>
      <c r="J490" s="94"/>
      <c r="K490" s="96">
        <v>26.8</v>
      </c>
      <c r="L490" s="96">
        <f>K490*VLOOKUP(H490,dagsoorttabel1,2,FALSE)</f>
        <v>10.72</v>
      </c>
      <c r="M490" s="97">
        <f>prodnorm24</f>
        <v>0</v>
      </c>
      <c r="N490" s="41">
        <f>dagwerk24</f>
        <v>0</v>
      </c>
      <c r="O490" s="94" t="s">
        <v>106</v>
      </c>
      <c r="P490" s="26">
        <f>uurtarief24</f>
        <v>0</v>
      </c>
      <c r="Q490" s="96" t="e">
        <f>IF(ISBLANK(M490),0,L490/M490)</f>
        <v>#DIV/0!</v>
      </c>
      <c r="R490" s="96" t="e">
        <f>IF(ISBLANK(M490),0,Q490*N490)</f>
        <v>#DIV/0!</v>
      </c>
      <c r="S490" s="26" t="e">
        <f>P490*Q490</f>
        <v>#DIV/0!</v>
      </c>
      <c r="T490" s="96" t="e">
        <f>Q490*dagenperjaar1</f>
        <v>#DIV/0!</v>
      </c>
      <c r="U490" s="27" t="e">
        <f>T490*P490</f>
        <v>#DIV/0!</v>
      </c>
    </row>
    <row r="491" spans="1:21" x14ac:dyDescent="0.3">
      <c r="A491" s="93" t="s">
        <v>753</v>
      </c>
      <c r="B491" s="94" t="s">
        <v>40</v>
      </c>
      <c r="C491" s="94" t="s">
        <v>419</v>
      </c>
      <c r="D491" s="94" t="s">
        <v>833</v>
      </c>
      <c r="E491" s="95" t="s">
        <v>308</v>
      </c>
      <c r="F491" s="94" t="s">
        <v>772</v>
      </c>
      <c r="G491" s="94" t="s">
        <v>223</v>
      </c>
      <c r="H491" s="94" t="s">
        <v>16</v>
      </c>
      <c r="I491" s="94" t="s">
        <v>219</v>
      </c>
      <c r="J491" s="94"/>
      <c r="K491" s="96">
        <v>20</v>
      </c>
      <c r="L491" s="96">
        <f>K491*VLOOKUP(H491,dagsoorttabel1,2,FALSE)</f>
        <v>8</v>
      </c>
      <c r="M491" s="97">
        <f>prodnorm20</f>
        <v>0</v>
      </c>
      <c r="N491" s="41">
        <f>dagwerk20</f>
        <v>0</v>
      </c>
      <c r="O491" s="94" t="s">
        <v>106</v>
      </c>
      <c r="P491" s="26">
        <f>uurtarief20</f>
        <v>0</v>
      </c>
      <c r="Q491" s="96" t="e">
        <f>IF(ISBLANK(M491),0,L491/M491)</f>
        <v>#DIV/0!</v>
      </c>
      <c r="R491" s="96" t="e">
        <f>IF(ISBLANK(M491),0,Q491*N491)</f>
        <v>#DIV/0!</v>
      </c>
      <c r="S491" s="26" t="e">
        <f>P491*Q491</f>
        <v>#DIV/0!</v>
      </c>
      <c r="T491" s="96" t="e">
        <f>Q491*dagenperjaar1</f>
        <v>#DIV/0!</v>
      </c>
      <c r="U491" s="27" t="e">
        <f>T491*P491</f>
        <v>#DIV/0!</v>
      </c>
    </row>
    <row r="492" spans="1:21" x14ac:dyDescent="0.3">
      <c r="A492" s="93" t="s">
        <v>753</v>
      </c>
      <c r="B492" s="94" t="s">
        <v>40</v>
      </c>
      <c r="C492" s="94" t="s">
        <v>419</v>
      </c>
      <c r="D492" s="94" t="s">
        <v>834</v>
      </c>
      <c r="E492" s="95" t="s">
        <v>835</v>
      </c>
      <c r="F492" s="94" t="s">
        <v>648</v>
      </c>
      <c r="G492" s="94" t="s">
        <v>227</v>
      </c>
      <c r="H492" s="94" t="s">
        <v>11</v>
      </c>
      <c r="I492" s="94" t="s">
        <v>219</v>
      </c>
      <c r="J492" s="94"/>
      <c r="K492" s="96">
        <v>2</v>
      </c>
      <c r="L492" s="96">
        <f>K492*VLOOKUP(H492,dagsoorttabel1,2,FALSE)</f>
        <v>2</v>
      </c>
      <c r="M492" s="97">
        <f>prodnorm25</f>
        <v>0</v>
      </c>
      <c r="N492" s="41">
        <f>dagwerk25</f>
        <v>0</v>
      </c>
      <c r="O492" s="94" t="s">
        <v>106</v>
      </c>
      <c r="P492" s="26">
        <f>uurtarief25</f>
        <v>0</v>
      </c>
      <c r="Q492" s="96" t="e">
        <f>IF(ISBLANK(M492),0,L492/M492)</f>
        <v>#DIV/0!</v>
      </c>
      <c r="R492" s="96" t="e">
        <f>IF(ISBLANK(M492),0,Q492*N492)</f>
        <v>#DIV/0!</v>
      </c>
      <c r="S492" s="26" t="e">
        <f>P492*Q492</f>
        <v>#DIV/0!</v>
      </c>
      <c r="T492" s="96" t="e">
        <f>Q492*dagenperjaar1</f>
        <v>#DIV/0!</v>
      </c>
      <c r="U492" s="27" t="e">
        <f>T492*P492</f>
        <v>#DIV/0!</v>
      </c>
    </row>
    <row r="493" spans="1:21" x14ac:dyDescent="0.3">
      <c r="A493" s="93" t="s">
        <v>753</v>
      </c>
      <c r="B493" s="94" t="s">
        <v>40</v>
      </c>
      <c r="C493" s="94" t="s">
        <v>419</v>
      </c>
      <c r="D493" s="94" t="s">
        <v>836</v>
      </c>
      <c r="E493" s="95" t="s">
        <v>481</v>
      </c>
      <c r="F493" s="94" t="s">
        <v>648</v>
      </c>
      <c r="G493" s="94" t="s">
        <v>261</v>
      </c>
      <c r="H493" s="94" t="s">
        <v>11</v>
      </c>
      <c r="I493" s="94" t="s">
        <v>219</v>
      </c>
      <c r="J493" s="94"/>
      <c r="K493" s="96">
        <v>2</v>
      </c>
      <c r="L493" s="96">
        <f>K493*VLOOKUP(H493,dagsoorttabel1,2,FALSE)</f>
        <v>2</v>
      </c>
      <c r="M493" s="97">
        <f>prodnorm56</f>
        <v>0</v>
      </c>
      <c r="N493" s="41">
        <f>dagwerk56</f>
        <v>0</v>
      </c>
      <c r="O493" s="94" t="s">
        <v>106</v>
      </c>
      <c r="P493" s="26">
        <f>uurtarief56</f>
        <v>0</v>
      </c>
      <c r="Q493" s="96" t="e">
        <f>IF(ISBLANK(M493),0,L493/M493)</f>
        <v>#DIV/0!</v>
      </c>
      <c r="R493" s="96" t="e">
        <f>IF(ISBLANK(M493),0,Q493*N493)</f>
        <v>#DIV/0!</v>
      </c>
      <c r="S493" s="26" t="e">
        <f>P493*Q493</f>
        <v>#DIV/0!</v>
      </c>
      <c r="T493" s="96" t="e">
        <f>Q493*dagenperjaar1</f>
        <v>#DIV/0!</v>
      </c>
      <c r="U493" s="27" t="e">
        <f>T493*P493</f>
        <v>#DIV/0!</v>
      </c>
    </row>
    <row r="494" spans="1:21" x14ac:dyDescent="0.3">
      <c r="A494" s="93" t="s">
        <v>753</v>
      </c>
      <c r="B494" s="94" t="s">
        <v>40</v>
      </c>
      <c r="C494" s="94" t="s">
        <v>419</v>
      </c>
      <c r="D494" s="94" t="s">
        <v>836</v>
      </c>
      <c r="E494" s="95" t="s">
        <v>481</v>
      </c>
      <c r="F494" s="94" t="s">
        <v>648</v>
      </c>
      <c r="G494" s="94" t="s">
        <v>263</v>
      </c>
      <c r="H494" s="94" t="s">
        <v>11</v>
      </c>
      <c r="I494" s="94" t="s">
        <v>219</v>
      </c>
      <c r="J494" s="94"/>
      <c r="K494" s="96">
        <v>2</v>
      </c>
      <c r="L494" s="96">
        <f>K494*VLOOKUP(H494,dagsoorttabel1,2,FALSE)</f>
        <v>2</v>
      </c>
      <c r="M494" s="97">
        <f>prodnorm58</f>
        <v>0</v>
      </c>
      <c r="N494" s="41">
        <f>dagwerk58</f>
        <v>0</v>
      </c>
      <c r="O494" s="94" t="s">
        <v>106</v>
      </c>
      <c r="P494" s="26">
        <f>uurtarief58</f>
        <v>0</v>
      </c>
      <c r="Q494" s="96" t="e">
        <f>IF(ISBLANK(M494),0,L494/M494)</f>
        <v>#DIV/0!</v>
      </c>
      <c r="R494" s="96" t="e">
        <f>IF(ISBLANK(M494),0,Q494*N494)</f>
        <v>#DIV/0!</v>
      </c>
      <c r="S494" s="26" t="e">
        <f>P494*Q494</f>
        <v>#DIV/0!</v>
      </c>
      <c r="T494" s="96" t="e">
        <f>Q494*dagenperjaar1</f>
        <v>#DIV/0!</v>
      </c>
      <c r="U494" s="27" t="e">
        <f>T494*P494</f>
        <v>#DIV/0!</v>
      </c>
    </row>
    <row r="495" spans="1:21" x14ac:dyDescent="0.3">
      <c r="A495" s="93" t="s">
        <v>753</v>
      </c>
      <c r="B495" s="94" t="s">
        <v>40</v>
      </c>
      <c r="C495" s="94" t="s">
        <v>419</v>
      </c>
      <c r="D495" s="94" t="s">
        <v>837</v>
      </c>
      <c r="E495" s="95" t="s">
        <v>838</v>
      </c>
      <c r="F495" s="94" t="s">
        <v>772</v>
      </c>
      <c r="G495" s="94" t="s">
        <v>241</v>
      </c>
      <c r="H495" s="94" t="s">
        <v>11</v>
      </c>
      <c r="I495" s="94" t="s">
        <v>219</v>
      </c>
      <c r="J495" s="94"/>
      <c r="K495" s="96">
        <v>57.3</v>
      </c>
      <c r="L495" s="96">
        <f>K495*VLOOKUP(H495,dagsoorttabel1,2,FALSE)</f>
        <v>57.3</v>
      </c>
      <c r="M495" s="97">
        <f>prodnorm38</f>
        <v>0</v>
      </c>
      <c r="N495" s="41">
        <f>dagwerk38</f>
        <v>0</v>
      </c>
      <c r="O495" s="94" t="s">
        <v>106</v>
      </c>
      <c r="P495" s="26">
        <f>uurtarief38</f>
        <v>0</v>
      </c>
      <c r="Q495" s="96" t="e">
        <f>IF(ISBLANK(M495),0,L495/M495)</f>
        <v>#DIV/0!</v>
      </c>
      <c r="R495" s="96" t="e">
        <f>IF(ISBLANK(M495),0,Q495*N495)</f>
        <v>#DIV/0!</v>
      </c>
      <c r="S495" s="26" t="e">
        <f>P495*Q495</f>
        <v>#DIV/0!</v>
      </c>
      <c r="T495" s="96" t="e">
        <f>Q495*dagenperjaar1</f>
        <v>#DIV/0!</v>
      </c>
      <c r="U495" s="27" t="e">
        <f>T495*P495</f>
        <v>#DIV/0!</v>
      </c>
    </row>
    <row r="496" spans="1:21" ht="28.8" x14ac:dyDescent="0.3">
      <c r="A496" s="93" t="s">
        <v>753</v>
      </c>
      <c r="B496" s="94" t="s">
        <v>40</v>
      </c>
      <c r="C496" s="94" t="s">
        <v>419</v>
      </c>
      <c r="D496" s="94" t="s">
        <v>839</v>
      </c>
      <c r="E496" s="95" t="s">
        <v>840</v>
      </c>
      <c r="F496" s="94" t="s">
        <v>772</v>
      </c>
      <c r="G496" s="94" t="s">
        <v>241</v>
      </c>
      <c r="H496" s="94" t="s">
        <v>11</v>
      </c>
      <c r="I496" s="94" t="s">
        <v>219</v>
      </c>
      <c r="J496" s="94"/>
      <c r="K496" s="96">
        <v>10.1</v>
      </c>
      <c r="L496" s="96">
        <f>K496*VLOOKUP(H496,dagsoorttabel1,2,FALSE)</f>
        <v>10.1</v>
      </c>
      <c r="M496" s="97">
        <f>prodnorm38</f>
        <v>0</v>
      </c>
      <c r="N496" s="41">
        <f>dagwerk38</f>
        <v>0</v>
      </c>
      <c r="O496" s="94" t="s">
        <v>106</v>
      </c>
      <c r="P496" s="26">
        <f>uurtarief38</f>
        <v>0</v>
      </c>
      <c r="Q496" s="96" t="e">
        <f>IF(ISBLANK(M496),0,L496/M496)</f>
        <v>#DIV/0!</v>
      </c>
      <c r="R496" s="96" t="e">
        <f>IF(ISBLANK(M496),0,Q496*N496)</f>
        <v>#DIV/0!</v>
      </c>
      <c r="S496" s="26" t="e">
        <f>P496*Q496</f>
        <v>#DIV/0!</v>
      </c>
      <c r="T496" s="96" t="e">
        <f>Q496*dagenperjaar1</f>
        <v>#DIV/0!</v>
      </c>
      <c r="U496" s="27" t="e">
        <f>T496*P496</f>
        <v>#DIV/0!</v>
      </c>
    </row>
    <row r="497" spans="1:21" x14ac:dyDescent="0.3">
      <c r="A497" s="93" t="s">
        <v>753</v>
      </c>
      <c r="B497" s="94" t="s">
        <v>40</v>
      </c>
      <c r="C497" s="94" t="s">
        <v>419</v>
      </c>
      <c r="D497" s="94" t="s">
        <v>841</v>
      </c>
      <c r="E497" s="95" t="s">
        <v>346</v>
      </c>
      <c r="F497" s="94" t="s">
        <v>842</v>
      </c>
      <c r="G497" s="94" t="s">
        <v>235</v>
      </c>
      <c r="H497" s="94" t="s">
        <v>11</v>
      </c>
      <c r="I497" s="94" t="s">
        <v>219</v>
      </c>
      <c r="J497" s="94"/>
      <c r="K497" s="96">
        <v>272</v>
      </c>
      <c r="L497" s="96">
        <f>K497*VLOOKUP(H497,dagsoorttabel1,2,FALSE)</f>
        <v>272</v>
      </c>
      <c r="M497" s="97">
        <f>prodnorm33</f>
        <v>0</v>
      </c>
      <c r="N497" s="41">
        <f>dagwerk33</f>
        <v>0</v>
      </c>
      <c r="O497" s="94" t="s">
        <v>106</v>
      </c>
      <c r="P497" s="26">
        <f>uurtarief33</f>
        <v>0</v>
      </c>
      <c r="Q497" s="96" t="e">
        <f>IF(ISBLANK(M497),0,L497/M497)</f>
        <v>#DIV/0!</v>
      </c>
      <c r="R497" s="96" t="e">
        <f>IF(ISBLANK(M497),0,Q497*N497)</f>
        <v>#DIV/0!</v>
      </c>
      <c r="S497" s="26" t="e">
        <f>P497*Q497</f>
        <v>#DIV/0!</v>
      </c>
      <c r="T497" s="96" t="e">
        <f>Q497*dagenperjaar1</f>
        <v>#DIV/0!</v>
      </c>
      <c r="U497" s="27" t="e">
        <f>T497*P497</f>
        <v>#DIV/0!</v>
      </c>
    </row>
    <row r="498" spans="1:21" x14ac:dyDescent="0.3">
      <c r="A498" s="93" t="s">
        <v>753</v>
      </c>
      <c r="B498" s="94" t="s">
        <v>40</v>
      </c>
      <c r="C498" s="94" t="s">
        <v>419</v>
      </c>
      <c r="D498" s="94" t="s">
        <v>843</v>
      </c>
      <c r="E498" s="95" t="s">
        <v>844</v>
      </c>
      <c r="F498" s="94" t="s">
        <v>648</v>
      </c>
      <c r="G498" s="94" t="s">
        <v>239</v>
      </c>
      <c r="H498" s="94" t="s">
        <v>11</v>
      </c>
      <c r="I498" s="94" t="s">
        <v>219</v>
      </c>
      <c r="J498" s="94"/>
      <c r="K498" s="96">
        <v>16</v>
      </c>
      <c r="L498" s="96">
        <f>K498*VLOOKUP(H498,dagsoorttabel1,2,FALSE)</f>
        <v>16</v>
      </c>
      <c r="M498" s="97">
        <f>prodnorm36</f>
        <v>0</v>
      </c>
      <c r="N498" s="41">
        <f>dagwerk36</f>
        <v>0</v>
      </c>
      <c r="O498" s="94" t="s">
        <v>106</v>
      </c>
      <c r="P498" s="26">
        <f>uurtarief36</f>
        <v>0</v>
      </c>
      <c r="Q498" s="96" t="e">
        <f>IF(ISBLANK(M498),0,L498/M498)</f>
        <v>#DIV/0!</v>
      </c>
      <c r="R498" s="96" t="e">
        <f>IF(ISBLANK(M498),0,Q498*N498)</f>
        <v>#DIV/0!</v>
      </c>
      <c r="S498" s="26" t="e">
        <f>P498*Q498</f>
        <v>#DIV/0!</v>
      </c>
      <c r="T498" s="96" t="e">
        <f>Q498*dagenperjaar1</f>
        <v>#DIV/0!</v>
      </c>
      <c r="U498" s="27" t="e">
        <f>T498*P498</f>
        <v>#DIV/0!</v>
      </c>
    </row>
    <row r="499" spans="1:21" x14ac:dyDescent="0.3">
      <c r="A499" s="93" t="s">
        <v>753</v>
      </c>
      <c r="B499" s="94" t="s">
        <v>40</v>
      </c>
      <c r="C499" s="94" t="s">
        <v>419</v>
      </c>
      <c r="D499" s="94" t="s">
        <v>845</v>
      </c>
      <c r="E499" s="95" t="s">
        <v>455</v>
      </c>
      <c r="F499" s="94" t="s">
        <v>648</v>
      </c>
      <c r="G499" s="94" t="s">
        <v>261</v>
      </c>
      <c r="H499" s="94" t="s">
        <v>11</v>
      </c>
      <c r="I499" s="94" t="s">
        <v>219</v>
      </c>
      <c r="J499" s="94"/>
      <c r="K499" s="96">
        <v>1</v>
      </c>
      <c r="L499" s="96">
        <f>K499*VLOOKUP(H499,dagsoorttabel1,2,FALSE)</f>
        <v>1</v>
      </c>
      <c r="M499" s="97">
        <f>prodnorm56</f>
        <v>0</v>
      </c>
      <c r="N499" s="41">
        <f>dagwerk56</f>
        <v>0</v>
      </c>
      <c r="O499" s="94" t="s">
        <v>106</v>
      </c>
      <c r="P499" s="26">
        <f>uurtarief56</f>
        <v>0</v>
      </c>
      <c r="Q499" s="96" t="e">
        <f>IF(ISBLANK(M499),0,L499/M499)</f>
        <v>#DIV/0!</v>
      </c>
      <c r="R499" s="96" t="e">
        <f>IF(ISBLANK(M499),0,Q499*N499)</f>
        <v>#DIV/0!</v>
      </c>
      <c r="S499" s="26" t="e">
        <f>P499*Q499</f>
        <v>#DIV/0!</v>
      </c>
      <c r="T499" s="96" t="e">
        <f>Q499*dagenperjaar1</f>
        <v>#DIV/0!</v>
      </c>
      <c r="U499" s="27" t="e">
        <f>T499*P499</f>
        <v>#DIV/0!</v>
      </c>
    </row>
    <row r="500" spans="1:21" x14ac:dyDescent="0.3">
      <c r="A500" s="93" t="s">
        <v>753</v>
      </c>
      <c r="B500" s="94" t="s">
        <v>40</v>
      </c>
      <c r="C500" s="94" t="s">
        <v>419</v>
      </c>
      <c r="D500" s="94" t="s">
        <v>845</v>
      </c>
      <c r="E500" s="95" t="s">
        <v>455</v>
      </c>
      <c r="F500" s="94" t="s">
        <v>648</v>
      </c>
      <c r="G500" s="94" t="s">
        <v>263</v>
      </c>
      <c r="H500" s="94" t="s">
        <v>11</v>
      </c>
      <c r="I500" s="94" t="s">
        <v>219</v>
      </c>
      <c r="J500" s="94"/>
      <c r="K500" s="96">
        <v>1</v>
      </c>
      <c r="L500" s="96">
        <f>K500*VLOOKUP(H500,dagsoorttabel1,2,FALSE)</f>
        <v>1</v>
      </c>
      <c r="M500" s="97">
        <f>prodnorm58</f>
        <v>0</v>
      </c>
      <c r="N500" s="41">
        <f>dagwerk58</f>
        <v>0</v>
      </c>
      <c r="O500" s="94" t="s">
        <v>106</v>
      </c>
      <c r="P500" s="26">
        <f>uurtarief58</f>
        <v>0</v>
      </c>
      <c r="Q500" s="96" t="e">
        <f>IF(ISBLANK(M500),0,L500/M500)</f>
        <v>#DIV/0!</v>
      </c>
      <c r="R500" s="96" t="e">
        <f>IF(ISBLANK(M500),0,Q500*N500)</f>
        <v>#DIV/0!</v>
      </c>
      <c r="S500" s="26" t="e">
        <f>P500*Q500</f>
        <v>#DIV/0!</v>
      </c>
      <c r="T500" s="96" t="e">
        <f>Q500*dagenperjaar1</f>
        <v>#DIV/0!</v>
      </c>
      <c r="U500" s="27" t="e">
        <f>T500*P500</f>
        <v>#DIV/0!</v>
      </c>
    </row>
    <row r="501" spans="1:21" x14ac:dyDescent="0.3">
      <c r="A501" s="93" t="s">
        <v>753</v>
      </c>
      <c r="B501" s="94" t="s">
        <v>40</v>
      </c>
      <c r="C501" s="94" t="s">
        <v>419</v>
      </c>
      <c r="D501" s="94" t="s">
        <v>846</v>
      </c>
      <c r="E501" s="95" t="s">
        <v>847</v>
      </c>
      <c r="F501" s="94" t="s">
        <v>648</v>
      </c>
      <c r="G501" s="94" t="s">
        <v>227</v>
      </c>
      <c r="H501" s="94" t="s">
        <v>11</v>
      </c>
      <c r="I501" s="94" t="s">
        <v>219</v>
      </c>
      <c r="J501" s="94"/>
      <c r="K501" s="96">
        <v>11</v>
      </c>
      <c r="L501" s="96">
        <f>K501*VLOOKUP(H501,dagsoorttabel1,2,FALSE)</f>
        <v>11</v>
      </c>
      <c r="M501" s="97">
        <f>prodnorm25</f>
        <v>0</v>
      </c>
      <c r="N501" s="41">
        <f>dagwerk25</f>
        <v>0</v>
      </c>
      <c r="O501" s="94" t="s">
        <v>106</v>
      </c>
      <c r="P501" s="26">
        <f>uurtarief25</f>
        <v>0</v>
      </c>
      <c r="Q501" s="96" t="e">
        <f>IF(ISBLANK(M501),0,L501/M501)</f>
        <v>#DIV/0!</v>
      </c>
      <c r="R501" s="96" t="e">
        <f>IF(ISBLANK(M501),0,Q501*N501)</f>
        <v>#DIV/0!</v>
      </c>
      <c r="S501" s="26" t="e">
        <f>P501*Q501</f>
        <v>#DIV/0!</v>
      </c>
      <c r="T501" s="96" t="e">
        <f>Q501*dagenperjaar1</f>
        <v>#DIV/0!</v>
      </c>
      <c r="U501" s="27" t="e">
        <f>T501*P501</f>
        <v>#DIV/0!</v>
      </c>
    </row>
    <row r="502" spans="1:21" x14ac:dyDescent="0.3">
      <c r="A502" s="93" t="s">
        <v>753</v>
      </c>
      <c r="B502" s="94" t="s">
        <v>40</v>
      </c>
      <c r="C502" s="94" t="s">
        <v>419</v>
      </c>
      <c r="D502" s="94" t="s">
        <v>848</v>
      </c>
      <c r="E502" s="95" t="s">
        <v>849</v>
      </c>
      <c r="F502" s="94" t="s">
        <v>648</v>
      </c>
      <c r="G502" s="94" t="s">
        <v>227</v>
      </c>
      <c r="H502" s="94" t="s">
        <v>11</v>
      </c>
      <c r="I502" s="94" t="s">
        <v>219</v>
      </c>
      <c r="J502" s="94"/>
      <c r="K502" s="96">
        <v>11</v>
      </c>
      <c r="L502" s="96">
        <f>K502*VLOOKUP(H502,dagsoorttabel1,2,FALSE)</f>
        <v>11</v>
      </c>
      <c r="M502" s="97">
        <f>prodnorm25</f>
        <v>0</v>
      </c>
      <c r="N502" s="41">
        <f>dagwerk25</f>
        <v>0</v>
      </c>
      <c r="O502" s="94" t="s">
        <v>106</v>
      </c>
      <c r="P502" s="26">
        <f>uurtarief25</f>
        <v>0</v>
      </c>
      <c r="Q502" s="96" t="e">
        <f>IF(ISBLANK(M502),0,L502/M502)</f>
        <v>#DIV/0!</v>
      </c>
      <c r="R502" s="96" t="e">
        <f>IF(ISBLANK(M502),0,Q502*N502)</f>
        <v>#DIV/0!</v>
      </c>
      <c r="S502" s="26" t="e">
        <f>P502*Q502</f>
        <v>#DIV/0!</v>
      </c>
      <c r="T502" s="96" t="e">
        <f>Q502*dagenperjaar1</f>
        <v>#DIV/0!</v>
      </c>
      <c r="U502" s="27" t="e">
        <f>T502*P502</f>
        <v>#DIV/0!</v>
      </c>
    </row>
    <row r="503" spans="1:21" x14ac:dyDescent="0.3">
      <c r="A503" s="93" t="s">
        <v>753</v>
      </c>
      <c r="B503" s="94" t="s">
        <v>40</v>
      </c>
      <c r="C503" s="94" t="s">
        <v>419</v>
      </c>
      <c r="D503" s="94" t="s">
        <v>850</v>
      </c>
      <c r="E503" s="95" t="s">
        <v>453</v>
      </c>
      <c r="F503" s="94" t="s">
        <v>648</v>
      </c>
      <c r="G503" s="94" t="s">
        <v>261</v>
      </c>
      <c r="H503" s="94" t="s">
        <v>11</v>
      </c>
      <c r="I503" s="94" t="s">
        <v>219</v>
      </c>
      <c r="J503" s="94"/>
      <c r="K503" s="96">
        <v>1</v>
      </c>
      <c r="L503" s="96">
        <f>K503*VLOOKUP(H503,dagsoorttabel1,2,FALSE)</f>
        <v>1</v>
      </c>
      <c r="M503" s="97">
        <f>prodnorm56</f>
        <v>0</v>
      </c>
      <c r="N503" s="41">
        <f>dagwerk56</f>
        <v>0</v>
      </c>
      <c r="O503" s="94" t="s">
        <v>106</v>
      </c>
      <c r="P503" s="26">
        <f>uurtarief56</f>
        <v>0</v>
      </c>
      <c r="Q503" s="96" t="e">
        <f>IF(ISBLANK(M503),0,L503/M503)</f>
        <v>#DIV/0!</v>
      </c>
      <c r="R503" s="96" t="e">
        <f>IF(ISBLANK(M503),0,Q503*N503)</f>
        <v>#DIV/0!</v>
      </c>
      <c r="S503" s="26" t="e">
        <f>P503*Q503</f>
        <v>#DIV/0!</v>
      </c>
      <c r="T503" s="96" t="e">
        <f>Q503*dagenperjaar1</f>
        <v>#DIV/0!</v>
      </c>
      <c r="U503" s="27" t="e">
        <f>T503*P503</f>
        <v>#DIV/0!</v>
      </c>
    </row>
    <row r="504" spans="1:21" x14ac:dyDescent="0.3">
      <c r="A504" s="93" t="s">
        <v>753</v>
      </c>
      <c r="B504" s="94" t="s">
        <v>40</v>
      </c>
      <c r="C504" s="94" t="s">
        <v>419</v>
      </c>
      <c r="D504" s="94" t="s">
        <v>850</v>
      </c>
      <c r="E504" s="95" t="s">
        <v>453</v>
      </c>
      <c r="F504" s="94" t="s">
        <v>648</v>
      </c>
      <c r="G504" s="94" t="s">
        <v>263</v>
      </c>
      <c r="H504" s="94" t="s">
        <v>11</v>
      </c>
      <c r="I504" s="94" t="s">
        <v>219</v>
      </c>
      <c r="J504" s="94"/>
      <c r="K504" s="96">
        <v>1</v>
      </c>
      <c r="L504" s="96">
        <f>K504*VLOOKUP(H504,dagsoorttabel1,2,FALSE)</f>
        <v>1</v>
      </c>
      <c r="M504" s="97">
        <f>prodnorm58</f>
        <v>0</v>
      </c>
      <c r="N504" s="41">
        <f>dagwerk58</f>
        <v>0</v>
      </c>
      <c r="O504" s="94" t="s">
        <v>106</v>
      </c>
      <c r="P504" s="26">
        <f>uurtarief58</f>
        <v>0</v>
      </c>
      <c r="Q504" s="96" t="e">
        <f>IF(ISBLANK(M504),0,L504/M504)</f>
        <v>#DIV/0!</v>
      </c>
      <c r="R504" s="96" t="e">
        <f>IF(ISBLANK(M504),0,Q504*N504)</f>
        <v>#DIV/0!</v>
      </c>
      <c r="S504" s="26" t="e">
        <f>P504*Q504</f>
        <v>#DIV/0!</v>
      </c>
      <c r="T504" s="96" t="e">
        <f>Q504*dagenperjaar1</f>
        <v>#DIV/0!</v>
      </c>
      <c r="U504" s="27" t="e">
        <f>T504*P504</f>
        <v>#DIV/0!</v>
      </c>
    </row>
    <row r="505" spans="1:21" x14ac:dyDescent="0.3">
      <c r="A505" s="93" t="s">
        <v>753</v>
      </c>
      <c r="B505" s="94" t="s">
        <v>40</v>
      </c>
      <c r="C505" s="94" t="s">
        <v>419</v>
      </c>
      <c r="D505" s="94" t="s">
        <v>851</v>
      </c>
      <c r="E505" s="95" t="s">
        <v>852</v>
      </c>
      <c r="F505" s="94" t="s">
        <v>648</v>
      </c>
      <c r="G505" s="94" t="s">
        <v>239</v>
      </c>
      <c r="H505" s="94" t="s">
        <v>11</v>
      </c>
      <c r="I505" s="94" t="s">
        <v>219</v>
      </c>
      <c r="J505" s="94"/>
      <c r="K505" s="96">
        <v>16</v>
      </c>
      <c r="L505" s="96">
        <f>K505*VLOOKUP(H505,dagsoorttabel1,2,FALSE)</f>
        <v>16</v>
      </c>
      <c r="M505" s="97">
        <f>prodnorm36</f>
        <v>0</v>
      </c>
      <c r="N505" s="41">
        <f>dagwerk36</f>
        <v>0</v>
      </c>
      <c r="O505" s="94" t="s">
        <v>106</v>
      </c>
      <c r="P505" s="26">
        <f>uurtarief36</f>
        <v>0</v>
      </c>
      <c r="Q505" s="96" t="e">
        <f>IF(ISBLANK(M505),0,L505/M505)</f>
        <v>#DIV/0!</v>
      </c>
      <c r="R505" s="96" t="e">
        <f>IF(ISBLANK(M505),0,Q505*N505)</f>
        <v>#DIV/0!</v>
      </c>
      <c r="S505" s="26" t="e">
        <f>P505*Q505</f>
        <v>#DIV/0!</v>
      </c>
      <c r="T505" s="96" t="e">
        <f>Q505*dagenperjaar1</f>
        <v>#DIV/0!</v>
      </c>
      <c r="U505" s="27" t="e">
        <f>T505*P505</f>
        <v>#DIV/0!</v>
      </c>
    </row>
    <row r="506" spans="1:21" x14ac:dyDescent="0.3">
      <c r="A506" s="93" t="s">
        <v>753</v>
      </c>
      <c r="B506" s="94" t="s">
        <v>40</v>
      </c>
      <c r="C506" s="94" t="s">
        <v>419</v>
      </c>
      <c r="D506" s="94" t="s">
        <v>853</v>
      </c>
      <c r="E506" s="95" t="s">
        <v>349</v>
      </c>
      <c r="F506" s="94" t="s">
        <v>842</v>
      </c>
      <c r="G506" s="94" t="s">
        <v>235</v>
      </c>
      <c r="H506" s="94" t="s">
        <v>26</v>
      </c>
      <c r="I506" s="94" t="s">
        <v>219</v>
      </c>
      <c r="J506" s="94"/>
      <c r="K506" s="96">
        <v>64</v>
      </c>
      <c r="L506" s="96">
        <f>K506*VLOOKUP(H506,dagsoorttabel1,2,FALSE)</f>
        <v>0.32</v>
      </c>
      <c r="M506" s="97">
        <f>prodnorm32</f>
        <v>0</v>
      </c>
      <c r="N506" s="41">
        <f>dagwerk32</f>
        <v>0</v>
      </c>
      <c r="O506" s="94" t="s">
        <v>106</v>
      </c>
      <c r="P506" s="26">
        <f>uurtarief32</f>
        <v>0</v>
      </c>
      <c r="Q506" s="96" t="e">
        <f>IF(ISBLANK(M506),0,L506/M506)</f>
        <v>#DIV/0!</v>
      </c>
      <c r="R506" s="96" t="e">
        <f>IF(ISBLANK(M506),0,Q506*N506)</f>
        <v>#DIV/0!</v>
      </c>
      <c r="S506" s="26" t="e">
        <f>P506*Q506</f>
        <v>#DIV/0!</v>
      </c>
      <c r="T506" s="96" t="e">
        <f>Q506*dagenperjaar1</f>
        <v>#DIV/0!</v>
      </c>
      <c r="U506" s="27" t="e">
        <f>T506*P506</f>
        <v>#DIV/0!</v>
      </c>
    </row>
    <row r="507" spans="1:21" x14ac:dyDescent="0.3">
      <c r="A507" s="93" t="s">
        <v>753</v>
      </c>
      <c r="B507" s="94" t="s">
        <v>40</v>
      </c>
      <c r="C507" s="94" t="s">
        <v>419</v>
      </c>
      <c r="D507" s="94" t="s">
        <v>854</v>
      </c>
      <c r="E507" s="95" t="s">
        <v>338</v>
      </c>
      <c r="F507" s="94" t="s">
        <v>296</v>
      </c>
      <c r="G507" s="94" t="s">
        <v>267</v>
      </c>
      <c r="H507" s="94" t="s">
        <v>11</v>
      </c>
      <c r="I507" s="94" t="s">
        <v>219</v>
      </c>
      <c r="J507" s="94"/>
      <c r="K507" s="96">
        <v>23</v>
      </c>
      <c r="L507" s="96">
        <f>K507*VLOOKUP(H507,dagsoorttabel1,2,FALSE)</f>
        <v>23</v>
      </c>
      <c r="M507" s="97">
        <f>prodnorm63</f>
        <v>0</v>
      </c>
      <c r="N507" s="41">
        <f>dagwerk63</f>
        <v>0</v>
      </c>
      <c r="O507" s="94" t="s">
        <v>106</v>
      </c>
      <c r="P507" s="26">
        <f>uurtarief63</f>
        <v>0</v>
      </c>
      <c r="Q507" s="96" t="e">
        <f>IF(ISBLANK(M507),0,L507/M507)</f>
        <v>#DIV/0!</v>
      </c>
      <c r="R507" s="96" t="e">
        <f>IF(ISBLANK(M507),0,Q507*N507)</f>
        <v>#DIV/0!</v>
      </c>
      <c r="S507" s="26" t="e">
        <f>P507*Q507</f>
        <v>#DIV/0!</v>
      </c>
      <c r="T507" s="96" t="e">
        <f>Q507*dagenperjaar1</f>
        <v>#DIV/0!</v>
      </c>
      <c r="U507" s="27" t="e">
        <f>T507*P507</f>
        <v>#DIV/0!</v>
      </c>
    </row>
    <row r="508" spans="1:21" x14ac:dyDescent="0.3">
      <c r="A508" s="93" t="s">
        <v>753</v>
      </c>
      <c r="B508" s="94" t="s">
        <v>40</v>
      </c>
      <c r="C508" s="94" t="s">
        <v>419</v>
      </c>
      <c r="D508" s="94" t="s">
        <v>588</v>
      </c>
      <c r="E508" s="95" t="s">
        <v>346</v>
      </c>
      <c r="F508" s="94" t="s">
        <v>842</v>
      </c>
      <c r="G508" s="94" t="s">
        <v>235</v>
      </c>
      <c r="H508" s="94" t="s">
        <v>11</v>
      </c>
      <c r="I508" s="94" t="s">
        <v>219</v>
      </c>
      <c r="J508" s="94"/>
      <c r="K508" s="96">
        <v>272</v>
      </c>
      <c r="L508" s="96">
        <f>K508*VLOOKUP(H508,dagsoorttabel1,2,FALSE)</f>
        <v>272</v>
      </c>
      <c r="M508" s="97">
        <f>prodnorm33</f>
        <v>0</v>
      </c>
      <c r="N508" s="41">
        <f>dagwerk33</f>
        <v>0</v>
      </c>
      <c r="O508" s="94" t="s">
        <v>106</v>
      </c>
      <c r="P508" s="26">
        <f>uurtarief33</f>
        <v>0</v>
      </c>
      <c r="Q508" s="96" t="e">
        <f>IF(ISBLANK(M508),0,L508/M508)</f>
        <v>#DIV/0!</v>
      </c>
      <c r="R508" s="96" t="e">
        <f>IF(ISBLANK(M508),0,Q508*N508)</f>
        <v>#DIV/0!</v>
      </c>
      <c r="S508" s="26" t="e">
        <f>P508*Q508</f>
        <v>#DIV/0!</v>
      </c>
      <c r="T508" s="96" t="e">
        <f>Q508*dagenperjaar1</f>
        <v>#DIV/0!</v>
      </c>
      <c r="U508" s="27" t="e">
        <f>T508*P508</f>
        <v>#DIV/0!</v>
      </c>
    </row>
    <row r="509" spans="1:21" x14ac:dyDescent="0.3">
      <c r="A509" s="93" t="s">
        <v>753</v>
      </c>
      <c r="B509" s="94" t="s">
        <v>40</v>
      </c>
      <c r="C509" s="94" t="s">
        <v>419</v>
      </c>
      <c r="D509" s="94" t="s">
        <v>855</v>
      </c>
      <c r="E509" s="95" t="s">
        <v>852</v>
      </c>
      <c r="F509" s="94" t="s">
        <v>648</v>
      </c>
      <c r="G509" s="94" t="s">
        <v>239</v>
      </c>
      <c r="H509" s="94" t="s">
        <v>11</v>
      </c>
      <c r="I509" s="94" t="s">
        <v>219</v>
      </c>
      <c r="J509" s="94"/>
      <c r="K509" s="96">
        <v>17</v>
      </c>
      <c r="L509" s="96">
        <f>K509*VLOOKUP(H509,dagsoorttabel1,2,FALSE)</f>
        <v>17</v>
      </c>
      <c r="M509" s="97">
        <f>prodnorm36</f>
        <v>0</v>
      </c>
      <c r="N509" s="41">
        <f>dagwerk36</f>
        <v>0</v>
      </c>
      <c r="O509" s="94" t="s">
        <v>106</v>
      </c>
      <c r="P509" s="26">
        <f>uurtarief36</f>
        <v>0</v>
      </c>
      <c r="Q509" s="96" t="e">
        <f>IF(ISBLANK(M509),0,L509/M509)</f>
        <v>#DIV/0!</v>
      </c>
      <c r="R509" s="96" t="e">
        <f>IF(ISBLANK(M509),0,Q509*N509)</f>
        <v>#DIV/0!</v>
      </c>
      <c r="S509" s="26" t="e">
        <f>P509*Q509</f>
        <v>#DIV/0!</v>
      </c>
      <c r="T509" s="96" t="e">
        <f>Q509*dagenperjaar1</f>
        <v>#DIV/0!</v>
      </c>
      <c r="U509" s="27" t="e">
        <f>T509*P509</f>
        <v>#DIV/0!</v>
      </c>
    </row>
    <row r="510" spans="1:21" x14ac:dyDescent="0.3">
      <c r="A510" s="93" t="s">
        <v>753</v>
      </c>
      <c r="B510" s="94" t="s">
        <v>40</v>
      </c>
      <c r="C510" s="94" t="s">
        <v>419</v>
      </c>
      <c r="D510" s="94" t="s">
        <v>856</v>
      </c>
      <c r="E510" s="95" t="s">
        <v>453</v>
      </c>
      <c r="F510" s="94" t="s">
        <v>648</v>
      </c>
      <c r="G510" s="94" t="s">
        <v>261</v>
      </c>
      <c r="H510" s="94" t="s">
        <v>11</v>
      </c>
      <c r="I510" s="94" t="s">
        <v>219</v>
      </c>
      <c r="J510" s="94"/>
      <c r="K510" s="96">
        <v>1</v>
      </c>
      <c r="L510" s="96">
        <f>K510*VLOOKUP(H510,dagsoorttabel1,2,FALSE)</f>
        <v>1</v>
      </c>
      <c r="M510" s="97">
        <f>prodnorm56</f>
        <v>0</v>
      </c>
      <c r="N510" s="41">
        <f>dagwerk56</f>
        <v>0</v>
      </c>
      <c r="O510" s="94" t="s">
        <v>106</v>
      </c>
      <c r="P510" s="26">
        <f>uurtarief56</f>
        <v>0</v>
      </c>
      <c r="Q510" s="96" t="e">
        <f>IF(ISBLANK(M510),0,L510/M510)</f>
        <v>#DIV/0!</v>
      </c>
      <c r="R510" s="96" t="e">
        <f>IF(ISBLANK(M510),0,Q510*N510)</f>
        <v>#DIV/0!</v>
      </c>
      <c r="S510" s="26" t="e">
        <f>P510*Q510</f>
        <v>#DIV/0!</v>
      </c>
      <c r="T510" s="96" t="e">
        <f>Q510*dagenperjaar1</f>
        <v>#DIV/0!</v>
      </c>
      <c r="U510" s="27" t="e">
        <f>T510*P510</f>
        <v>#DIV/0!</v>
      </c>
    </row>
    <row r="511" spans="1:21" x14ac:dyDescent="0.3">
      <c r="A511" s="93" t="s">
        <v>753</v>
      </c>
      <c r="B511" s="94" t="s">
        <v>40</v>
      </c>
      <c r="C511" s="94" t="s">
        <v>419</v>
      </c>
      <c r="D511" s="94" t="s">
        <v>856</v>
      </c>
      <c r="E511" s="95" t="s">
        <v>453</v>
      </c>
      <c r="F511" s="94" t="s">
        <v>648</v>
      </c>
      <c r="G511" s="94" t="s">
        <v>263</v>
      </c>
      <c r="H511" s="94" t="s">
        <v>11</v>
      </c>
      <c r="I511" s="94" t="s">
        <v>219</v>
      </c>
      <c r="J511" s="94"/>
      <c r="K511" s="96">
        <v>1</v>
      </c>
      <c r="L511" s="96">
        <f>K511*VLOOKUP(H511,dagsoorttabel1,2,FALSE)</f>
        <v>1</v>
      </c>
      <c r="M511" s="97">
        <f>prodnorm58</f>
        <v>0</v>
      </c>
      <c r="N511" s="41">
        <f>dagwerk58</f>
        <v>0</v>
      </c>
      <c r="O511" s="94" t="s">
        <v>106</v>
      </c>
      <c r="P511" s="26">
        <f>uurtarief58</f>
        <v>0</v>
      </c>
      <c r="Q511" s="96" t="e">
        <f>IF(ISBLANK(M511),0,L511/M511)</f>
        <v>#DIV/0!</v>
      </c>
      <c r="R511" s="96" t="e">
        <f>IF(ISBLANK(M511),0,Q511*N511)</f>
        <v>#DIV/0!</v>
      </c>
      <c r="S511" s="26" t="e">
        <f>P511*Q511</f>
        <v>#DIV/0!</v>
      </c>
      <c r="T511" s="96" t="e">
        <f>Q511*dagenperjaar1</f>
        <v>#DIV/0!</v>
      </c>
      <c r="U511" s="27" t="e">
        <f>T511*P511</f>
        <v>#DIV/0!</v>
      </c>
    </row>
    <row r="512" spans="1:21" x14ac:dyDescent="0.3">
      <c r="A512" s="93" t="s">
        <v>753</v>
      </c>
      <c r="B512" s="94" t="s">
        <v>40</v>
      </c>
      <c r="C512" s="94" t="s">
        <v>419</v>
      </c>
      <c r="D512" s="94" t="s">
        <v>857</v>
      </c>
      <c r="E512" s="95" t="s">
        <v>849</v>
      </c>
      <c r="F512" s="94" t="s">
        <v>648</v>
      </c>
      <c r="G512" s="94" t="s">
        <v>227</v>
      </c>
      <c r="H512" s="94" t="s">
        <v>11</v>
      </c>
      <c r="I512" s="94" t="s">
        <v>219</v>
      </c>
      <c r="J512" s="94"/>
      <c r="K512" s="96">
        <v>10</v>
      </c>
      <c r="L512" s="96">
        <f>K512*VLOOKUP(H512,dagsoorttabel1,2,FALSE)</f>
        <v>10</v>
      </c>
      <c r="M512" s="97">
        <f>prodnorm25</f>
        <v>0</v>
      </c>
      <c r="N512" s="41">
        <f>dagwerk25</f>
        <v>0</v>
      </c>
      <c r="O512" s="94" t="s">
        <v>106</v>
      </c>
      <c r="P512" s="26">
        <f>uurtarief25</f>
        <v>0</v>
      </c>
      <c r="Q512" s="96" t="e">
        <f>IF(ISBLANK(M512),0,L512/M512)</f>
        <v>#DIV/0!</v>
      </c>
      <c r="R512" s="96" t="e">
        <f>IF(ISBLANK(M512),0,Q512*N512)</f>
        <v>#DIV/0!</v>
      </c>
      <c r="S512" s="26" t="e">
        <f>P512*Q512</f>
        <v>#DIV/0!</v>
      </c>
      <c r="T512" s="96" t="e">
        <f>Q512*dagenperjaar1</f>
        <v>#DIV/0!</v>
      </c>
      <c r="U512" s="27" t="e">
        <f>T512*P512</f>
        <v>#DIV/0!</v>
      </c>
    </row>
    <row r="513" spans="1:21" x14ac:dyDescent="0.3">
      <c r="A513" s="93" t="s">
        <v>753</v>
      </c>
      <c r="B513" s="94" t="s">
        <v>40</v>
      </c>
      <c r="C513" s="94" t="s">
        <v>419</v>
      </c>
      <c r="D513" s="94" t="s">
        <v>858</v>
      </c>
      <c r="E513" s="95" t="s">
        <v>847</v>
      </c>
      <c r="F513" s="94" t="s">
        <v>648</v>
      </c>
      <c r="G513" s="94" t="s">
        <v>227</v>
      </c>
      <c r="H513" s="94" t="s">
        <v>11</v>
      </c>
      <c r="I513" s="94" t="s">
        <v>219</v>
      </c>
      <c r="J513" s="94"/>
      <c r="K513" s="96">
        <v>10</v>
      </c>
      <c r="L513" s="96">
        <f>K513*VLOOKUP(H513,dagsoorttabel1,2,FALSE)</f>
        <v>10</v>
      </c>
      <c r="M513" s="97">
        <f>prodnorm25</f>
        <v>0</v>
      </c>
      <c r="N513" s="41">
        <f>dagwerk25</f>
        <v>0</v>
      </c>
      <c r="O513" s="94" t="s">
        <v>106</v>
      </c>
      <c r="P513" s="26">
        <f>uurtarief25</f>
        <v>0</v>
      </c>
      <c r="Q513" s="96" t="e">
        <f>IF(ISBLANK(M513),0,L513/M513)</f>
        <v>#DIV/0!</v>
      </c>
      <c r="R513" s="96" t="e">
        <f>IF(ISBLANK(M513),0,Q513*N513)</f>
        <v>#DIV/0!</v>
      </c>
      <c r="S513" s="26" t="e">
        <f>P513*Q513</f>
        <v>#DIV/0!</v>
      </c>
      <c r="T513" s="96" t="e">
        <f>Q513*dagenperjaar1</f>
        <v>#DIV/0!</v>
      </c>
      <c r="U513" s="27" t="e">
        <f>T513*P513</f>
        <v>#DIV/0!</v>
      </c>
    </row>
    <row r="514" spans="1:21" x14ac:dyDescent="0.3">
      <c r="A514" s="93" t="s">
        <v>753</v>
      </c>
      <c r="B514" s="94" t="s">
        <v>40</v>
      </c>
      <c r="C514" s="94" t="s">
        <v>419</v>
      </c>
      <c r="D514" s="94" t="s">
        <v>859</v>
      </c>
      <c r="E514" s="95" t="s">
        <v>455</v>
      </c>
      <c r="F514" s="94" t="s">
        <v>648</v>
      </c>
      <c r="G514" s="94" t="s">
        <v>261</v>
      </c>
      <c r="H514" s="94" t="s">
        <v>11</v>
      </c>
      <c r="I514" s="94" t="s">
        <v>219</v>
      </c>
      <c r="J514" s="94"/>
      <c r="K514" s="96">
        <v>1</v>
      </c>
      <c r="L514" s="96">
        <f>K514*VLOOKUP(H514,dagsoorttabel1,2,FALSE)</f>
        <v>1</v>
      </c>
      <c r="M514" s="97">
        <f>prodnorm56</f>
        <v>0</v>
      </c>
      <c r="N514" s="41">
        <f>dagwerk56</f>
        <v>0</v>
      </c>
      <c r="O514" s="94" t="s">
        <v>106</v>
      </c>
      <c r="P514" s="26">
        <f>uurtarief56</f>
        <v>0</v>
      </c>
      <c r="Q514" s="96" t="e">
        <f>IF(ISBLANK(M514),0,L514/M514)</f>
        <v>#DIV/0!</v>
      </c>
      <c r="R514" s="96" t="e">
        <f>IF(ISBLANK(M514),0,Q514*N514)</f>
        <v>#DIV/0!</v>
      </c>
      <c r="S514" s="26" t="e">
        <f>P514*Q514</f>
        <v>#DIV/0!</v>
      </c>
      <c r="T514" s="96" t="e">
        <f>Q514*dagenperjaar1</f>
        <v>#DIV/0!</v>
      </c>
      <c r="U514" s="27" t="e">
        <f>T514*P514</f>
        <v>#DIV/0!</v>
      </c>
    </row>
    <row r="515" spans="1:21" x14ac:dyDescent="0.3">
      <c r="A515" s="93" t="s">
        <v>753</v>
      </c>
      <c r="B515" s="94" t="s">
        <v>40</v>
      </c>
      <c r="C515" s="94" t="s">
        <v>419</v>
      </c>
      <c r="D515" s="94" t="s">
        <v>859</v>
      </c>
      <c r="E515" s="95" t="s">
        <v>455</v>
      </c>
      <c r="F515" s="94" t="s">
        <v>648</v>
      </c>
      <c r="G515" s="94" t="s">
        <v>263</v>
      </c>
      <c r="H515" s="94" t="s">
        <v>11</v>
      </c>
      <c r="I515" s="94" t="s">
        <v>219</v>
      </c>
      <c r="J515" s="94"/>
      <c r="K515" s="96">
        <v>1</v>
      </c>
      <c r="L515" s="96">
        <f>K515*VLOOKUP(H515,dagsoorttabel1,2,FALSE)</f>
        <v>1</v>
      </c>
      <c r="M515" s="97">
        <f>prodnorm58</f>
        <v>0</v>
      </c>
      <c r="N515" s="41">
        <f>dagwerk58</f>
        <v>0</v>
      </c>
      <c r="O515" s="94" t="s">
        <v>106</v>
      </c>
      <c r="P515" s="26">
        <f>uurtarief58</f>
        <v>0</v>
      </c>
      <c r="Q515" s="96" t="e">
        <f>IF(ISBLANK(M515),0,L515/M515)</f>
        <v>#DIV/0!</v>
      </c>
      <c r="R515" s="96" t="e">
        <f>IF(ISBLANK(M515),0,Q515*N515)</f>
        <v>#DIV/0!</v>
      </c>
      <c r="S515" s="26" t="e">
        <f>P515*Q515</f>
        <v>#DIV/0!</v>
      </c>
      <c r="T515" s="96" t="e">
        <f>Q515*dagenperjaar1</f>
        <v>#DIV/0!</v>
      </c>
      <c r="U515" s="27" t="e">
        <f>T515*P515</f>
        <v>#DIV/0!</v>
      </c>
    </row>
    <row r="516" spans="1:21" x14ac:dyDescent="0.3">
      <c r="A516" s="93" t="s">
        <v>753</v>
      </c>
      <c r="B516" s="94" t="s">
        <v>40</v>
      </c>
      <c r="C516" s="94" t="s">
        <v>419</v>
      </c>
      <c r="D516" s="94" t="s">
        <v>860</v>
      </c>
      <c r="E516" s="95" t="s">
        <v>844</v>
      </c>
      <c r="F516" s="94" t="s">
        <v>648</v>
      </c>
      <c r="G516" s="94" t="s">
        <v>239</v>
      </c>
      <c r="H516" s="94" t="s">
        <v>11</v>
      </c>
      <c r="I516" s="94" t="s">
        <v>219</v>
      </c>
      <c r="J516" s="94"/>
      <c r="K516" s="96">
        <v>22</v>
      </c>
      <c r="L516" s="96">
        <f>K516*VLOOKUP(H516,dagsoorttabel1,2,FALSE)</f>
        <v>22</v>
      </c>
      <c r="M516" s="97">
        <f>prodnorm36</f>
        <v>0</v>
      </c>
      <c r="N516" s="41">
        <f>dagwerk36</f>
        <v>0</v>
      </c>
      <c r="O516" s="94" t="s">
        <v>106</v>
      </c>
      <c r="P516" s="26">
        <f>uurtarief36</f>
        <v>0</v>
      </c>
      <c r="Q516" s="96" t="e">
        <f>IF(ISBLANK(M516),0,L516/M516)</f>
        <v>#DIV/0!</v>
      </c>
      <c r="R516" s="96" t="e">
        <f>IF(ISBLANK(M516),0,Q516*N516)</f>
        <v>#DIV/0!</v>
      </c>
      <c r="S516" s="26" t="e">
        <f>P516*Q516</f>
        <v>#DIV/0!</v>
      </c>
      <c r="T516" s="96" t="e">
        <f>Q516*dagenperjaar1</f>
        <v>#DIV/0!</v>
      </c>
      <c r="U516" s="27" t="e">
        <f>T516*P516</f>
        <v>#DIV/0!</v>
      </c>
    </row>
    <row r="517" spans="1:21" x14ac:dyDescent="0.3">
      <c r="A517" s="93" t="s">
        <v>753</v>
      </c>
      <c r="B517" s="94" t="s">
        <v>40</v>
      </c>
      <c r="C517" s="94" t="s">
        <v>419</v>
      </c>
      <c r="D517" s="94" t="s">
        <v>861</v>
      </c>
      <c r="E517" s="95" t="s">
        <v>338</v>
      </c>
      <c r="F517" s="94" t="s">
        <v>296</v>
      </c>
      <c r="G517" s="94" t="s">
        <v>267</v>
      </c>
      <c r="H517" s="94" t="s">
        <v>11</v>
      </c>
      <c r="I517" s="94" t="s">
        <v>219</v>
      </c>
      <c r="J517" s="94"/>
      <c r="K517" s="96">
        <v>36</v>
      </c>
      <c r="L517" s="96">
        <f>K517*VLOOKUP(H517,dagsoorttabel1,2,FALSE)</f>
        <v>36</v>
      </c>
      <c r="M517" s="97">
        <f>prodnorm63</f>
        <v>0</v>
      </c>
      <c r="N517" s="41">
        <f>dagwerk63</f>
        <v>0</v>
      </c>
      <c r="O517" s="94" t="s">
        <v>106</v>
      </c>
      <c r="P517" s="26">
        <f>uurtarief63</f>
        <v>0</v>
      </c>
      <c r="Q517" s="96" t="e">
        <f>IF(ISBLANK(M517),0,L517/M517)</f>
        <v>#DIV/0!</v>
      </c>
      <c r="R517" s="96" t="e">
        <f>IF(ISBLANK(M517),0,Q517*N517)</f>
        <v>#DIV/0!</v>
      </c>
      <c r="S517" s="26" t="e">
        <f>P517*Q517</f>
        <v>#DIV/0!</v>
      </c>
      <c r="T517" s="96" t="e">
        <f>Q517*dagenperjaar1</f>
        <v>#DIV/0!</v>
      </c>
      <c r="U517" s="27" t="e">
        <f>T517*P517</f>
        <v>#DIV/0!</v>
      </c>
    </row>
    <row r="518" spans="1:21" x14ac:dyDescent="0.3">
      <c r="A518" s="93" t="s">
        <v>753</v>
      </c>
      <c r="B518" s="94" t="s">
        <v>40</v>
      </c>
      <c r="C518" s="94" t="s">
        <v>419</v>
      </c>
      <c r="D518" s="94" t="s">
        <v>862</v>
      </c>
      <c r="E518" s="95" t="s">
        <v>338</v>
      </c>
      <c r="F518" s="94" t="s">
        <v>296</v>
      </c>
      <c r="G518" s="94" t="s">
        <v>267</v>
      </c>
      <c r="H518" s="94" t="s">
        <v>11</v>
      </c>
      <c r="I518" s="94" t="s">
        <v>219</v>
      </c>
      <c r="J518" s="94"/>
      <c r="K518" s="96">
        <v>38</v>
      </c>
      <c r="L518" s="96">
        <f>K518*VLOOKUP(H518,dagsoorttabel1,2,FALSE)</f>
        <v>38</v>
      </c>
      <c r="M518" s="97">
        <f>prodnorm63</f>
        <v>0</v>
      </c>
      <c r="N518" s="41">
        <f>dagwerk63</f>
        <v>0</v>
      </c>
      <c r="O518" s="94" t="s">
        <v>106</v>
      </c>
      <c r="P518" s="26">
        <f>uurtarief63</f>
        <v>0</v>
      </c>
      <c r="Q518" s="96" t="e">
        <f>IF(ISBLANK(M518),0,L518/M518)</f>
        <v>#DIV/0!</v>
      </c>
      <c r="R518" s="96" t="e">
        <f>IF(ISBLANK(M518),0,Q518*N518)</f>
        <v>#DIV/0!</v>
      </c>
      <c r="S518" s="26" t="e">
        <f>P518*Q518</f>
        <v>#DIV/0!</v>
      </c>
      <c r="T518" s="96" t="e">
        <f>Q518*dagenperjaar1</f>
        <v>#DIV/0!</v>
      </c>
      <c r="U518" s="27" t="e">
        <f>T518*P518</f>
        <v>#DIV/0!</v>
      </c>
    </row>
    <row r="519" spans="1:21" x14ac:dyDescent="0.3">
      <c r="A519" s="93" t="s">
        <v>753</v>
      </c>
      <c r="B519" s="94" t="s">
        <v>40</v>
      </c>
      <c r="C519" s="94" t="s">
        <v>419</v>
      </c>
      <c r="D519" s="94" t="s">
        <v>863</v>
      </c>
      <c r="E519" s="95" t="s">
        <v>864</v>
      </c>
      <c r="F519" s="94" t="s">
        <v>648</v>
      </c>
      <c r="G519" s="94" t="s">
        <v>223</v>
      </c>
      <c r="H519" s="94" t="s">
        <v>18</v>
      </c>
      <c r="I519" s="94" t="s">
        <v>219</v>
      </c>
      <c r="J519" s="94"/>
      <c r="K519" s="96">
        <v>6</v>
      </c>
      <c r="L519" s="96">
        <f>K519*VLOOKUP(H519,dagsoorttabel1,2,FALSE)</f>
        <v>1.2000000000000002</v>
      </c>
      <c r="M519" s="97">
        <f>prodnorm19</f>
        <v>0</v>
      </c>
      <c r="N519" s="41">
        <f>dagwerk19</f>
        <v>0</v>
      </c>
      <c r="O519" s="94" t="s">
        <v>106</v>
      </c>
      <c r="P519" s="26">
        <f>uurtarief19</f>
        <v>0</v>
      </c>
      <c r="Q519" s="96" t="e">
        <f>IF(ISBLANK(M519),0,L519/M519)</f>
        <v>#DIV/0!</v>
      </c>
      <c r="R519" s="96" t="e">
        <f>IF(ISBLANK(M519),0,Q519*N519)</f>
        <v>#DIV/0!</v>
      </c>
      <c r="S519" s="26" t="e">
        <f>P519*Q519</f>
        <v>#DIV/0!</v>
      </c>
      <c r="T519" s="96" t="e">
        <f>Q519*dagenperjaar1</f>
        <v>#DIV/0!</v>
      </c>
      <c r="U519" s="27" t="e">
        <f>T519*P519</f>
        <v>#DIV/0!</v>
      </c>
    </row>
    <row r="520" spans="1:21" x14ac:dyDescent="0.3">
      <c r="A520" s="93" t="s">
        <v>753</v>
      </c>
      <c r="B520" s="94" t="s">
        <v>40</v>
      </c>
      <c r="C520" s="94" t="s">
        <v>419</v>
      </c>
      <c r="D520" s="94" t="s">
        <v>865</v>
      </c>
      <c r="E520" s="95" t="s">
        <v>346</v>
      </c>
      <c r="F520" s="94" t="s">
        <v>842</v>
      </c>
      <c r="G520" s="94" t="s">
        <v>235</v>
      </c>
      <c r="H520" s="94" t="s">
        <v>11</v>
      </c>
      <c r="I520" s="94" t="s">
        <v>219</v>
      </c>
      <c r="J520" s="94"/>
      <c r="K520" s="96">
        <v>272</v>
      </c>
      <c r="L520" s="96">
        <f>K520*VLOOKUP(H520,dagsoorttabel1,2,FALSE)</f>
        <v>272</v>
      </c>
      <c r="M520" s="97">
        <f>prodnorm33</f>
        <v>0</v>
      </c>
      <c r="N520" s="41">
        <f>dagwerk33</f>
        <v>0</v>
      </c>
      <c r="O520" s="94" t="s">
        <v>106</v>
      </c>
      <c r="P520" s="26">
        <f>uurtarief33</f>
        <v>0</v>
      </c>
      <c r="Q520" s="96" t="e">
        <f>IF(ISBLANK(M520),0,L520/M520)</f>
        <v>#DIV/0!</v>
      </c>
      <c r="R520" s="96" t="e">
        <f>IF(ISBLANK(M520),0,Q520*N520)</f>
        <v>#DIV/0!</v>
      </c>
      <c r="S520" s="26" t="e">
        <f>P520*Q520</f>
        <v>#DIV/0!</v>
      </c>
      <c r="T520" s="96" t="e">
        <f>Q520*dagenperjaar1</f>
        <v>#DIV/0!</v>
      </c>
      <c r="U520" s="27" t="e">
        <f>T520*P520</f>
        <v>#DIV/0!</v>
      </c>
    </row>
    <row r="521" spans="1:21" x14ac:dyDescent="0.3">
      <c r="A521" s="93" t="s">
        <v>753</v>
      </c>
      <c r="B521" s="94" t="s">
        <v>40</v>
      </c>
      <c r="C521" s="94" t="s">
        <v>419</v>
      </c>
      <c r="D521" s="94" t="s">
        <v>866</v>
      </c>
      <c r="E521" s="95" t="s">
        <v>844</v>
      </c>
      <c r="F521" s="94" t="s">
        <v>648</v>
      </c>
      <c r="G521" s="94" t="s">
        <v>239</v>
      </c>
      <c r="H521" s="94" t="s">
        <v>11</v>
      </c>
      <c r="I521" s="94" t="s">
        <v>219</v>
      </c>
      <c r="J521" s="94"/>
      <c r="K521" s="96">
        <v>22</v>
      </c>
      <c r="L521" s="96">
        <f>K521*VLOOKUP(H521,dagsoorttabel1,2,FALSE)</f>
        <v>22</v>
      </c>
      <c r="M521" s="97">
        <f>prodnorm36</f>
        <v>0</v>
      </c>
      <c r="N521" s="41">
        <f>dagwerk36</f>
        <v>0</v>
      </c>
      <c r="O521" s="94" t="s">
        <v>106</v>
      </c>
      <c r="P521" s="26">
        <f>uurtarief36</f>
        <v>0</v>
      </c>
      <c r="Q521" s="96" t="e">
        <f>IF(ISBLANK(M521),0,L521/M521)</f>
        <v>#DIV/0!</v>
      </c>
      <c r="R521" s="96" t="e">
        <f>IF(ISBLANK(M521),0,Q521*N521)</f>
        <v>#DIV/0!</v>
      </c>
      <c r="S521" s="26" t="e">
        <f>P521*Q521</f>
        <v>#DIV/0!</v>
      </c>
      <c r="T521" s="96" t="e">
        <f>Q521*dagenperjaar1</f>
        <v>#DIV/0!</v>
      </c>
      <c r="U521" s="27" t="e">
        <f>T521*P521</f>
        <v>#DIV/0!</v>
      </c>
    </row>
    <row r="522" spans="1:21" x14ac:dyDescent="0.3">
      <c r="A522" s="93" t="s">
        <v>753</v>
      </c>
      <c r="B522" s="94" t="s">
        <v>40</v>
      </c>
      <c r="C522" s="94" t="s">
        <v>419</v>
      </c>
      <c r="D522" s="94" t="s">
        <v>867</v>
      </c>
      <c r="E522" s="95" t="s">
        <v>455</v>
      </c>
      <c r="F522" s="94" t="s">
        <v>648</v>
      </c>
      <c r="G522" s="94" t="s">
        <v>261</v>
      </c>
      <c r="H522" s="94" t="s">
        <v>11</v>
      </c>
      <c r="I522" s="94" t="s">
        <v>219</v>
      </c>
      <c r="J522" s="94"/>
      <c r="K522" s="96">
        <v>1</v>
      </c>
      <c r="L522" s="96">
        <f>K522*VLOOKUP(H522,dagsoorttabel1,2,FALSE)</f>
        <v>1</v>
      </c>
      <c r="M522" s="97">
        <f>prodnorm56</f>
        <v>0</v>
      </c>
      <c r="N522" s="41">
        <f>dagwerk56</f>
        <v>0</v>
      </c>
      <c r="O522" s="94" t="s">
        <v>106</v>
      </c>
      <c r="P522" s="26">
        <f>uurtarief56</f>
        <v>0</v>
      </c>
      <c r="Q522" s="96" t="e">
        <f>IF(ISBLANK(M522),0,L522/M522)</f>
        <v>#DIV/0!</v>
      </c>
      <c r="R522" s="96" t="e">
        <f>IF(ISBLANK(M522),0,Q522*N522)</f>
        <v>#DIV/0!</v>
      </c>
      <c r="S522" s="26" t="e">
        <f>P522*Q522</f>
        <v>#DIV/0!</v>
      </c>
      <c r="T522" s="96" t="e">
        <f>Q522*dagenperjaar1</f>
        <v>#DIV/0!</v>
      </c>
      <c r="U522" s="27" t="e">
        <f>T522*P522</f>
        <v>#DIV/0!</v>
      </c>
    </row>
    <row r="523" spans="1:21" x14ac:dyDescent="0.3">
      <c r="A523" s="93" t="s">
        <v>753</v>
      </c>
      <c r="B523" s="94" t="s">
        <v>40</v>
      </c>
      <c r="C523" s="94" t="s">
        <v>419</v>
      </c>
      <c r="D523" s="94" t="s">
        <v>867</v>
      </c>
      <c r="E523" s="95" t="s">
        <v>455</v>
      </c>
      <c r="F523" s="94" t="s">
        <v>648</v>
      </c>
      <c r="G523" s="94" t="s">
        <v>263</v>
      </c>
      <c r="H523" s="94" t="s">
        <v>11</v>
      </c>
      <c r="I523" s="94" t="s">
        <v>219</v>
      </c>
      <c r="J523" s="94"/>
      <c r="K523" s="96">
        <v>1</v>
      </c>
      <c r="L523" s="96">
        <f>K523*VLOOKUP(H523,dagsoorttabel1,2,FALSE)</f>
        <v>1</v>
      </c>
      <c r="M523" s="97">
        <f>prodnorm58</f>
        <v>0</v>
      </c>
      <c r="N523" s="41">
        <f>dagwerk58</f>
        <v>0</v>
      </c>
      <c r="O523" s="94" t="s">
        <v>106</v>
      </c>
      <c r="P523" s="26">
        <f>uurtarief58</f>
        <v>0</v>
      </c>
      <c r="Q523" s="96" t="e">
        <f>IF(ISBLANK(M523),0,L523/M523)</f>
        <v>#DIV/0!</v>
      </c>
      <c r="R523" s="96" t="e">
        <f>IF(ISBLANK(M523),0,Q523*N523)</f>
        <v>#DIV/0!</v>
      </c>
      <c r="S523" s="26" t="e">
        <f>P523*Q523</f>
        <v>#DIV/0!</v>
      </c>
      <c r="T523" s="96" t="e">
        <f>Q523*dagenperjaar1</f>
        <v>#DIV/0!</v>
      </c>
      <c r="U523" s="27" t="e">
        <f>T523*P523</f>
        <v>#DIV/0!</v>
      </c>
    </row>
    <row r="524" spans="1:21" x14ac:dyDescent="0.3">
      <c r="A524" s="93" t="s">
        <v>753</v>
      </c>
      <c r="B524" s="94" t="s">
        <v>40</v>
      </c>
      <c r="C524" s="94" t="s">
        <v>419</v>
      </c>
      <c r="D524" s="94" t="s">
        <v>868</v>
      </c>
      <c r="E524" s="95" t="s">
        <v>847</v>
      </c>
      <c r="F524" s="94" t="s">
        <v>648</v>
      </c>
      <c r="G524" s="94" t="s">
        <v>227</v>
      </c>
      <c r="H524" s="94" t="s">
        <v>11</v>
      </c>
      <c r="I524" s="94" t="s">
        <v>219</v>
      </c>
      <c r="J524" s="94"/>
      <c r="K524" s="96">
        <v>10</v>
      </c>
      <c r="L524" s="96">
        <f>K524*VLOOKUP(H524,dagsoorttabel1,2,FALSE)</f>
        <v>10</v>
      </c>
      <c r="M524" s="97">
        <f>prodnorm25</f>
        <v>0</v>
      </c>
      <c r="N524" s="41">
        <f>dagwerk25</f>
        <v>0</v>
      </c>
      <c r="O524" s="94" t="s">
        <v>106</v>
      </c>
      <c r="P524" s="26">
        <f>uurtarief25</f>
        <v>0</v>
      </c>
      <c r="Q524" s="96" t="e">
        <f>IF(ISBLANK(M524),0,L524/M524)</f>
        <v>#DIV/0!</v>
      </c>
      <c r="R524" s="96" t="e">
        <f>IF(ISBLANK(M524),0,Q524*N524)</f>
        <v>#DIV/0!</v>
      </c>
      <c r="S524" s="26" t="e">
        <f>P524*Q524</f>
        <v>#DIV/0!</v>
      </c>
      <c r="T524" s="96" t="e">
        <f>Q524*dagenperjaar1</f>
        <v>#DIV/0!</v>
      </c>
      <c r="U524" s="27" t="e">
        <f>T524*P524</f>
        <v>#DIV/0!</v>
      </c>
    </row>
    <row r="525" spans="1:21" x14ac:dyDescent="0.3">
      <c r="A525" s="93" t="s">
        <v>753</v>
      </c>
      <c r="B525" s="94" t="s">
        <v>40</v>
      </c>
      <c r="C525" s="94" t="s">
        <v>419</v>
      </c>
      <c r="D525" s="94" t="s">
        <v>869</v>
      </c>
      <c r="E525" s="95" t="s">
        <v>849</v>
      </c>
      <c r="F525" s="94" t="s">
        <v>648</v>
      </c>
      <c r="G525" s="94" t="s">
        <v>227</v>
      </c>
      <c r="H525" s="94" t="s">
        <v>11</v>
      </c>
      <c r="I525" s="94" t="s">
        <v>219</v>
      </c>
      <c r="J525" s="94"/>
      <c r="K525" s="96">
        <v>10</v>
      </c>
      <c r="L525" s="96">
        <f>K525*VLOOKUP(H525,dagsoorttabel1,2,FALSE)</f>
        <v>10</v>
      </c>
      <c r="M525" s="97">
        <f>prodnorm25</f>
        <v>0</v>
      </c>
      <c r="N525" s="41">
        <f>dagwerk25</f>
        <v>0</v>
      </c>
      <c r="O525" s="94" t="s">
        <v>106</v>
      </c>
      <c r="P525" s="26">
        <f>uurtarief25</f>
        <v>0</v>
      </c>
      <c r="Q525" s="96" t="e">
        <f>IF(ISBLANK(M525),0,L525/M525)</f>
        <v>#DIV/0!</v>
      </c>
      <c r="R525" s="96" t="e">
        <f>IF(ISBLANK(M525),0,Q525*N525)</f>
        <v>#DIV/0!</v>
      </c>
      <c r="S525" s="26" t="e">
        <f>P525*Q525</f>
        <v>#DIV/0!</v>
      </c>
      <c r="T525" s="96" t="e">
        <f>Q525*dagenperjaar1</f>
        <v>#DIV/0!</v>
      </c>
      <c r="U525" s="27" t="e">
        <f>T525*P525</f>
        <v>#DIV/0!</v>
      </c>
    </row>
    <row r="526" spans="1:21" x14ac:dyDescent="0.3">
      <c r="A526" s="93" t="s">
        <v>753</v>
      </c>
      <c r="B526" s="94" t="s">
        <v>40</v>
      </c>
      <c r="C526" s="94" t="s">
        <v>419</v>
      </c>
      <c r="D526" s="94" t="s">
        <v>870</v>
      </c>
      <c r="E526" s="95" t="s">
        <v>453</v>
      </c>
      <c r="F526" s="94" t="s">
        <v>648</v>
      </c>
      <c r="G526" s="94" t="s">
        <v>261</v>
      </c>
      <c r="H526" s="94" t="s">
        <v>11</v>
      </c>
      <c r="I526" s="94" t="s">
        <v>219</v>
      </c>
      <c r="J526" s="94"/>
      <c r="K526" s="96">
        <v>1</v>
      </c>
      <c r="L526" s="96">
        <f>K526*VLOOKUP(H526,dagsoorttabel1,2,FALSE)</f>
        <v>1</v>
      </c>
      <c r="M526" s="97">
        <f>prodnorm56</f>
        <v>0</v>
      </c>
      <c r="N526" s="41">
        <f>dagwerk56</f>
        <v>0</v>
      </c>
      <c r="O526" s="94" t="s">
        <v>106</v>
      </c>
      <c r="P526" s="26">
        <f>uurtarief56</f>
        <v>0</v>
      </c>
      <c r="Q526" s="96" t="e">
        <f>IF(ISBLANK(M526),0,L526/M526)</f>
        <v>#DIV/0!</v>
      </c>
      <c r="R526" s="96" t="e">
        <f>IF(ISBLANK(M526),0,Q526*N526)</f>
        <v>#DIV/0!</v>
      </c>
      <c r="S526" s="26" t="e">
        <f>P526*Q526</f>
        <v>#DIV/0!</v>
      </c>
      <c r="T526" s="96" t="e">
        <f>Q526*dagenperjaar1</f>
        <v>#DIV/0!</v>
      </c>
      <c r="U526" s="27" t="e">
        <f>T526*P526</f>
        <v>#DIV/0!</v>
      </c>
    </row>
    <row r="527" spans="1:21" x14ac:dyDescent="0.3">
      <c r="A527" s="93" t="s">
        <v>753</v>
      </c>
      <c r="B527" s="94" t="s">
        <v>40</v>
      </c>
      <c r="C527" s="94" t="s">
        <v>419</v>
      </c>
      <c r="D527" s="94" t="s">
        <v>870</v>
      </c>
      <c r="E527" s="95" t="s">
        <v>453</v>
      </c>
      <c r="F527" s="94" t="s">
        <v>648</v>
      </c>
      <c r="G527" s="94" t="s">
        <v>263</v>
      </c>
      <c r="H527" s="94" t="s">
        <v>11</v>
      </c>
      <c r="I527" s="94" t="s">
        <v>219</v>
      </c>
      <c r="J527" s="94"/>
      <c r="K527" s="96">
        <v>1</v>
      </c>
      <c r="L527" s="96">
        <f>K527*VLOOKUP(H527,dagsoorttabel1,2,FALSE)</f>
        <v>1</v>
      </c>
      <c r="M527" s="97">
        <f>prodnorm58</f>
        <v>0</v>
      </c>
      <c r="N527" s="41">
        <f>dagwerk58</f>
        <v>0</v>
      </c>
      <c r="O527" s="94" t="s">
        <v>106</v>
      </c>
      <c r="P527" s="26">
        <f>uurtarief58</f>
        <v>0</v>
      </c>
      <c r="Q527" s="96" t="e">
        <f>IF(ISBLANK(M527),0,L527/M527)</f>
        <v>#DIV/0!</v>
      </c>
      <c r="R527" s="96" t="e">
        <f>IF(ISBLANK(M527),0,Q527*N527)</f>
        <v>#DIV/0!</v>
      </c>
      <c r="S527" s="26" t="e">
        <f>P527*Q527</f>
        <v>#DIV/0!</v>
      </c>
      <c r="T527" s="96" t="e">
        <f>Q527*dagenperjaar1</f>
        <v>#DIV/0!</v>
      </c>
      <c r="U527" s="27" t="e">
        <f>T527*P527</f>
        <v>#DIV/0!</v>
      </c>
    </row>
    <row r="528" spans="1:21" x14ac:dyDescent="0.3">
      <c r="A528" s="93" t="s">
        <v>753</v>
      </c>
      <c r="B528" s="94" t="s">
        <v>40</v>
      </c>
      <c r="C528" s="94" t="s">
        <v>419</v>
      </c>
      <c r="D528" s="94" t="s">
        <v>871</v>
      </c>
      <c r="E528" s="95" t="s">
        <v>349</v>
      </c>
      <c r="F528" s="94" t="s">
        <v>842</v>
      </c>
      <c r="G528" s="94" t="s">
        <v>235</v>
      </c>
      <c r="H528" s="94" t="s">
        <v>26</v>
      </c>
      <c r="I528" s="94" t="s">
        <v>219</v>
      </c>
      <c r="J528" s="94"/>
      <c r="K528" s="96">
        <v>51.9</v>
      </c>
      <c r="L528" s="96">
        <f>K528*VLOOKUP(H528,dagsoorttabel1,2,FALSE)</f>
        <v>0.25950000000000001</v>
      </c>
      <c r="M528" s="97">
        <f>prodnorm32</f>
        <v>0</v>
      </c>
      <c r="N528" s="41">
        <f>dagwerk32</f>
        <v>0</v>
      </c>
      <c r="O528" s="94" t="s">
        <v>106</v>
      </c>
      <c r="P528" s="26">
        <f>uurtarief32</f>
        <v>0</v>
      </c>
      <c r="Q528" s="96" t="e">
        <f>IF(ISBLANK(M528),0,L528/M528)</f>
        <v>#DIV/0!</v>
      </c>
      <c r="R528" s="96" t="e">
        <f>IF(ISBLANK(M528),0,Q528*N528)</f>
        <v>#DIV/0!</v>
      </c>
      <c r="S528" s="26" t="e">
        <f>P528*Q528</f>
        <v>#DIV/0!</v>
      </c>
      <c r="T528" s="96" t="e">
        <f>Q528*dagenperjaar1</f>
        <v>#DIV/0!</v>
      </c>
      <c r="U528" s="27" t="e">
        <f>T528*P528</f>
        <v>#DIV/0!</v>
      </c>
    </row>
    <row r="529" spans="1:21" x14ac:dyDescent="0.3">
      <c r="A529" s="93" t="s">
        <v>753</v>
      </c>
      <c r="B529" s="94" t="s">
        <v>40</v>
      </c>
      <c r="C529" s="94" t="s">
        <v>419</v>
      </c>
      <c r="D529" s="94" t="s">
        <v>872</v>
      </c>
      <c r="E529" s="95" t="s">
        <v>338</v>
      </c>
      <c r="F529" s="94" t="s">
        <v>296</v>
      </c>
      <c r="G529" s="94" t="s">
        <v>267</v>
      </c>
      <c r="H529" s="94" t="s">
        <v>11</v>
      </c>
      <c r="I529" s="94" t="s">
        <v>219</v>
      </c>
      <c r="J529" s="94"/>
      <c r="K529" s="96">
        <v>20</v>
      </c>
      <c r="L529" s="96">
        <f>K529*VLOOKUP(H529,dagsoorttabel1,2,FALSE)</f>
        <v>20</v>
      </c>
      <c r="M529" s="97">
        <f>prodnorm63</f>
        <v>0</v>
      </c>
      <c r="N529" s="41">
        <f>dagwerk63</f>
        <v>0</v>
      </c>
      <c r="O529" s="94" t="s">
        <v>106</v>
      </c>
      <c r="P529" s="26">
        <f>uurtarief63</f>
        <v>0</v>
      </c>
      <c r="Q529" s="96" t="e">
        <f>IF(ISBLANK(M529),0,L529/M529)</f>
        <v>#DIV/0!</v>
      </c>
      <c r="R529" s="96" t="e">
        <f>IF(ISBLANK(M529),0,Q529*N529)</f>
        <v>#DIV/0!</v>
      </c>
      <c r="S529" s="26" t="e">
        <f>P529*Q529</f>
        <v>#DIV/0!</v>
      </c>
      <c r="T529" s="96" t="e">
        <f>Q529*dagenperjaar1</f>
        <v>#DIV/0!</v>
      </c>
      <c r="U529" s="27" t="e">
        <f>T529*P529</f>
        <v>#DIV/0!</v>
      </c>
    </row>
    <row r="530" spans="1:21" x14ac:dyDescent="0.3">
      <c r="A530" s="93" t="s">
        <v>753</v>
      </c>
      <c r="B530" s="94" t="s">
        <v>40</v>
      </c>
      <c r="C530" s="94" t="s">
        <v>419</v>
      </c>
      <c r="D530" s="94" t="s">
        <v>873</v>
      </c>
      <c r="E530" s="95" t="s">
        <v>852</v>
      </c>
      <c r="F530" s="94" t="s">
        <v>648</v>
      </c>
      <c r="G530" s="94" t="s">
        <v>239</v>
      </c>
      <c r="H530" s="94" t="s">
        <v>11</v>
      </c>
      <c r="I530" s="94" t="s">
        <v>219</v>
      </c>
      <c r="J530" s="94"/>
      <c r="K530" s="96">
        <v>24</v>
      </c>
      <c r="L530" s="96">
        <f>K530*VLOOKUP(H530,dagsoorttabel1,2,FALSE)</f>
        <v>24</v>
      </c>
      <c r="M530" s="97">
        <f>prodnorm36</f>
        <v>0</v>
      </c>
      <c r="N530" s="41">
        <f>dagwerk36</f>
        <v>0</v>
      </c>
      <c r="O530" s="94" t="s">
        <v>106</v>
      </c>
      <c r="P530" s="26">
        <f>uurtarief36</f>
        <v>0</v>
      </c>
      <c r="Q530" s="96" t="e">
        <f>IF(ISBLANK(M530),0,L530/M530)</f>
        <v>#DIV/0!</v>
      </c>
      <c r="R530" s="96" t="e">
        <f>IF(ISBLANK(M530),0,Q530*N530)</f>
        <v>#DIV/0!</v>
      </c>
      <c r="S530" s="26" t="e">
        <f>P530*Q530</f>
        <v>#DIV/0!</v>
      </c>
      <c r="T530" s="96" t="e">
        <f>Q530*dagenperjaar1</f>
        <v>#DIV/0!</v>
      </c>
      <c r="U530" s="27" t="e">
        <f>T530*P530</f>
        <v>#DIV/0!</v>
      </c>
    </row>
    <row r="531" spans="1:21" x14ac:dyDescent="0.3">
      <c r="A531" s="93" t="s">
        <v>753</v>
      </c>
      <c r="B531" s="94" t="s">
        <v>40</v>
      </c>
      <c r="C531" s="94" t="s">
        <v>419</v>
      </c>
      <c r="D531" s="94" t="s">
        <v>874</v>
      </c>
      <c r="E531" s="95" t="s">
        <v>338</v>
      </c>
      <c r="F531" s="94" t="s">
        <v>772</v>
      </c>
      <c r="G531" s="94" t="s">
        <v>267</v>
      </c>
      <c r="H531" s="94" t="s">
        <v>11</v>
      </c>
      <c r="I531" s="94" t="s">
        <v>219</v>
      </c>
      <c r="J531" s="94"/>
      <c r="K531" s="96">
        <v>14.2</v>
      </c>
      <c r="L531" s="96">
        <f>K531*VLOOKUP(H531,dagsoorttabel1,2,FALSE)</f>
        <v>14.2</v>
      </c>
      <c r="M531" s="97">
        <f>prodnorm63</f>
        <v>0</v>
      </c>
      <c r="N531" s="41">
        <f>dagwerk63</f>
        <v>0</v>
      </c>
      <c r="O531" s="94" t="s">
        <v>106</v>
      </c>
      <c r="P531" s="26">
        <f>uurtarief63</f>
        <v>0</v>
      </c>
      <c r="Q531" s="96" t="e">
        <f>IF(ISBLANK(M531),0,L531/M531)</f>
        <v>#DIV/0!</v>
      </c>
      <c r="R531" s="96" t="e">
        <f>IF(ISBLANK(M531),0,Q531*N531)</f>
        <v>#DIV/0!</v>
      </c>
      <c r="S531" s="26" t="e">
        <f>P531*Q531</f>
        <v>#DIV/0!</v>
      </c>
      <c r="T531" s="96" t="e">
        <f>Q531*dagenperjaar1</f>
        <v>#DIV/0!</v>
      </c>
      <c r="U531" s="27" t="e">
        <f>T531*P531</f>
        <v>#DIV/0!</v>
      </c>
    </row>
    <row r="532" spans="1:21" x14ac:dyDescent="0.3">
      <c r="A532" s="93" t="s">
        <v>753</v>
      </c>
      <c r="B532" s="94" t="s">
        <v>40</v>
      </c>
      <c r="C532" s="94" t="s">
        <v>419</v>
      </c>
      <c r="D532" s="94" t="s">
        <v>875</v>
      </c>
      <c r="E532" s="95" t="s">
        <v>346</v>
      </c>
      <c r="F532" s="94" t="s">
        <v>842</v>
      </c>
      <c r="G532" s="94" t="s">
        <v>235</v>
      </c>
      <c r="H532" s="94" t="s">
        <v>11</v>
      </c>
      <c r="I532" s="94" t="s">
        <v>219</v>
      </c>
      <c r="J532" s="94"/>
      <c r="K532" s="96">
        <v>264.60000000000002</v>
      </c>
      <c r="L532" s="96">
        <f>K532*VLOOKUP(H532,dagsoorttabel1,2,FALSE)</f>
        <v>264.60000000000002</v>
      </c>
      <c r="M532" s="97">
        <f>prodnorm33</f>
        <v>0</v>
      </c>
      <c r="N532" s="41">
        <f>dagwerk33</f>
        <v>0</v>
      </c>
      <c r="O532" s="94" t="s">
        <v>106</v>
      </c>
      <c r="P532" s="26">
        <f>uurtarief33</f>
        <v>0</v>
      </c>
      <c r="Q532" s="96" t="e">
        <f>IF(ISBLANK(M532),0,L532/M532)</f>
        <v>#DIV/0!</v>
      </c>
      <c r="R532" s="96" t="e">
        <f>IF(ISBLANK(M532),0,Q532*N532)</f>
        <v>#DIV/0!</v>
      </c>
      <c r="S532" s="26" t="e">
        <f>P532*Q532</f>
        <v>#DIV/0!</v>
      </c>
      <c r="T532" s="96" t="e">
        <f>Q532*dagenperjaar1</f>
        <v>#DIV/0!</v>
      </c>
      <c r="U532" s="27" t="e">
        <f>T532*P532</f>
        <v>#DIV/0!</v>
      </c>
    </row>
    <row r="533" spans="1:21" x14ac:dyDescent="0.3">
      <c r="A533" s="93" t="s">
        <v>753</v>
      </c>
      <c r="B533" s="94" t="s">
        <v>40</v>
      </c>
      <c r="C533" s="94" t="s">
        <v>419</v>
      </c>
      <c r="D533" s="94" t="s">
        <v>876</v>
      </c>
      <c r="E533" s="95" t="s">
        <v>349</v>
      </c>
      <c r="F533" s="94" t="s">
        <v>842</v>
      </c>
      <c r="G533" s="94" t="s">
        <v>235</v>
      </c>
      <c r="H533" s="94" t="s">
        <v>26</v>
      </c>
      <c r="I533" s="94" t="s">
        <v>219</v>
      </c>
      <c r="J533" s="94"/>
      <c r="K533" s="96">
        <v>32.799999999999997</v>
      </c>
      <c r="L533" s="96">
        <f>K533*VLOOKUP(H533,dagsoorttabel1,2,FALSE)</f>
        <v>0.16399999999999998</v>
      </c>
      <c r="M533" s="97">
        <f>prodnorm32</f>
        <v>0</v>
      </c>
      <c r="N533" s="41">
        <f>dagwerk32</f>
        <v>0</v>
      </c>
      <c r="O533" s="94" t="s">
        <v>106</v>
      </c>
      <c r="P533" s="26">
        <f>uurtarief32</f>
        <v>0</v>
      </c>
      <c r="Q533" s="96" t="e">
        <f>IF(ISBLANK(M533),0,L533/M533)</f>
        <v>#DIV/0!</v>
      </c>
      <c r="R533" s="96" t="e">
        <f>IF(ISBLANK(M533),0,Q533*N533)</f>
        <v>#DIV/0!</v>
      </c>
      <c r="S533" s="26" t="e">
        <f>P533*Q533</f>
        <v>#DIV/0!</v>
      </c>
      <c r="T533" s="96" t="e">
        <f>Q533*dagenperjaar1</f>
        <v>#DIV/0!</v>
      </c>
      <c r="U533" s="27" t="e">
        <f>T533*P533</f>
        <v>#DIV/0!</v>
      </c>
    </row>
    <row r="534" spans="1:21" x14ac:dyDescent="0.3">
      <c r="A534" s="93" t="s">
        <v>753</v>
      </c>
      <c r="B534" s="94" t="s">
        <v>40</v>
      </c>
      <c r="C534" s="94" t="s">
        <v>419</v>
      </c>
      <c r="D534" s="94" t="s">
        <v>877</v>
      </c>
      <c r="E534" s="95" t="s">
        <v>852</v>
      </c>
      <c r="F534" s="94" t="s">
        <v>648</v>
      </c>
      <c r="G534" s="94" t="s">
        <v>239</v>
      </c>
      <c r="H534" s="94" t="s">
        <v>11</v>
      </c>
      <c r="I534" s="94" t="s">
        <v>219</v>
      </c>
      <c r="J534" s="94"/>
      <c r="K534" s="96">
        <v>16.5</v>
      </c>
      <c r="L534" s="96">
        <f>K534*VLOOKUP(H534,dagsoorttabel1,2,FALSE)</f>
        <v>16.5</v>
      </c>
      <c r="M534" s="97">
        <f>prodnorm36</f>
        <v>0</v>
      </c>
      <c r="N534" s="41">
        <f>dagwerk36</f>
        <v>0</v>
      </c>
      <c r="O534" s="94" t="s">
        <v>106</v>
      </c>
      <c r="P534" s="26">
        <f>uurtarief36</f>
        <v>0</v>
      </c>
      <c r="Q534" s="96" t="e">
        <f>IF(ISBLANK(M534),0,L534/M534)</f>
        <v>#DIV/0!</v>
      </c>
      <c r="R534" s="96" t="e">
        <f>IF(ISBLANK(M534),0,Q534*N534)</f>
        <v>#DIV/0!</v>
      </c>
      <c r="S534" s="26" t="e">
        <f>P534*Q534</f>
        <v>#DIV/0!</v>
      </c>
      <c r="T534" s="96" t="e">
        <f>Q534*dagenperjaar1</f>
        <v>#DIV/0!</v>
      </c>
      <c r="U534" s="27" t="e">
        <f>T534*P534</f>
        <v>#DIV/0!</v>
      </c>
    </row>
    <row r="535" spans="1:21" x14ac:dyDescent="0.3">
      <c r="A535" s="93" t="s">
        <v>753</v>
      </c>
      <c r="B535" s="94" t="s">
        <v>40</v>
      </c>
      <c r="C535" s="94" t="s">
        <v>419</v>
      </c>
      <c r="D535" s="94" t="s">
        <v>878</v>
      </c>
      <c r="E535" s="95" t="s">
        <v>849</v>
      </c>
      <c r="F535" s="94" t="s">
        <v>648</v>
      </c>
      <c r="G535" s="94" t="s">
        <v>227</v>
      </c>
      <c r="H535" s="94" t="s">
        <v>11</v>
      </c>
      <c r="I535" s="94" t="s">
        <v>219</v>
      </c>
      <c r="J535" s="94"/>
      <c r="K535" s="96">
        <v>10.3</v>
      </c>
      <c r="L535" s="96">
        <f>K535*VLOOKUP(H535,dagsoorttabel1,2,FALSE)</f>
        <v>10.3</v>
      </c>
      <c r="M535" s="97">
        <f>prodnorm25</f>
        <v>0</v>
      </c>
      <c r="N535" s="41">
        <f>dagwerk25</f>
        <v>0</v>
      </c>
      <c r="O535" s="94" t="s">
        <v>106</v>
      </c>
      <c r="P535" s="26">
        <f>uurtarief25</f>
        <v>0</v>
      </c>
      <c r="Q535" s="96" t="e">
        <f>IF(ISBLANK(M535),0,L535/M535)</f>
        <v>#DIV/0!</v>
      </c>
      <c r="R535" s="96" t="e">
        <f>IF(ISBLANK(M535),0,Q535*N535)</f>
        <v>#DIV/0!</v>
      </c>
      <c r="S535" s="26" t="e">
        <f>P535*Q535</f>
        <v>#DIV/0!</v>
      </c>
      <c r="T535" s="96" t="e">
        <f>Q535*dagenperjaar1</f>
        <v>#DIV/0!</v>
      </c>
      <c r="U535" s="27" t="e">
        <f>T535*P535</f>
        <v>#DIV/0!</v>
      </c>
    </row>
    <row r="536" spans="1:21" x14ac:dyDescent="0.3">
      <c r="A536" s="93" t="s">
        <v>753</v>
      </c>
      <c r="B536" s="94" t="s">
        <v>40</v>
      </c>
      <c r="C536" s="94" t="s">
        <v>419</v>
      </c>
      <c r="D536" s="94" t="s">
        <v>879</v>
      </c>
      <c r="E536" s="95" t="s">
        <v>453</v>
      </c>
      <c r="F536" s="94" t="s">
        <v>648</v>
      </c>
      <c r="G536" s="94" t="s">
        <v>261</v>
      </c>
      <c r="H536" s="94" t="s">
        <v>11</v>
      </c>
      <c r="I536" s="94" t="s">
        <v>219</v>
      </c>
      <c r="J536" s="94"/>
      <c r="K536" s="96">
        <v>1.3</v>
      </c>
      <c r="L536" s="96">
        <f>K536*VLOOKUP(H536,dagsoorttabel1,2,FALSE)</f>
        <v>1.3</v>
      </c>
      <c r="M536" s="97">
        <f>prodnorm56</f>
        <v>0</v>
      </c>
      <c r="N536" s="41">
        <f>dagwerk56</f>
        <v>0</v>
      </c>
      <c r="O536" s="94" t="s">
        <v>106</v>
      </c>
      <c r="P536" s="26">
        <f>uurtarief56</f>
        <v>0</v>
      </c>
      <c r="Q536" s="96" t="e">
        <f>IF(ISBLANK(M536),0,L536/M536)</f>
        <v>#DIV/0!</v>
      </c>
      <c r="R536" s="96" t="e">
        <f>IF(ISBLANK(M536),0,Q536*N536)</f>
        <v>#DIV/0!</v>
      </c>
      <c r="S536" s="26" t="e">
        <f>P536*Q536</f>
        <v>#DIV/0!</v>
      </c>
      <c r="T536" s="96" t="e">
        <f>Q536*dagenperjaar1</f>
        <v>#DIV/0!</v>
      </c>
      <c r="U536" s="27" t="e">
        <f>T536*P536</f>
        <v>#DIV/0!</v>
      </c>
    </row>
    <row r="537" spans="1:21" x14ac:dyDescent="0.3">
      <c r="A537" s="93" t="s">
        <v>753</v>
      </c>
      <c r="B537" s="94" t="s">
        <v>40</v>
      </c>
      <c r="C537" s="94" t="s">
        <v>419</v>
      </c>
      <c r="D537" s="94" t="s">
        <v>879</v>
      </c>
      <c r="E537" s="95" t="s">
        <v>453</v>
      </c>
      <c r="F537" s="94" t="s">
        <v>648</v>
      </c>
      <c r="G537" s="94" t="s">
        <v>263</v>
      </c>
      <c r="H537" s="94" t="s">
        <v>11</v>
      </c>
      <c r="I537" s="94" t="s">
        <v>219</v>
      </c>
      <c r="J537" s="94"/>
      <c r="K537" s="96">
        <v>1.3</v>
      </c>
      <c r="L537" s="96">
        <f>K537*VLOOKUP(H537,dagsoorttabel1,2,FALSE)</f>
        <v>1.3</v>
      </c>
      <c r="M537" s="97">
        <f>prodnorm58</f>
        <v>0</v>
      </c>
      <c r="N537" s="41">
        <f>dagwerk58</f>
        <v>0</v>
      </c>
      <c r="O537" s="94" t="s">
        <v>106</v>
      </c>
      <c r="P537" s="26">
        <f>uurtarief58</f>
        <v>0</v>
      </c>
      <c r="Q537" s="96" t="e">
        <f>IF(ISBLANK(M537),0,L537/M537)</f>
        <v>#DIV/0!</v>
      </c>
      <c r="R537" s="96" t="e">
        <f>IF(ISBLANK(M537),0,Q537*N537)</f>
        <v>#DIV/0!</v>
      </c>
      <c r="S537" s="26" t="e">
        <f>P537*Q537</f>
        <v>#DIV/0!</v>
      </c>
      <c r="T537" s="96" t="e">
        <f>Q537*dagenperjaar1</f>
        <v>#DIV/0!</v>
      </c>
      <c r="U537" s="27" t="e">
        <f>T537*P537</f>
        <v>#DIV/0!</v>
      </c>
    </row>
    <row r="538" spans="1:21" x14ac:dyDescent="0.3">
      <c r="A538" s="93" t="s">
        <v>753</v>
      </c>
      <c r="B538" s="94" t="s">
        <v>40</v>
      </c>
      <c r="C538" s="94" t="s">
        <v>419</v>
      </c>
      <c r="D538" s="94" t="s">
        <v>880</v>
      </c>
      <c r="E538" s="95" t="s">
        <v>844</v>
      </c>
      <c r="F538" s="94" t="s">
        <v>648</v>
      </c>
      <c r="G538" s="94" t="s">
        <v>239</v>
      </c>
      <c r="H538" s="94" t="s">
        <v>11</v>
      </c>
      <c r="I538" s="94" t="s">
        <v>219</v>
      </c>
      <c r="J538" s="94"/>
      <c r="K538" s="96">
        <v>19.399999999999999</v>
      </c>
      <c r="L538" s="96">
        <f>K538*VLOOKUP(H538,dagsoorttabel1,2,FALSE)</f>
        <v>19.399999999999999</v>
      </c>
      <c r="M538" s="97">
        <f>prodnorm36</f>
        <v>0</v>
      </c>
      <c r="N538" s="41">
        <f>dagwerk36</f>
        <v>0</v>
      </c>
      <c r="O538" s="94" t="s">
        <v>106</v>
      </c>
      <c r="P538" s="26">
        <f>uurtarief36</f>
        <v>0</v>
      </c>
      <c r="Q538" s="96" t="e">
        <f>IF(ISBLANK(M538),0,L538/M538)</f>
        <v>#DIV/0!</v>
      </c>
      <c r="R538" s="96" t="e">
        <f>IF(ISBLANK(M538),0,Q538*N538)</f>
        <v>#DIV/0!</v>
      </c>
      <c r="S538" s="26" t="e">
        <f>P538*Q538</f>
        <v>#DIV/0!</v>
      </c>
      <c r="T538" s="96" t="e">
        <f>Q538*dagenperjaar1</f>
        <v>#DIV/0!</v>
      </c>
      <c r="U538" s="27" t="e">
        <f>T538*P538</f>
        <v>#DIV/0!</v>
      </c>
    </row>
    <row r="539" spans="1:21" x14ac:dyDescent="0.3">
      <c r="A539" s="93" t="s">
        <v>753</v>
      </c>
      <c r="B539" s="94" t="s">
        <v>40</v>
      </c>
      <c r="C539" s="94" t="s">
        <v>419</v>
      </c>
      <c r="D539" s="94" t="s">
        <v>881</v>
      </c>
      <c r="E539" s="95" t="s">
        <v>847</v>
      </c>
      <c r="F539" s="94" t="s">
        <v>648</v>
      </c>
      <c r="G539" s="94" t="s">
        <v>227</v>
      </c>
      <c r="H539" s="94" t="s">
        <v>11</v>
      </c>
      <c r="I539" s="94" t="s">
        <v>219</v>
      </c>
      <c r="J539" s="94"/>
      <c r="K539" s="96">
        <v>9.3000000000000007</v>
      </c>
      <c r="L539" s="96">
        <f>K539*VLOOKUP(H539,dagsoorttabel1,2,FALSE)</f>
        <v>9.3000000000000007</v>
      </c>
      <c r="M539" s="97">
        <f>prodnorm25</f>
        <v>0</v>
      </c>
      <c r="N539" s="41">
        <f>dagwerk25</f>
        <v>0</v>
      </c>
      <c r="O539" s="94" t="s">
        <v>106</v>
      </c>
      <c r="P539" s="26">
        <f>uurtarief25</f>
        <v>0</v>
      </c>
      <c r="Q539" s="96" t="e">
        <f>IF(ISBLANK(M539),0,L539/M539)</f>
        <v>#DIV/0!</v>
      </c>
      <c r="R539" s="96" t="e">
        <f>IF(ISBLANK(M539),0,Q539*N539)</f>
        <v>#DIV/0!</v>
      </c>
      <c r="S539" s="26" t="e">
        <f>P539*Q539</f>
        <v>#DIV/0!</v>
      </c>
      <c r="T539" s="96" t="e">
        <f>Q539*dagenperjaar1</f>
        <v>#DIV/0!</v>
      </c>
      <c r="U539" s="27" t="e">
        <f>T539*P539</f>
        <v>#DIV/0!</v>
      </c>
    </row>
    <row r="540" spans="1:21" x14ac:dyDescent="0.3">
      <c r="A540" s="93" t="s">
        <v>753</v>
      </c>
      <c r="B540" s="94" t="s">
        <v>40</v>
      </c>
      <c r="C540" s="94" t="s">
        <v>419</v>
      </c>
      <c r="D540" s="94" t="s">
        <v>882</v>
      </c>
      <c r="E540" s="95" t="s">
        <v>455</v>
      </c>
      <c r="F540" s="94" t="s">
        <v>648</v>
      </c>
      <c r="G540" s="94" t="s">
        <v>261</v>
      </c>
      <c r="H540" s="94" t="s">
        <v>11</v>
      </c>
      <c r="I540" s="94" t="s">
        <v>219</v>
      </c>
      <c r="J540" s="94"/>
      <c r="K540" s="96">
        <v>1.3</v>
      </c>
      <c r="L540" s="96">
        <f>K540*VLOOKUP(H540,dagsoorttabel1,2,FALSE)</f>
        <v>1.3</v>
      </c>
      <c r="M540" s="97">
        <f>prodnorm56</f>
        <v>0</v>
      </c>
      <c r="N540" s="41">
        <f>dagwerk56</f>
        <v>0</v>
      </c>
      <c r="O540" s="94" t="s">
        <v>106</v>
      </c>
      <c r="P540" s="26">
        <f>uurtarief56</f>
        <v>0</v>
      </c>
      <c r="Q540" s="96" t="e">
        <f>IF(ISBLANK(M540),0,L540/M540)</f>
        <v>#DIV/0!</v>
      </c>
      <c r="R540" s="96" t="e">
        <f>IF(ISBLANK(M540),0,Q540*N540)</f>
        <v>#DIV/0!</v>
      </c>
      <c r="S540" s="26" t="e">
        <f>P540*Q540</f>
        <v>#DIV/0!</v>
      </c>
      <c r="T540" s="96" t="e">
        <f>Q540*dagenperjaar1</f>
        <v>#DIV/0!</v>
      </c>
      <c r="U540" s="27" t="e">
        <f>T540*P540</f>
        <v>#DIV/0!</v>
      </c>
    </row>
    <row r="541" spans="1:21" x14ac:dyDescent="0.3">
      <c r="A541" s="93" t="s">
        <v>753</v>
      </c>
      <c r="B541" s="94" t="s">
        <v>40</v>
      </c>
      <c r="C541" s="94" t="s">
        <v>419</v>
      </c>
      <c r="D541" s="94" t="s">
        <v>882</v>
      </c>
      <c r="E541" s="95" t="s">
        <v>455</v>
      </c>
      <c r="F541" s="94" t="s">
        <v>648</v>
      </c>
      <c r="G541" s="94" t="s">
        <v>263</v>
      </c>
      <c r="H541" s="94" t="s">
        <v>11</v>
      </c>
      <c r="I541" s="94" t="s">
        <v>219</v>
      </c>
      <c r="J541" s="94"/>
      <c r="K541" s="96">
        <v>1.3</v>
      </c>
      <c r="L541" s="96">
        <f>K541*VLOOKUP(H541,dagsoorttabel1,2,FALSE)</f>
        <v>1.3</v>
      </c>
      <c r="M541" s="97">
        <f>prodnorm58</f>
        <v>0</v>
      </c>
      <c r="N541" s="41">
        <f>dagwerk58</f>
        <v>0</v>
      </c>
      <c r="O541" s="94" t="s">
        <v>106</v>
      </c>
      <c r="P541" s="26">
        <f>uurtarief58</f>
        <v>0</v>
      </c>
      <c r="Q541" s="96" t="e">
        <f>IF(ISBLANK(M541),0,L541/M541)</f>
        <v>#DIV/0!</v>
      </c>
      <c r="R541" s="96" t="e">
        <f>IF(ISBLANK(M541),0,Q541*N541)</f>
        <v>#DIV/0!</v>
      </c>
      <c r="S541" s="26" t="e">
        <f>P541*Q541</f>
        <v>#DIV/0!</v>
      </c>
      <c r="T541" s="96" t="e">
        <f>Q541*dagenperjaar1</f>
        <v>#DIV/0!</v>
      </c>
      <c r="U541" s="27" t="e">
        <f>T541*P541</f>
        <v>#DIV/0!</v>
      </c>
    </row>
    <row r="542" spans="1:21" x14ac:dyDescent="0.3">
      <c r="A542" s="93" t="s">
        <v>753</v>
      </c>
      <c r="B542" s="94" t="s">
        <v>40</v>
      </c>
      <c r="C542" s="94" t="s">
        <v>419</v>
      </c>
      <c r="D542" s="94" t="s">
        <v>589</v>
      </c>
      <c r="E542" s="95" t="s">
        <v>308</v>
      </c>
      <c r="F542" s="94" t="s">
        <v>296</v>
      </c>
      <c r="G542" s="94" t="s">
        <v>223</v>
      </c>
      <c r="H542" s="94" t="s">
        <v>16</v>
      </c>
      <c r="I542" s="94" t="s">
        <v>219</v>
      </c>
      <c r="J542" s="94"/>
      <c r="K542" s="96">
        <v>9</v>
      </c>
      <c r="L542" s="96">
        <f>K542*VLOOKUP(H542,dagsoorttabel1,2,FALSE)</f>
        <v>3.6</v>
      </c>
      <c r="M542" s="97">
        <f>prodnorm20</f>
        <v>0</v>
      </c>
      <c r="N542" s="41">
        <f>dagwerk20</f>
        <v>0</v>
      </c>
      <c r="O542" s="94" t="s">
        <v>106</v>
      </c>
      <c r="P542" s="26">
        <f>uurtarief20</f>
        <v>0</v>
      </c>
      <c r="Q542" s="96" t="e">
        <f>IF(ISBLANK(M542),0,L542/M542)</f>
        <v>#DIV/0!</v>
      </c>
      <c r="R542" s="96" t="e">
        <f>IF(ISBLANK(M542),0,Q542*N542)</f>
        <v>#DIV/0!</v>
      </c>
      <c r="S542" s="26" t="e">
        <f>P542*Q542</f>
        <v>#DIV/0!</v>
      </c>
      <c r="T542" s="96" t="e">
        <f>Q542*dagenperjaar1</f>
        <v>#DIV/0!</v>
      </c>
      <c r="U542" s="27" t="e">
        <f>T542*P542</f>
        <v>#DIV/0!</v>
      </c>
    </row>
    <row r="543" spans="1:21" x14ac:dyDescent="0.3">
      <c r="A543" s="93" t="s">
        <v>753</v>
      </c>
      <c r="B543" s="94" t="s">
        <v>40</v>
      </c>
      <c r="C543" s="94" t="s">
        <v>419</v>
      </c>
      <c r="D543" s="94" t="s">
        <v>883</v>
      </c>
      <c r="E543" s="95" t="s">
        <v>308</v>
      </c>
      <c r="F543" s="94" t="s">
        <v>293</v>
      </c>
      <c r="G543" s="94" t="s">
        <v>225</v>
      </c>
      <c r="H543" s="94" t="s">
        <v>16</v>
      </c>
      <c r="I543" s="94" t="s">
        <v>219</v>
      </c>
      <c r="J543" s="94"/>
      <c r="K543" s="96">
        <v>44.9</v>
      </c>
      <c r="L543" s="96">
        <f>K543*VLOOKUP(H543,dagsoorttabel1,2,FALSE)</f>
        <v>17.96</v>
      </c>
      <c r="M543" s="97">
        <f>prodnorm24</f>
        <v>0</v>
      </c>
      <c r="N543" s="41">
        <f>dagwerk24</f>
        <v>0</v>
      </c>
      <c r="O543" s="94" t="s">
        <v>106</v>
      </c>
      <c r="P543" s="26">
        <f>uurtarief24</f>
        <v>0</v>
      </c>
      <c r="Q543" s="96" t="e">
        <f>IF(ISBLANK(M543),0,L543/M543)</f>
        <v>#DIV/0!</v>
      </c>
      <c r="R543" s="96" t="e">
        <f>IF(ISBLANK(M543),0,Q543*N543)</f>
        <v>#DIV/0!</v>
      </c>
      <c r="S543" s="26" t="e">
        <f>P543*Q543</f>
        <v>#DIV/0!</v>
      </c>
      <c r="T543" s="96" t="e">
        <f>Q543*dagenperjaar1</f>
        <v>#DIV/0!</v>
      </c>
      <c r="U543" s="27" t="e">
        <f>T543*P543</f>
        <v>#DIV/0!</v>
      </c>
    </row>
    <row r="544" spans="1:21" x14ac:dyDescent="0.3">
      <c r="A544" s="93" t="s">
        <v>753</v>
      </c>
      <c r="B544" s="94" t="s">
        <v>40</v>
      </c>
      <c r="C544" s="94" t="s">
        <v>419</v>
      </c>
      <c r="D544" s="94" t="s">
        <v>884</v>
      </c>
      <c r="E544" s="95" t="s">
        <v>562</v>
      </c>
      <c r="F544" s="94" t="s">
        <v>779</v>
      </c>
      <c r="G544" s="94" t="s">
        <v>253</v>
      </c>
      <c r="H544" s="94" t="s">
        <v>11</v>
      </c>
      <c r="I544" s="94" t="s">
        <v>219</v>
      </c>
      <c r="J544" s="94"/>
      <c r="K544" s="96">
        <v>136</v>
      </c>
      <c r="L544" s="96">
        <f>K544*VLOOKUP(H544,dagsoorttabel1,2,FALSE)</f>
        <v>136</v>
      </c>
      <c r="M544" s="97">
        <f>prodnorm49</f>
        <v>0</v>
      </c>
      <c r="N544" s="41">
        <f>dagwerk49</f>
        <v>0</v>
      </c>
      <c r="O544" s="94" t="s">
        <v>106</v>
      </c>
      <c r="P544" s="26">
        <f>uurtarief49</f>
        <v>0</v>
      </c>
      <c r="Q544" s="96" t="e">
        <f>IF(ISBLANK(M544),0,L544/M544)</f>
        <v>#DIV/0!</v>
      </c>
      <c r="R544" s="96" t="e">
        <f>IF(ISBLANK(M544),0,Q544*N544)</f>
        <v>#DIV/0!</v>
      </c>
      <c r="S544" s="26" t="e">
        <f>P544*Q544</f>
        <v>#DIV/0!</v>
      </c>
      <c r="T544" s="96" t="e">
        <f>Q544*dagenperjaar1</f>
        <v>#DIV/0!</v>
      </c>
      <c r="U544" s="27" t="e">
        <f>T544*P544</f>
        <v>#DIV/0!</v>
      </c>
    </row>
    <row r="545" spans="1:21" x14ac:dyDescent="0.3">
      <c r="A545" s="93" t="s">
        <v>753</v>
      </c>
      <c r="B545" s="94" t="s">
        <v>40</v>
      </c>
      <c r="C545" s="94" t="s">
        <v>419</v>
      </c>
      <c r="D545" s="94" t="s">
        <v>591</v>
      </c>
      <c r="E545" s="95" t="s">
        <v>618</v>
      </c>
      <c r="F545" s="94" t="s">
        <v>772</v>
      </c>
      <c r="G545" s="94" t="s">
        <v>241</v>
      </c>
      <c r="H545" s="94" t="s">
        <v>11</v>
      </c>
      <c r="I545" s="94" t="s">
        <v>219</v>
      </c>
      <c r="J545" s="94"/>
      <c r="K545" s="96">
        <v>55</v>
      </c>
      <c r="L545" s="96">
        <f>K545*VLOOKUP(H545,dagsoorttabel1,2,FALSE)</f>
        <v>55</v>
      </c>
      <c r="M545" s="97">
        <f>prodnorm38</f>
        <v>0</v>
      </c>
      <c r="N545" s="41">
        <f>dagwerk38</f>
        <v>0</v>
      </c>
      <c r="O545" s="94" t="s">
        <v>106</v>
      </c>
      <c r="P545" s="26">
        <f>uurtarief38</f>
        <v>0</v>
      </c>
      <c r="Q545" s="96" t="e">
        <f>IF(ISBLANK(M545),0,L545/M545)</f>
        <v>#DIV/0!</v>
      </c>
      <c r="R545" s="96" t="e">
        <f>IF(ISBLANK(M545),0,Q545*N545)</f>
        <v>#DIV/0!</v>
      </c>
      <c r="S545" s="26" t="e">
        <f>P545*Q545</f>
        <v>#DIV/0!</v>
      </c>
      <c r="T545" s="96" t="e">
        <f>Q545*dagenperjaar1</f>
        <v>#DIV/0!</v>
      </c>
      <c r="U545" s="27" t="e">
        <f>T545*P545</f>
        <v>#DIV/0!</v>
      </c>
    </row>
    <row r="546" spans="1:21" x14ac:dyDescent="0.3">
      <c r="A546" s="93" t="s">
        <v>753</v>
      </c>
      <c r="B546" s="94" t="s">
        <v>40</v>
      </c>
      <c r="C546" s="94" t="s">
        <v>419</v>
      </c>
      <c r="D546" s="94" t="s">
        <v>593</v>
      </c>
      <c r="E546" s="95" t="s">
        <v>618</v>
      </c>
      <c r="F546" s="94" t="s">
        <v>772</v>
      </c>
      <c r="G546" s="94" t="s">
        <v>241</v>
      </c>
      <c r="H546" s="94" t="s">
        <v>11</v>
      </c>
      <c r="I546" s="94" t="s">
        <v>219</v>
      </c>
      <c r="J546" s="94"/>
      <c r="K546" s="96">
        <v>55</v>
      </c>
      <c r="L546" s="96">
        <f>K546*VLOOKUP(H546,dagsoorttabel1,2,FALSE)</f>
        <v>55</v>
      </c>
      <c r="M546" s="97">
        <f>prodnorm38</f>
        <v>0</v>
      </c>
      <c r="N546" s="41">
        <f>dagwerk38</f>
        <v>0</v>
      </c>
      <c r="O546" s="94" t="s">
        <v>106</v>
      </c>
      <c r="P546" s="26">
        <f>uurtarief38</f>
        <v>0</v>
      </c>
      <c r="Q546" s="96" t="e">
        <f>IF(ISBLANK(M546),0,L546/M546)</f>
        <v>#DIV/0!</v>
      </c>
      <c r="R546" s="96" t="e">
        <f>IF(ISBLANK(M546),0,Q546*N546)</f>
        <v>#DIV/0!</v>
      </c>
      <c r="S546" s="26" t="e">
        <f>P546*Q546</f>
        <v>#DIV/0!</v>
      </c>
      <c r="T546" s="96" t="e">
        <f>Q546*dagenperjaar1</f>
        <v>#DIV/0!</v>
      </c>
      <c r="U546" s="27" t="e">
        <f>T546*P546</f>
        <v>#DIV/0!</v>
      </c>
    </row>
    <row r="547" spans="1:21" x14ac:dyDescent="0.3">
      <c r="A547" s="93" t="s">
        <v>753</v>
      </c>
      <c r="B547" s="94" t="s">
        <v>40</v>
      </c>
      <c r="C547" s="94" t="s">
        <v>419</v>
      </c>
      <c r="D547" s="94" t="s">
        <v>594</v>
      </c>
      <c r="E547" s="95" t="s">
        <v>618</v>
      </c>
      <c r="F547" s="94" t="s">
        <v>772</v>
      </c>
      <c r="G547" s="94" t="s">
        <v>241</v>
      </c>
      <c r="H547" s="94" t="s">
        <v>11</v>
      </c>
      <c r="I547" s="94" t="s">
        <v>219</v>
      </c>
      <c r="J547" s="94"/>
      <c r="K547" s="96">
        <v>67.599999999999994</v>
      </c>
      <c r="L547" s="96">
        <f>K547*VLOOKUP(H547,dagsoorttabel1,2,FALSE)</f>
        <v>67.599999999999994</v>
      </c>
      <c r="M547" s="97">
        <f>prodnorm38</f>
        <v>0</v>
      </c>
      <c r="N547" s="41">
        <f>dagwerk38</f>
        <v>0</v>
      </c>
      <c r="O547" s="94" t="s">
        <v>106</v>
      </c>
      <c r="P547" s="26">
        <f>uurtarief38</f>
        <v>0</v>
      </c>
      <c r="Q547" s="96" t="e">
        <f>IF(ISBLANK(M547),0,L547/M547)</f>
        <v>#DIV/0!</v>
      </c>
      <c r="R547" s="96" t="e">
        <f>IF(ISBLANK(M547),0,Q547*N547)</f>
        <v>#DIV/0!</v>
      </c>
      <c r="S547" s="26" t="e">
        <f>P547*Q547</f>
        <v>#DIV/0!</v>
      </c>
      <c r="T547" s="96" t="e">
        <f>Q547*dagenperjaar1</f>
        <v>#DIV/0!</v>
      </c>
      <c r="U547" s="27" t="e">
        <f>T547*P547</f>
        <v>#DIV/0!</v>
      </c>
    </row>
    <row r="548" spans="1:21" x14ac:dyDescent="0.3">
      <c r="A548" s="93" t="s">
        <v>753</v>
      </c>
      <c r="B548" s="94" t="s">
        <v>40</v>
      </c>
      <c r="C548" s="94" t="s">
        <v>419</v>
      </c>
      <c r="D548" s="94" t="s">
        <v>595</v>
      </c>
      <c r="E548" s="95" t="s">
        <v>618</v>
      </c>
      <c r="F548" s="94" t="s">
        <v>772</v>
      </c>
      <c r="G548" s="94" t="s">
        <v>241</v>
      </c>
      <c r="H548" s="94" t="s">
        <v>11</v>
      </c>
      <c r="I548" s="94" t="s">
        <v>219</v>
      </c>
      <c r="J548" s="94"/>
      <c r="K548" s="96">
        <v>67.599999999999994</v>
      </c>
      <c r="L548" s="96">
        <f>K548*VLOOKUP(H548,dagsoorttabel1,2,FALSE)</f>
        <v>67.599999999999994</v>
      </c>
      <c r="M548" s="97">
        <f>prodnorm38</f>
        <v>0</v>
      </c>
      <c r="N548" s="41">
        <f>dagwerk38</f>
        <v>0</v>
      </c>
      <c r="O548" s="94" t="s">
        <v>106</v>
      </c>
      <c r="P548" s="26">
        <f>uurtarief38</f>
        <v>0</v>
      </c>
      <c r="Q548" s="96" t="e">
        <f>IF(ISBLANK(M548),0,L548/M548)</f>
        <v>#DIV/0!</v>
      </c>
      <c r="R548" s="96" t="e">
        <f>IF(ISBLANK(M548),0,Q548*N548)</f>
        <v>#DIV/0!</v>
      </c>
      <c r="S548" s="26" t="e">
        <f>P548*Q548</f>
        <v>#DIV/0!</v>
      </c>
      <c r="T548" s="96" t="e">
        <f>Q548*dagenperjaar1</f>
        <v>#DIV/0!</v>
      </c>
      <c r="U548" s="27" t="e">
        <f>T548*P548</f>
        <v>#DIV/0!</v>
      </c>
    </row>
    <row r="549" spans="1:21" x14ac:dyDescent="0.3">
      <c r="A549" s="93" t="s">
        <v>753</v>
      </c>
      <c r="B549" s="94" t="s">
        <v>40</v>
      </c>
      <c r="C549" s="94" t="s">
        <v>419</v>
      </c>
      <c r="D549" s="94" t="s">
        <v>885</v>
      </c>
      <c r="E549" s="95" t="s">
        <v>886</v>
      </c>
      <c r="F549" s="94" t="s">
        <v>296</v>
      </c>
      <c r="G549" s="94" t="s">
        <v>241</v>
      </c>
      <c r="H549" s="94" t="s">
        <v>11</v>
      </c>
      <c r="I549" s="94" t="s">
        <v>219</v>
      </c>
      <c r="J549" s="94"/>
      <c r="K549" s="96">
        <v>110.82</v>
      </c>
      <c r="L549" s="96">
        <f>K549*VLOOKUP(H549,dagsoorttabel1,2,FALSE)</f>
        <v>110.82</v>
      </c>
      <c r="M549" s="97">
        <f>prodnorm38</f>
        <v>0</v>
      </c>
      <c r="N549" s="41">
        <f>dagwerk38</f>
        <v>0</v>
      </c>
      <c r="O549" s="94" t="s">
        <v>106</v>
      </c>
      <c r="P549" s="26">
        <f>uurtarief38</f>
        <v>0</v>
      </c>
      <c r="Q549" s="96" t="e">
        <f>IF(ISBLANK(M549),0,L549/M549)</f>
        <v>#DIV/0!</v>
      </c>
      <c r="R549" s="96" t="e">
        <f>IF(ISBLANK(M549),0,Q549*N549)</f>
        <v>#DIV/0!</v>
      </c>
      <c r="S549" s="26" t="e">
        <f>P549*Q549</f>
        <v>#DIV/0!</v>
      </c>
      <c r="T549" s="96" t="e">
        <f>Q549*dagenperjaar1</f>
        <v>#DIV/0!</v>
      </c>
      <c r="U549" s="27" t="e">
        <f>T549*P549</f>
        <v>#DIV/0!</v>
      </c>
    </row>
    <row r="550" spans="1:21" x14ac:dyDescent="0.3">
      <c r="A550" s="93" t="s">
        <v>753</v>
      </c>
      <c r="B550" s="94" t="s">
        <v>40</v>
      </c>
      <c r="C550" s="94" t="s">
        <v>419</v>
      </c>
      <c r="D550" s="94" t="s">
        <v>887</v>
      </c>
      <c r="E550" s="95" t="s">
        <v>886</v>
      </c>
      <c r="F550" s="94" t="s">
        <v>293</v>
      </c>
      <c r="G550" s="94" t="s">
        <v>243</v>
      </c>
      <c r="H550" s="94" t="s">
        <v>11</v>
      </c>
      <c r="I550" s="94" t="s">
        <v>219</v>
      </c>
      <c r="J550" s="94"/>
      <c r="K550" s="96">
        <v>54.2</v>
      </c>
      <c r="L550" s="96">
        <f>K550*VLOOKUP(H550,dagsoorttabel1,2,FALSE)</f>
        <v>54.2</v>
      </c>
      <c r="M550" s="97">
        <f>prodnorm40</f>
        <v>0</v>
      </c>
      <c r="N550" s="41">
        <f>dagwerk40</f>
        <v>0</v>
      </c>
      <c r="O550" s="94" t="s">
        <v>106</v>
      </c>
      <c r="P550" s="26">
        <f>uurtarief40</f>
        <v>0</v>
      </c>
      <c r="Q550" s="96" t="e">
        <f>IF(ISBLANK(M550),0,L550/M550)</f>
        <v>#DIV/0!</v>
      </c>
      <c r="R550" s="96" t="e">
        <f>IF(ISBLANK(M550),0,Q550*N550)</f>
        <v>#DIV/0!</v>
      </c>
      <c r="S550" s="26" t="e">
        <f>P550*Q550</f>
        <v>#DIV/0!</v>
      </c>
      <c r="T550" s="96" t="e">
        <f>Q550*dagenperjaar1</f>
        <v>#DIV/0!</v>
      </c>
      <c r="U550" s="27" t="e">
        <f>T550*P550</f>
        <v>#DIV/0!</v>
      </c>
    </row>
    <row r="551" spans="1:21" x14ac:dyDescent="0.3">
      <c r="A551" s="93" t="s">
        <v>753</v>
      </c>
      <c r="B551" s="94" t="s">
        <v>40</v>
      </c>
      <c r="C551" s="94" t="s">
        <v>419</v>
      </c>
      <c r="D551" s="94" t="s">
        <v>597</v>
      </c>
      <c r="E551" s="95" t="s">
        <v>888</v>
      </c>
      <c r="F551" s="94" t="s">
        <v>779</v>
      </c>
      <c r="G551" s="94" t="s">
        <v>253</v>
      </c>
      <c r="H551" s="94" t="s">
        <v>11</v>
      </c>
      <c r="I551" s="94" t="s">
        <v>219</v>
      </c>
      <c r="J551" s="94"/>
      <c r="K551" s="96">
        <v>118</v>
      </c>
      <c r="L551" s="96">
        <f>K551*VLOOKUP(H551,dagsoorttabel1,2,FALSE)</f>
        <v>118</v>
      </c>
      <c r="M551" s="97">
        <f>prodnorm49</f>
        <v>0</v>
      </c>
      <c r="N551" s="41">
        <f>dagwerk49</f>
        <v>0</v>
      </c>
      <c r="O551" s="94" t="s">
        <v>106</v>
      </c>
      <c r="P551" s="26">
        <f>uurtarief49</f>
        <v>0</v>
      </c>
      <c r="Q551" s="96" t="e">
        <f>IF(ISBLANK(M551),0,L551/M551)</f>
        <v>#DIV/0!</v>
      </c>
      <c r="R551" s="96" t="e">
        <f>IF(ISBLANK(M551),0,Q551*N551)</f>
        <v>#DIV/0!</v>
      </c>
      <c r="S551" s="26" t="e">
        <f>P551*Q551</f>
        <v>#DIV/0!</v>
      </c>
      <c r="T551" s="96" t="e">
        <f>Q551*dagenperjaar1</f>
        <v>#DIV/0!</v>
      </c>
      <c r="U551" s="27" t="e">
        <f>T551*P551</f>
        <v>#DIV/0!</v>
      </c>
    </row>
    <row r="552" spans="1:21" x14ac:dyDescent="0.3">
      <c r="A552" s="93" t="s">
        <v>753</v>
      </c>
      <c r="B552" s="94" t="s">
        <v>40</v>
      </c>
      <c r="C552" s="94" t="s">
        <v>419</v>
      </c>
      <c r="D552" s="94" t="s">
        <v>889</v>
      </c>
      <c r="E552" s="95" t="s">
        <v>295</v>
      </c>
      <c r="F552" s="94" t="s">
        <v>296</v>
      </c>
      <c r="G552" s="94" t="s">
        <v>241</v>
      </c>
      <c r="H552" s="94" t="s">
        <v>11</v>
      </c>
      <c r="I552" s="94" t="s">
        <v>219</v>
      </c>
      <c r="J552" s="94"/>
      <c r="K552" s="96">
        <v>235.53</v>
      </c>
      <c r="L552" s="96">
        <f>K552*VLOOKUP(H552,dagsoorttabel1,2,FALSE)</f>
        <v>235.53</v>
      </c>
      <c r="M552" s="97">
        <f>prodnorm38</f>
        <v>0</v>
      </c>
      <c r="N552" s="41">
        <f>dagwerk38</f>
        <v>0</v>
      </c>
      <c r="O552" s="94" t="s">
        <v>106</v>
      </c>
      <c r="P552" s="26">
        <f>uurtarief38</f>
        <v>0</v>
      </c>
      <c r="Q552" s="96" t="e">
        <f>IF(ISBLANK(M552),0,L552/M552)</f>
        <v>#DIV/0!</v>
      </c>
      <c r="R552" s="96" t="e">
        <f>IF(ISBLANK(M552),0,Q552*N552)</f>
        <v>#DIV/0!</v>
      </c>
      <c r="S552" s="26" t="e">
        <f>P552*Q552</f>
        <v>#DIV/0!</v>
      </c>
      <c r="T552" s="96" t="e">
        <f>Q552*dagenperjaar1</f>
        <v>#DIV/0!</v>
      </c>
      <c r="U552" s="27" t="e">
        <f>T552*P552</f>
        <v>#DIV/0!</v>
      </c>
    </row>
    <row r="553" spans="1:21" x14ac:dyDescent="0.3">
      <c r="A553" s="93" t="s">
        <v>753</v>
      </c>
      <c r="B553" s="94" t="s">
        <v>40</v>
      </c>
      <c r="C553" s="94" t="s">
        <v>419</v>
      </c>
      <c r="D553" s="94" t="s">
        <v>890</v>
      </c>
      <c r="E553" s="95" t="s">
        <v>308</v>
      </c>
      <c r="F553" s="94" t="s">
        <v>296</v>
      </c>
      <c r="G553" s="94" t="s">
        <v>223</v>
      </c>
      <c r="H553" s="94" t="s">
        <v>16</v>
      </c>
      <c r="I553" s="94" t="s">
        <v>219</v>
      </c>
      <c r="J553" s="94"/>
      <c r="K553" s="96">
        <v>27</v>
      </c>
      <c r="L553" s="96">
        <f>K553*VLOOKUP(H553,dagsoorttabel1,2,FALSE)</f>
        <v>10.8</v>
      </c>
      <c r="M553" s="97">
        <f>prodnorm20</f>
        <v>0</v>
      </c>
      <c r="N553" s="41">
        <f>dagwerk20</f>
        <v>0</v>
      </c>
      <c r="O553" s="94" t="s">
        <v>106</v>
      </c>
      <c r="P553" s="26">
        <f>uurtarief20</f>
        <v>0</v>
      </c>
      <c r="Q553" s="96" t="e">
        <f>IF(ISBLANK(M553),0,L553/M553)</f>
        <v>#DIV/0!</v>
      </c>
      <c r="R553" s="96" t="e">
        <f>IF(ISBLANK(M553),0,Q553*N553)</f>
        <v>#DIV/0!</v>
      </c>
      <c r="S553" s="26" t="e">
        <f>P553*Q553</f>
        <v>#DIV/0!</v>
      </c>
      <c r="T553" s="96" t="e">
        <f>Q553*dagenperjaar1</f>
        <v>#DIV/0!</v>
      </c>
      <c r="U553" s="27" t="e">
        <f>T553*P553</f>
        <v>#DIV/0!</v>
      </c>
    </row>
    <row r="554" spans="1:21" x14ac:dyDescent="0.3">
      <c r="A554" s="93" t="s">
        <v>753</v>
      </c>
      <c r="B554" s="94" t="s">
        <v>40</v>
      </c>
      <c r="C554" s="94" t="s">
        <v>419</v>
      </c>
      <c r="D554" s="94" t="s">
        <v>891</v>
      </c>
      <c r="E554" s="95" t="s">
        <v>308</v>
      </c>
      <c r="F554" s="94" t="s">
        <v>293</v>
      </c>
      <c r="G554" s="94" t="s">
        <v>225</v>
      </c>
      <c r="H554" s="94" t="s">
        <v>16</v>
      </c>
      <c r="I554" s="94" t="s">
        <v>219</v>
      </c>
      <c r="J554" s="94"/>
      <c r="K554" s="96">
        <v>27</v>
      </c>
      <c r="L554" s="96">
        <f>K554*VLOOKUP(H554,dagsoorttabel1,2,FALSE)</f>
        <v>10.8</v>
      </c>
      <c r="M554" s="97">
        <f>prodnorm24</f>
        <v>0</v>
      </c>
      <c r="N554" s="41">
        <f>dagwerk24</f>
        <v>0</v>
      </c>
      <c r="O554" s="94" t="s">
        <v>106</v>
      </c>
      <c r="P554" s="26">
        <f>uurtarief24</f>
        <v>0</v>
      </c>
      <c r="Q554" s="96" t="e">
        <f>IF(ISBLANK(M554),0,L554/M554)</f>
        <v>#DIV/0!</v>
      </c>
      <c r="R554" s="96" t="e">
        <f>IF(ISBLANK(M554),0,Q554*N554)</f>
        <v>#DIV/0!</v>
      </c>
      <c r="S554" s="26" t="e">
        <f>P554*Q554</f>
        <v>#DIV/0!</v>
      </c>
      <c r="T554" s="96" t="e">
        <f>Q554*dagenperjaar1</f>
        <v>#DIV/0!</v>
      </c>
      <c r="U554" s="27" t="e">
        <f>T554*P554</f>
        <v>#DIV/0!</v>
      </c>
    </row>
    <row r="555" spans="1:21" x14ac:dyDescent="0.3">
      <c r="A555" s="93" t="s">
        <v>753</v>
      </c>
      <c r="B555" s="94" t="s">
        <v>40</v>
      </c>
      <c r="C555" s="94" t="s">
        <v>419</v>
      </c>
      <c r="D555" s="94" t="s">
        <v>892</v>
      </c>
      <c r="E555" s="95" t="s">
        <v>338</v>
      </c>
      <c r="F555" s="94" t="s">
        <v>296</v>
      </c>
      <c r="G555" s="94" t="s">
        <v>267</v>
      </c>
      <c r="H555" s="94" t="s">
        <v>11</v>
      </c>
      <c r="I555" s="94" t="s">
        <v>219</v>
      </c>
      <c r="J555" s="94"/>
      <c r="K555" s="96">
        <v>28</v>
      </c>
      <c r="L555" s="96">
        <f>K555*VLOOKUP(H555,dagsoorttabel1,2,FALSE)</f>
        <v>28</v>
      </c>
      <c r="M555" s="97">
        <f>prodnorm63</f>
        <v>0</v>
      </c>
      <c r="N555" s="41">
        <f>dagwerk63</f>
        <v>0</v>
      </c>
      <c r="O555" s="94" t="s">
        <v>106</v>
      </c>
      <c r="P555" s="26">
        <f>uurtarief63</f>
        <v>0</v>
      </c>
      <c r="Q555" s="96" t="e">
        <f>IF(ISBLANK(M555),0,L555/M555)</f>
        <v>#DIV/0!</v>
      </c>
      <c r="R555" s="96" t="e">
        <f>IF(ISBLANK(M555),0,Q555*N555)</f>
        <v>#DIV/0!</v>
      </c>
      <c r="S555" s="26" t="e">
        <f>P555*Q555</f>
        <v>#DIV/0!</v>
      </c>
      <c r="T555" s="96" t="e">
        <f>Q555*dagenperjaar1</f>
        <v>#DIV/0!</v>
      </c>
      <c r="U555" s="27" t="e">
        <f>T555*P555</f>
        <v>#DIV/0!</v>
      </c>
    </row>
    <row r="556" spans="1:21" x14ac:dyDescent="0.3">
      <c r="A556" s="93" t="s">
        <v>753</v>
      </c>
      <c r="B556" s="94" t="s">
        <v>40</v>
      </c>
      <c r="C556" s="94" t="s">
        <v>419</v>
      </c>
      <c r="D556" s="94" t="s">
        <v>893</v>
      </c>
      <c r="E556" s="95" t="s">
        <v>338</v>
      </c>
      <c r="F556" s="94" t="s">
        <v>296</v>
      </c>
      <c r="G556" s="94" t="s">
        <v>267</v>
      </c>
      <c r="H556" s="94" t="s">
        <v>11</v>
      </c>
      <c r="I556" s="94" t="s">
        <v>219</v>
      </c>
      <c r="J556" s="94"/>
      <c r="K556" s="96">
        <v>65</v>
      </c>
      <c r="L556" s="96">
        <f>K556*VLOOKUP(H556,dagsoorttabel1,2,FALSE)</f>
        <v>65</v>
      </c>
      <c r="M556" s="97">
        <f>prodnorm63</f>
        <v>0</v>
      </c>
      <c r="N556" s="41">
        <f>dagwerk63</f>
        <v>0</v>
      </c>
      <c r="O556" s="94" t="s">
        <v>106</v>
      </c>
      <c r="P556" s="26">
        <f>uurtarief63</f>
        <v>0</v>
      </c>
      <c r="Q556" s="96" t="e">
        <f>IF(ISBLANK(M556),0,L556/M556)</f>
        <v>#DIV/0!</v>
      </c>
      <c r="R556" s="96" t="e">
        <f>IF(ISBLANK(M556),0,Q556*N556)</f>
        <v>#DIV/0!</v>
      </c>
      <c r="S556" s="26" t="e">
        <f>P556*Q556</f>
        <v>#DIV/0!</v>
      </c>
      <c r="T556" s="96" t="e">
        <f>Q556*dagenperjaar1</f>
        <v>#DIV/0!</v>
      </c>
      <c r="U556" s="27" t="e">
        <f>T556*P556</f>
        <v>#DIV/0!</v>
      </c>
    </row>
    <row r="557" spans="1:21" x14ac:dyDescent="0.3">
      <c r="A557" s="93" t="s">
        <v>753</v>
      </c>
      <c r="B557" s="94" t="s">
        <v>40</v>
      </c>
      <c r="C557" s="94" t="s">
        <v>419</v>
      </c>
      <c r="D557" s="94" t="s">
        <v>894</v>
      </c>
      <c r="E557" s="95" t="s">
        <v>303</v>
      </c>
      <c r="F557" s="94" t="s">
        <v>532</v>
      </c>
      <c r="G557" s="94" t="s">
        <v>265</v>
      </c>
      <c r="H557" s="94" t="s">
        <v>11</v>
      </c>
      <c r="I557" s="94" t="s">
        <v>219</v>
      </c>
      <c r="J557" s="94"/>
      <c r="K557" s="96">
        <v>16</v>
      </c>
      <c r="L557" s="96">
        <f>K557*VLOOKUP(H557,dagsoorttabel1,2,FALSE)</f>
        <v>16</v>
      </c>
      <c r="M557" s="97">
        <f>prodnorm61</f>
        <v>0</v>
      </c>
      <c r="N557" s="41">
        <f>dagwerk61</f>
        <v>0</v>
      </c>
      <c r="O557" s="94" t="s">
        <v>106</v>
      </c>
      <c r="P557" s="26">
        <f>uurtarief61</f>
        <v>0</v>
      </c>
      <c r="Q557" s="96" t="e">
        <f>IF(ISBLANK(M557),0,L557/M557)</f>
        <v>#DIV/0!</v>
      </c>
      <c r="R557" s="96" t="e">
        <f>IF(ISBLANK(M557),0,Q557*N557)</f>
        <v>#DIV/0!</v>
      </c>
      <c r="S557" s="26" t="e">
        <f>P557*Q557</f>
        <v>#DIV/0!</v>
      </c>
      <c r="T557" s="96" t="e">
        <f>Q557*dagenperjaar1</f>
        <v>#DIV/0!</v>
      </c>
      <c r="U557" s="27" t="e">
        <f>T557*P557</f>
        <v>#DIV/0!</v>
      </c>
    </row>
    <row r="558" spans="1:21" x14ac:dyDescent="0.3">
      <c r="A558" s="93" t="s">
        <v>753</v>
      </c>
      <c r="B558" s="94" t="s">
        <v>40</v>
      </c>
      <c r="C558" s="94" t="s">
        <v>419</v>
      </c>
      <c r="D558" s="94" t="s">
        <v>895</v>
      </c>
      <c r="E558" s="95" t="s">
        <v>338</v>
      </c>
      <c r="F558" s="94" t="s">
        <v>296</v>
      </c>
      <c r="G558" s="94" t="s">
        <v>267</v>
      </c>
      <c r="H558" s="94" t="s">
        <v>11</v>
      </c>
      <c r="I558" s="94" t="s">
        <v>219</v>
      </c>
      <c r="J558" s="94"/>
      <c r="K558" s="96">
        <v>72</v>
      </c>
      <c r="L558" s="96">
        <f>K558*VLOOKUP(H558,dagsoorttabel1,2,FALSE)</f>
        <v>72</v>
      </c>
      <c r="M558" s="97">
        <f>prodnorm63</f>
        <v>0</v>
      </c>
      <c r="N558" s="41">
        <f>dagwerk63</f>
        <v>0</v>
      </c>
      <c r="O558" s="94" t="s">
        <v>106</v>
      </c>
      <c r="P558" s="26">
        <f>uurtarief63</f>
        <v>0</v>
      </c>
      <c r="Q558" s="96" t="e">
        <f>IF(ISBLANK(M558),0,L558/M558)</f>
        <v>#DIV/0!</v>
      </c>
      <c r="R558" s="96" t="e">
        <f>IF(ISBLANK(M558),0,Q558*N558)</f>
        <v>#DIV/0!</v>
      </c>
      <c r="S558" s="26" t="e">
        <f>P558*Q558</f>
        <v>#DIV/0!</v>
      </c>
      <c r="T558" s="96" t="e">
        <f>Q558*dagenperjaar1</f>
        <v>#DIV/0!</v>
      </c>
      <c r="U558" s="27" t="e">
        <f>T558*P558</f>
        <v>#DIV/0!</v>
      </c>
    </row>
    <row r="559" spans="1:21" x14ac:dyDescent="0.3">
      <c r="A559" s="93" t="s">
        <v>753</v>
      </c>
      <c r="B559" s="94" t="s">
        <v>40</v>
      </c>
      <c r="C559" s="94" t="s">
        <v>419</v>
      </c>
      <c r="D559" s="94" t="s">
        <v>896</v>
      </c>
      <c r="E559" s="95" t="s">
        <v>303</v>
      </c>
      <c r="F559" s="94" t="s">
        <v>657</v>
      </c>
      <c r="G559" s="94" t="s">
        <v>265</v>
      </c>
      <c r="H559" s="94" t="s">
        <v>11</v>
      </c>
      <c r="I559" s="94" t="s">
        <v>219</v>
      </c>
      <c r="J559" s="94"/>
      <c r="K559" s="96">
        <v>10</v>
      </c>
      <c r="L559" s="96">
        <f>K559*VLOOKUP(H559,dagsoorttabel1,2,FALSE)</f>
        <v>10</v>
      </c>
      <c r="M559" s="97">
        <f>prodnorm61</f>
        <v>0</v>
      </c>
      <c r="N559" s="41">
        <f>dagwerk61</f>
        <v>0</v>
      </c>
      <c r="O559" s="94" t="s">
        <v>106</v>
      </c>
      <c r="P559" s="26">
        <f>uurtarief61</f>
        <v>0</v>
      </c>
      <c r="Q559" s="96" t="e">
        <f>IF(ISBLANK(M559),0,L559/M559)</f>
        <v>#DIV/0!</v>
      </c>
      <c r="R559" s="96" t="e">
        <f>IF(ISBLANK(M559),0,Q559*N559)</f>
        <v>#DIV/0!</v>
      </c>
      <c r="S559" s="26" t="e">
        <f>P559*Q559</f>
        <v>#DIV/0!</v>
      </c>
      <c r="T559" s="96" t="e">
        <f>Q559*dagenperjaar1</f>
        <v>#DIV/0!</v>
      </c>
      <c r="U559" s="27" t="e">
        <f>T559*P559</f>
        <v>#DIV/0!</v>
      </c>
    </row>
    <row r="560" spans="1:21" x14ac:dyDescent="0.3">
      <c r="A560" s="93" t="s">
        <v>753</v>
      </c>
      <c r="B560" s="94" t="s">
        <v>40</v>
      </c>
      <c r="C560" s="94" t="s">
        <v>419</v>
      </c>
      <c r="D560" s="94" t="s">
        <v>897</v>
      </c>
      <c r="E560" s="95" t="s">
        <v>308</v>
      </c>
      <c r="F560" s="94" t="s">
        <v>296</v>
      </c>
      <c r="G560" s="94" t="s">
        <v>223</v>
      </c>
      <c r="H560" s="94" t="s">
        <v>16</v>
      </c>
      <c r="I560" s="94" t="s">
        <v>219</v>
      </c>
      <c r="J560" s="94"/>
      <c r="K560" s="96">
        <v>7</v>
      </c>
      <c r="L560" s="96">
        <f>K560*VLOOKUP(H560,dagsoorttabel1,2,FALSE)</f>
        <v>2.8000000000000003</v>
      </c>
      <c r="M560" s="97">
        <f>prodnorm20</f>
        <v>0</v>
      </c>
      <c r="N560" s="41">
        <f>dagwerk20</f>
        <v>0</v>
      </c>
      <c r="O560" s="94" t="s">
        <v>106</v>
      </c>
      <c r="P560" s="26">
        <f>uurtarief20</f>
        <v>0</v>
      </c>
      <c r="Q560" s="96" t="e">
        <f>IF(ISBLANK(M560),0,L560/M560)</f>
        <v>#DIV/0!</v>
      </c>
      <c r="R560" s="96" t="e">
        <f>IF(ISBLANK(M560),0,Q560*N560)</f>
        <v>#DIV/0!</v>
      </c>
      <c r="S560" s="26" t="e">
        <f>P560*Q560</f>
        <v>#DIV/0!</v>
      </c>
      <c r="T560" s="96" t="e">
        <f>Q560*dagenperjaar1</f>
        <v>#DIV/0!</v>
      </c>
      <c r="U560" s="27" t="e">
        <f>T560*P560</f>
        <v>#DIV/0!</v>
      </c>
    </row>
    <row r="561" spans="1:21" x14ac:dyDescent="0.3">
      <c r="A561" s="93" t="s">
        <v>753</v>
      </c>
      <c r="B561" s="94" t="s">
        <v>40</v>
      </c>
      <c r="C561" s="94" t="s">
        <v>419</v>
      </c>
      <c r="D561" s="94" t="s">
        <v>898</v>
      </c>
      <c r="E561" s="95" t="s">
        <v>338</v>
      </c>
      <c r="F561" s="94" t="s">
        <v>296</v>
      </c>
      <c r="G561" s="94" t="s">
        <v>267</v>
      </c>
      <c r="H561" s="94" t="s">
        <v>11</v>
      </c>
      <c r="I561" s="94" t="s">
        <v>219</v>
      </c>
      <c r="J561" s="94"/>
      <c r="K561" s="96">
        <v>146.30000000000001</v>
      </c>
      <c r="L561" s="96">
        <f>K561*VLOOKUP(H561,dagsoorttabel1,2,FALSE)</f>
        <v>146.30000000000001</v>
      </c>
      <c r="M561" s="97">
        <f>prodnorm63</f>
        <v>0</v>
      </c>
      <c r="N561" s="41">
        <f>dagwerk63</f>
        <v>0</v>
      </c>
      <c r="O561" s="94" t="s">
        <v>106</v>
      </c>
      <c r="P561" s="26">
        <f>uurtarief63</f>
        <v>0</v>
      </c>
      <c r="Q561" s="96" t="e">
        <f>IF(ISBLANK(M561),0,L561/M561)</f>
        <v>#DIV/0!</v>
      </c>
      <c r="R561" s="96" t="e">
        <f>IF(ISBLANK(M561),0,Q561*N561)</f>
        <v>#DIV/0!</v>
      </c>
      <c r="S561" s="26" t="e">
        <f>P561*Q561</f>
        <v>#DIV/0!</v>
      </c>
      <c r="T561" s="96" t="e">
        <f>Q561*dagenperjaar1</f>
        <v>#DIV/0!</v>
      </c>
      <c r="U561" s="27" t="e">
        <f>T561*P561</f>
        <v>#DIV/0!</v>
      </c>
    </row>
    <row r="562" spans="1:21" x14ac:dyDescent="0.3">
      <c r="A562" s="93" t="s">
        <v>753</v>
      </c>
      <c r="B562" s="94" t="s">
        <v>40</v>
      </c>
      <c r="C562" s="94" t="s">
        <v>419</v>
      </c>
      <c r="D562" s="94" t="s">
        <v>899</v>
      </c>
      <c r="E562" s="95" t="s">
        <v>306</v>
      </c>
      <c r="F562" s="94" t="s">
        <v>296</v>
      </c>
      <c r="G562" s="94" t="s">
        <v>267</v>
      </c>
      <c r="H562" s="94" t="s">
        <v>11</v>
      </c>
      <c r="I562" s="94" t="s">
        <v>219</v>
      </c>
      <c r="J562" s="94"/>
      <c r="K562" s="96">
        <v>24</v>
      </c>
      <c r="L562" s="96">
        <f>K562*VLOOKUP(H562,dagsoorttabel1,2,FALSE)</f>
        <v>24</v>
      </c>
      <c r="M562" s="97">
        <f>prodnorm63</f>
        <v>0</v>
      </c>
      <c r="N562" s="41">
        <f>dagwerk63</f>
        <v>0</v>
      </c>
      <c r="O562" s="94" t="s">
        <v>106</v>
      </c>
      <c r="P562" s="26">
        <f>uurtarief63</f>
        <v>0</v>
      </c>
      <c r="Q562" s="96" t="e">
        <f>IF(ISBLANK(M562),0,L562/M562)</f>
        <v>#DIV/0!</v>
      </c>
      <c r="R562" s="96" t="e">
        <f>IF(ISBLANK(M562),0,Q562*N562)</f>
        <v>#DIV/0!</v>
      </c>
      <c r="S562" s="26" t="e">
        <f>P562*Q562</f>
        <v>#DIV/0!</v>
      </c>
      <c r="T562" s="96" t="e">
        <f>Q562*dagenperjaar1</f>
        <v>#DIV/0!</v>
      </c>
      <c r="U562" s="27" t="e">
        <f>T562*P562</f>
        <v>#DIV/0!</v>
      </c>
    </row>
    <row r="563" spans="1:21" x14ac:dyDescent="0.3">
      <c r="A563" s="93" t="s">
        <v>753</v>
      </c>
      <c r="B563" s="94" t="s">
        <v>40</v>
      </c>
      <c r="C563" s="94" t="s">
        <v>419</v>
      </c>
      <c r="D563" s="94" t="s">
        <v>900</v>
      </c>
      <c r="E563" s="95" t="s">
        <v>303</v>
      </c>
      <c r="F563" s="94" t="s">
        <v>657</v>
      </c>
      <c r="G563" s="94" t="s">
        <v>265</v>
      </c>
      <c r="H563" s="94" t="s">
        <v>11</v>
      </c>
      <c r="I563" s="94" t="s">
        <v>219</v>
      </c>
      <c r="J563" s="94"/>
      <c r="K563" s="96">
        <v>16</v>
      </c>
      <c r="L563" s="96">
        <f>K563*VLOOKUP(H563,dagsoorttabel1,2,FALSE)</f>
        <v>16</v>
      </c>
      <c r="M563" s="97">
        <f>prodnorm61</f>
        <v>0</v>
      </c>
      <c r="N563" s="41">
        <f>dagwerk61</f>
        <v>0</v>
      </c>
      <c r="O563" s="94" t="s">
        <v>106</v>
      </c>
      <c r="P563" s="26">
        <f>uurtarief61</f>
        <v>0</v>
      </c>
      <c r="Q563" s="96" t="e">
        <f>IF(ISBLANK(M563),0,L563/M563)</f>
        <v>#DIV/0!</v>
      </c>
      <c r="R563" s="96" t="e">
        <f>IF(ISBLANK(M563),0,Q563*N563)</f>
        <v>#DIV/0!</v>
      </c>
      <c r="S563" s="26" t="e">
        <f>P563*Q563</f>
        <v>#DIV/0!</v>
      </c>
      <c r="T563" s="96" t="e">
        <f>Q563*dagenperjaar1</f>
        <v>#DIV/0!</v>
      </c>
      <c r="U563" s="27" t="e">
        <f>T563*P563</f>
        <v>#DIV/0!</v>
      </c>
    </row>
    <row r="564" spans="1:21" x14ac:dyDescent="0.3">
      <c r="A564" s="93" t="s">
        <v>753</v>
      </c>
      <c r="B564" s="94" t="s">
        <v>40</v>
      </c>
      <c r="C564" s="94" t="s">
        <v>419</v>
      </c>
      <c r="D564" s="94" t="s">
        <v>901</v>
      </c>
      <c r="E564" s="95" t="s">
        <v>455</v>
      </c>
      <c r="F564" s="94" t="s">
        <v>316</v>
      </c>
      <c r="G564" s="94" t="s">
        <v>261</v>
      </c>
      <c r="H564" s="94" t="s">
        <v>11</v>
      </c>
      <c r="I564" s="94" t="s">
        <v>219</v>
      </c>
      <c r="J564" s="94"/>
      <c r="K564" s="96">
        <v>6</v>
      </c>
      <c r="L564" s="96">
        <f>K564*VLOOKUP(H564,dagsoorttabel1,2,FALSE)</f>
        <v>6</v>
      </c>
      <c r="M564" s="97">
        <f>prodnorm56</f>
        <v>0</v>
      </c>
      <c r="N564" s="41">
        <f>dagwerk56</f>
        <v>0</v>
      </c>
      <c r="O564" s="94" t="s">
        <v>106</v>
      </c>
      <c r="P564" s="26">
        <f>uurtarief56</f>
        <v>0</v>
      </c>
      <c r="Q564" s="96" t="e">
        <f>IF(ISBLANK(M564),0,L564/M564)</f>
        <v>#DIV/0!</v>
      </c>
      <c r="R564" s="96" t="e">
        <f>IF(ISBLANK(M564),0,Q564*N564)</f>
        <v>#DIV/0!</v>
      </c>
      <c r="S564" s="26" t="e">
        <f>P564*Q564</f>
        <v>#DIV/0!</v>
      </c>
      <c r="T564" s="96" t="e">
        <f>Q564*dagenperjaar1</f>
        <v>#DIV/0!</v>
      </c>
      <c r="U564" s="27" t="e">
        <f>T564*P564</f>
        <v>#DIV/0!</v>
      </c>
    </row>
    <row r="565" spans="1:21" x14ac:dyDescent="0.3">
      <c r="A565" s="93" t="s">
        <v>753</v>
      </c>
      <c r="B565" s="94" t="s">
        <v>40</v>
      </c>
      <c r="C565" s="94" t="s">
        <v>419</v>
      </c>
      <c r="D565" s="94" t="s">
        <v>901</v>
      </c>
      <c r="E565" s="95" t="s">
        <v>455</v>
      </c>
      <c r="F565" s="94" t="s">
        <v>316</v>
      </c>
      <c r="G565" s="94" t="s">
        <v>263</v>
      </c>
      <c r="H565" s="94" t="s">
        <v>9</v>
      </c>
      <c r="I565" s="94" t="s">
        <v>219</v>
      </c>
      <c r="J565" s="94"/>
      <c r="K565" s="96">
        <v>6</v>
      </c>
      <c r="L565" s="96">
        <f>K565*VLOOKUP(H565,dagsoorttabel1,2,FALSE)</f>
        <v>12</v>
      </c>
      <c r="M565" s="97">
        <f>prodnorm59</f>
        <v>0</v>
      </c>
      <c r="N565" s="41">
        <f>dagwerk59</f>
        <v>0</v>
      </c>
      <c r="O565" s="94" t="s">
        <v>106</v>
      </c>
      <c r="P565" s="26">
        <f>uurtarief59</f>
        <v>0</v>
      </c>
      <c r="Q565" s="96" t="e">
        <f>IF(ISBLANK(M565),0,L565/M565)</f>
        <v>#DIV/0!</v>
      </c>
      <c r="R565" s="96" t="e">
        <f>IF(ISBLANK(M565),0,Q565*N565)</f>
        <v>#DIV/0!</v>
      </c>
      <c r="S565" s="26" t="e">
        <f>P565*Q565</f>
        <v>#DIV/0!</v>
      </c>
      <c r="T565" s="96" t="e">
        <f>Q565*dagenperjaar1</f>
        <v>#DIV/0!</v>
      </c>
      <c r="U565" s="27" t="e">
        <f>T565*P565</f>
        <v>#DIV/0!</v>
      </c>
    </row>
    <row r="566" spans="1:21" x14ac:dyDescent="0.3">
      <c r="A566" s="93" t="s">
        <v>753</v>
      </c>
      <c r="B566" s="94" t="s">
        <v>40</v>
      </c>
      <c r="C566" s="94" t="s">
        <v>419</v>
      </c>
      <c r="D566" s="94" t="s">
        <v>902</v>
      </c>
      <c r="E566" s="95" t="s">
        <v>453</v>
      </c>
      <c r="F566" s="94" t="s">
        <v>316</v>
      </c>
      <c r="G566" s="94" t="s">
        <v>261</v>
      </c>
      <c r="H566" s="94" t="s">
        <v>11</v>
      </c>
      <c r="I566" s="94" t="s">
        <v>219</v>
      </c>
      <c r="J566" s="94"/>
      <c r="K566" s="96">
        <v>6</v>
      </c>
      <c r="L566" s="96">
        <f>K566*VLOOKUP(H566,dagsoorttabel1,2,FALSE)</f>
        <v>6</v>
      </c>
      <c r="M566" s="97">
        <f>prodnorm56</f>
        <v>0</v>
      </c>
      <c r="N566" s="41">
        <f>dagwerk56</f>
        <v>0</v>
      </c>
      <c r="O566" s="94" t="s">
        <v>106</v>
      </c>
      <c r="P566" s="26">
        <f>uurtarief56</f>
        <v>0</v>
      </c>
      <c r="Q566" s="96" t="e">
        <f>IF(ISBLANK(M566),0,L566/M566)</f>
        <v>#DIV/0!</v>
      </c>
      <c r="R566" s="96" t="e">
        <f>IF(ISBLANK(M566),0,Q566*N566)</f>
        <v>#DIV/0!</v>
      </c>
      <c r="S566" s="26" t="e">
        <f>P566*Q566</f>
        <v>#DIV/0!</v>
      </c>
      <c r="T566" s="96" t="e">
        <f>Q566*dagenperjaar1</f>
        <v>#DIV/0!</v>
      </c>
      <c r="U566" s="27" t="e">
        <f>T566*P566</f>
        <v>#DIV/0!</v>
      </c>
    </row>
    <row r="567" spans="1:21" x14ac:dyDescent="0.3">
      <c r="A567" s="93" t="s">
        <v>753</v>
      </c>
      <c r="B567" s="94" t="s">
        <v>40</v>
      </c>
      <c r="C567" s="94" t="s">
        <v>419</v>
      </c>
      <c r="D567" s="94" t="s">
        <v>902</v>
      </c>
      <c r="E567" s="95" t="s">
        <v>453</v>
      </c>
      <c r="F567" s="94" t="s">
        <v>316</v>
      </c>
      <c r="G567" s="94" t="s">
        <v>263</v>
      </c>
      <c r="H567" s="94" t="s">
        <v>9</v>
      </c>
      <c r="I567" s="94" t="s">
        <v>219</v>
      </c>
      <c r="J567" s="94"/>
      <c r="K567" s="96">
        <v>6</v>
      </c>
      <c r="L567" s="96">
        <f>K567*VLOOKUP(H567,dagsoorttabel1,2,FALSE)</f>
        <v>12</v>
      </c>
      <c r="M567" s="97">
        <f>prodnorm59</f>
        <v>0</v>
      </c>
      <c r="N567" s="41">
        <f>dagwerk59</f>
        <v>0</v>
      </c>
      <c r="O567" s="94" t="s">
        <v>106</v>
      </c>
      <c r="P567" s="26">
        <f>uurtarief59</f>
        <v>0</v>
      </c>
      <c r="Q567" s="96" t="e">
        <f>IF(ISBLANK(M567),0,L567/M567)</f>
        <v>#DIV/0!</v>
      </c>
      <c r="R567" s="96" t="e">
        <f>IF(ISBLANK(M567),0,Q567*N567)</f>
        <v>#DIV/0!</v>
      </c>
      <c r="S567" s="26" t="e">
        <f>P567*Q567</f>
        <v>#DIV/0!</v>
      </c>
      <c r="T567" s="96" t="e">
        <f>Q567*dagenperjaar1</f>
        <v>#DIV/0!</v>
      </c>
      <c r="U567" s="27" t="e">
        <f>T567*P567</f>
        <v>#DIV/0!</v>
      </c>
    </row>
    <row r="568" spans="1:21" x14ac:dyDescent="0.3">
      <c r="A568" s="93" t="s">
        <v>753</v>
      </c>
      <c r="B568" s="94" t="s">
        <v>40</v>
      </c>
      <c r="C568" s="94" t="s">
        <v>419</v>
      </c>
      <c r="D568" s="94" t="s">
        <v>903</v>
      </c>
      <c r="E568" s="95" t="s">
        <v>303</v>
      </c>
      <c r="F568" s="94" t="s">
        <v>330</v>
      </c>
      <c r="G568" s="94" t="s">
        <v>265</v>
      </c>
      <c r="H568" s="94" t="s">
        <v>11</v>
      </c>
      <c r="I568" s="94" t="s">
        <v>219</v>
      </c>
      <c r="J568" s="94"/>
      <c r="K568" s="96">
        <v>16</v>
      </c>
      <c r="L568" s="96">
        <f>K568*VLOOKUP(H568,dagsoorttabel1,2,FALSE)</f>
        <v>16</v>
      </c>
      <c r="M568" s="97">
        <f>prodnorm61</f>
        <v>0</v>
      </c>
      <c r="N568" s="41">
        <f>dagwerk61</f>
        <v>0</v>
      </c>
      <c r="O568" s="94" t="s">
        <v>106</v>
      </c>
      <c r="P568" s="26">
        <f>uurtarief61</f>
        <v>0</v>
      </c>
      <c r="Q568" s="96" t="e">
        <f>IF(ISBLANK(M568),0,L568/M568)</f>
        <v>#DIV/0!</v>
      </c>
      <c r="R568" s="96" t="e">
        <f>IF(ISBLANK(M568),0,Q568*N568)</f>
        <v>#DIV/0!</v>
      </c>
      <c r="S568" s="26" t="e">
        <f>P568*Q568</f>
        <v>#DIV/0!</v>
      </c>
      <c r="T568" s="96" t="e">
        <f>Q568*dagenperjaar1</f>
        <v>#DIV/0!</v>
      </c>
      <c r="U568" s="27" t="e">
        <f>T568*P568</f>
        <v>#DIV/0!</v>
      </c>
    </row>
    <row r="569" spans="1:21" x14ac:dyDescent="0.3">
      <c r="A569" s="93" t="s">
        <v>753</v>
      </c>
      <c r="B569" s="94" t="s">
        <v>40</v>
      </c>
      <c r="C569" s="94" t="s">
        <v>419</v>
      </c>
      <c r="D569" s="94" t="s">
        <v>904</v>
      </c>
      <c r="E569" s="95" t="s">
        <v>455</v>
      </c>
      <c r="F569" s="94" t="s">
        <v>316</v>
      </c>
      <c r="G569" s="94" t="s">
        <v>261</v>
      </c>
      <c r="H569" s="94" t="s">
        <v>11</v>
      </c>
      <c r="I569" s="94" t="s">
        <v>219</v>
      </c>
      <c r="J569" s="94"/>
      <c r="K569" s="96">
        <v>1.5</v>
      </c>
      <c r="L569" s="96">
        <f>K569*VLOOKUP(H569,dagsoorttabel1,2,FALSE)</f>
        <v>1.5</v>
      </c>
      <c r="M569" s="97">
        <f>prodnorm56</f>
        <v>0</v>
      </c>
      <c r="N569" s="41">
        <f>dagwerk56</f>
        <v>0</v>
      </c>
      <c r="O569" s="94" t="s">
        <v>106</v>
      </c>
      <c r="P569" s="26">
        <f>uurtarief56</f>
        <v>0</v>
      </c>
      <c r="Q569" s="96" t="e">
        <f>IF(ISBLANK(M569),0,L569/M569)</f>
        <v>#DIV/0!</v>
      </c>
      <c r="R569" s="96" t="e">
        <f>IF(ISBLANK(M569),0,Q569*N569)</f>
        <v>#DIV/0!</v>
      </c>
      <c r="S569" s="26" t="e">
        <f>P569*Q569</f>
        <v>#DIV/0!</v>
      </c>
      <c r="T569" s="96" t="e">
        <f>Q569*dagenperjaar1</f>
        <v>#DIV/0!</v>
      </c>
      <c r="U569" s="27" t="e">
        <f>T569*P569</f>
        <v>#DIV/0!</v>
      </c>
    </row>
    <row r="570" spans="1:21" x14ac:dyDescent="0.3">
      <c r="A570" s="93" t="s">
        <v>753</v>
      </c>
      <c r="B570" s="94" t="s">
        <v>40</v>
      </c>
      <c r="C570" s="94" t="s">
        <v>419</v>
      </c>
      <c r="D570" s="94" t="s">
        <v>904</v>
      </c>
      <c r="E570" s="95" t="s">
        <v>455</v>
      </c>
      <c r="F570" s="94" t="s">
        <v>316</v>
      </c>
      <c r="G570" s="94" t="s">
        <v>263</v>
      </c>
      <c r="H570" s="94" t="s">
        <v>9</v>
      </c>
      <c r="I570" s="94" t="s">
        <v>219</v>
      </c>
      <c r="J570" s="94"/>
      <c r="K570" s="96">
        <v>1.5</v>
      </c>
      <c r="L570" s="96">
        <f>K570*VLOOKUP(H570,dagsoorttabel1,2,FALSE)</f>
        <v>3</v>
      </c>
      <c r="M570" s="97">
        <f>prodnorm59</f>
        <v>0</v>
      </c>
      <c r="N570" s="41">
        <f>dagwerk59</f>
        <v>0</v>
      </c>
      <c r="O570" s="94" t="s">
        <v>106</v>
      </c>
      <c r="P570" s="26">
        <f>uurtarief59</f>
        <v>0</v>
      </c>
      <c r="Q570" s="96" t="e">
        <f>IF(ISBLANK(M570),0,L570/M570)</f>
        <v>#DIV/0!</v>
      </c>
      <c r="R570" s="96" t="e">
        <f>IF(ISBLANK(M570),0,Q570*N570)</f>
        <v>#DIV/0!</v>
      </c>
      <c r="S570" s="26" t="e">
        <f>P570*Q570</f>
        <v>#DIV/0!</v>
      </c>
      <c r="T570" s="96" t="e">
        <f>Q570*dagenperjaar1</f>
        <v>#DIV/0!</v>
      </c>
      <c r="U570" s="27" t="e">
        <f>T570*P570</f>
        <v>#DIV/0!</v>
      </c>
    </row>
    <row r="571" spans="1:21" x14ac:dyDescent="0.3">
      <c r="A571" s="93" t="s">
        <v>753</v>
      </c>
      <c r="B571" s="94" t="s">
        <v>40</v>
      </c>
      <c r="C571" s="94" t="s">
        <v>419</v>
      </c>
      <c r="D571" s="94" t="s">
        <v>905</v>
      </c>
      <c r="E571" s="95" t="s">
        <v>453</v>
      </c>
      <c r="F571" s="94" t="s">
        <v>316</v>
      </c>
      <c r="G571" s="94" t="s">
        <v>261</v>
      </c>
      <c r="H571" s="94" t="s">
        <v>11</v>
      </c>
      <c r="I571" s="94" t="s">
        <v>219</v>
      </c>
      <c r="J571" s="94"/>
      <c r="K571" s="96">
        <v>1.5</v>
      </c>
      <c r="L571" s="96">
        <f>K571*VLOOKUP(H571,dagsoorttabel1,2,FALSE)</f>
        <v>1.5</v>
      </c>
      <c r="M571" s="97">
        <f>prodnorm56</f>
        <v>0</v>
      </c>
      <c r="N571" s="41">
        <f>dagwerk56</f>
        <v>0</v>
      </c>
      <c r="O571" s="94" t="s">
        <v>106</v>
      </c>
      <c r="P571" s="26">
        <f>uurtarief56</f>
        <v>0</v>
      </c>
      <c r="Q571" s="96" t="e">
        <f>IF(ISBLANK(M571),0,L571/M571)</f>
        <v>#DIV/0!</v>
      </c>
      <c r="R571" s="96" t="e">
        <f>IF(ISBLANK(M571),0,Q571*N571)</f>
        <v>#DIV/0!</v>
      </c>
      <c r="S571" s="26" t="e">
        <f>P571*Q571</f>
        <v>#DIV/0!</v>
      </c>
      <c r="T571" s="96" t="e">
        <f>Q571*dagenperjaar1</f>
        <v>#DIV/0!</v>
      </c>
      <c r="U571" s="27" t="e">
        <f>T571*P571</f>
        <v>#DIV/0!</v>
      </c>
    </row>
    <row r="572" spans="1:21" x14ac:dyDescent="0.3">
      <c r="A572" s="93" t="s">
        <v>753</v>
      </c>
      <c r="B572" s="94" t="s">
        <v>40</v>
      </c>
      <c r="C572" s="94" t="s">
        <v>419</v>
      </c>
      <c r="D572" s="94" t="s">
        <v>905</v>
      </c>
      <c r="E572" s="95" t="s">
        <v>453</v>
      </c>
      <c r="F572" s="94" t="s">
        <v>316</v>
      </c>
      <c r="G572" s="94" t="s">
        <v>263</v>
      </c>
      <c r="H572" s="94" t="s">
        <v>9</v>
      </c>
      <c r="I572" s="94" t="s">
        <v>219</v>
      </c>
      <c r="J572" s="94"/>
      <c r="K572" s="96">
        <v>1.5</v>
      </c>
      <c r="L572" s="96">
        <f>K572*VLOOKUP(H572,dagsoorttabel1,2,FALSE)</f>
        <v>3</v>
      </c>
      <c r="M572" s="97">
        <f>prodnorm59</f>
        <v>0</v>
      </c>
      <c r="N572" s="41">
        <f>dagwerk59</f>
        <v>0</v>
      </c>
      <c r="O572" s="94" t="s">
        <v>106</v>
      </c>
      <c r="P572" s="26">
        <f>uurtarief59</f>
        <v>0</v>
      </c>
      <c r="Q572" s="96" t="e">
        <f>IF(ISBLANK(M572),0,L572/M572)</f>
        <v>#DIV/0!</v>
      </c>
      <c r="R572" s="96" t="e">
        <f>IF(ISBLANK(M572),0,Q572*N572)</f>
        <v>#DIV/0!</v>
      </c>
      <c r="S572" s="26" t="e">
        <f>P572*Q572</f>
        <v>#DIV/0!</v>
      </c>
      <c r="T572" s="96" t="e">
        <f>Q572*dagenperjaar1</f>
        <v>#DIV/0!</v>
      </c>
      <c r="U572" s="27" t="e">
        <f>T572*P572</f>
        <v>#DIV/0!</v>
      </c>
    </row>
    <row r="573" spans="1:21" x14ac:dyDescent="0.3">
      <c r="A573" s="93" t="s">
        <v>753</v>
      </c>
      <c r="B573" s="94" t="s">
        <v>40</v>
      </c>
      <c r="C573" s="94" t="s">
        <v>419</v>
      </c>
      <c r="D573" s="94" t="s">
        <v>906</v>
      </c>
      <c r="E573" s="95" t="s">
        <v>907</v>
      </c>
      <c r="F573" s="94" t="s">
        <v>296</v>
      </c>
      <c r="G573" s="94" t="s">
        <v>259</v>
      </c>
      <c r="H573" s="94" t="s">
        <v>11</v>
      </c>
      <c r="I573" s="94" t="s">
        <v>219</v>
      </c>
      <c r="J573" s="94"/>
      <c r="K573" s="96">
        <v>10</v>
      </c>
      <c r="L573" s="96">
        <f>K573*VLOOKUP(H573,dagsoorttabel1,2,FALSE)</f>
        <v>10</v>
      </c>
      <c r="M573" s="97">
        <f>prodnorm54</f>
        <v>0</v>
      </c>
      <c r="N573" s="41">
        <f>dagwerk54</f>
        <v>0</v>
      </c>
      <c r="O573" s="94" t="s">
        <v>106</v>
      </c>
      <c r="P573" s="26">
        <f>uurtarief54</f>
        <v>0</v>
      </c>
      <c r="Q573" s="96" t="e">
        <f>IF(ISBLANK(M573),0,L573/M573)</f>
        <v>#DIV/0!</v>
      </c>
      <c r="R573" s="96" t="e">
        <f>IF(ISBLANK(M573),0,Q573*N573)</f>
        <v>#DIV/0!</v>
      </c>
      <c r="S573" s="26" t="e">
        <f>P573*Q573</f>
        <v>#DIV/0!</v>
      </c>
      <c r="T573" s="96" t="e">
        <f>Q573*dagenperjaar1</f>
        <v>#DIV/0!</v>
      </c>
      <c r="U573" s="27" t="e">
        <f>T573*P573</f>
        <v>#DIV/0!</v>
      </c>
    </row>
    <row r="574" spans="1:21" x14ac:dyDescent="0.3">
      <c r="A574" s="93" t="s">
        <v>753</v>
      </c>
      <c r="B574" s="94" t="s">
        <v>40</v>
      </c>
      <c r="C574" s="94" t="s">
        <v>419</v>
      </c>
      <c r="D574" s="94" t="s">
        <v>908</v>
      </c>
      <c r="E574" s="95" t="s">
        <v>303</v>
      </c>
      <c r="F574" s="94" t="s">
        <v>909</v>
      </c>
      <c r="G574" s="94" t="s">
        <v>265</v>
      </c>
      <c r="H574" s="94" t="s">
        <v>11</v>
      </c>
      <c r="I574" s="94" t="s">
        <v>219</v>
      </c>
      <c r="J574" s="94"/>
      <c r="K574" s="96">
        <v>18</v>
      </c>
      <c r="L574" s="96">
        <f>K574*VLOOKUP(H574,dagsoorttabel1,2,FALSE)</f>
        <v>18</v>
      </c>
      <c r="M574" s="97">
        <f>prodnorm61</f>
        <v>0</v>
      </c>
      <c r="N574" s="41">
        <f>dagwerk61</f>
        <v>0</v>
      </c>
      <c r="O574" s="94" t="s">
        <v>106</v>
      </c>
      <c r="P574" s="26">
        <f>uurtarief61</f>
        <v>0</v>
      </c>
      <c r="Q574" s="96" t="e">
        <f>IF(ISBLANK(M574),0,L574/M574)</f>
        <v>#DIV/0!</v>
      </c>
      <c r="R574" s="96" t="e">
        <f>IF(ISBLANK(M574),0,Q574*N574)</f>
        <v>#DIV/0!</v>
      </c>
      <c r="S574" s="26" t="e">
        <f>P574*Q574</f>
        <v>#DIV/0!</v>
      </c>
      <c r="T574" s="96" t="e">
        <f>Q574*dagenperjaar1</f>
        <v>#DIV/0!</v>
      </c>
      <c r="U574" s="27" t="e">
        <f>T574*P574</f>
        <v>#DIV/0!</v>
      </c>
    </row>
    <row r="575" spans="1:21" x14ac:dyDescent="0.3">
      <c r="A575" s="93" t="s">
        <v>753</v>
      </c>
      <c r="B575" s="94" t="s">
        <v>40</v>
      </c>
      <c r="C575" s="94" t="s">
        <v>419</v>
      </c>
      <c r="D575" s="94" t="s">
        <v>910</v>
      </c>
      <c r="E575" s="95" t="s">
        <v>338</v>
      </c>
      <c r="F575" s="94" t="s">
        <v>296</v>
      </c>
      <c r="G575" s="94" t="s">
        <v>267</v>
      </c>
      <c r="H575" s="94" t="s">
        <v>11</v>
      </c>
      <c r="I575" s="94" t="s">
        <v>219</v>
      </c>
      <c r="J575" s="94"/>
      <c r="K575" s="96">
        <v>112</v>
      </c>
      <c r="L575" s="96">
        <f>K575*VLOOKUP(H575,dagsoorttabel1,2,FALSE)</f>
        <v>112</v>
      </c>
      <c r="M575" s="97">
        <f>prodnorm63</f>
        <v>0</v>
      </c>
      <c r="N575" s="41">
        <f>dagwerk63</f>
        <v>0</v>
      </c>
      <c r="O575" s="94" t="s">
        <v>106</v>
      </c>
      <c r="P575" s="26">
        <f>uurtarief63</f>
        <v>0</v>
      </c>
      <c r="Q575" s="96" t="e">
        <f>IF(ISBLANK(M575),0,L575/M575)</f>
        <v>#DIV/0!</v>
      </c>
      <c r="R575" s="96" t="e">
        <f>IF(ISBLANK(M575),0,Q575*N575)</f>
        <v>#DIV/0!</v>
      </c>
      <c r="S575" s="26" t="e">
        <f>P575*Q575</f>
        <v>#DIV/0!</v>
      </c>
      <c r="T575" s="96" t="e">
        <f>Q575*dagenperjaar1</f>
        <v>#DIV/0!</v>
      </c>
      <c r="U575" s="27" t="e">
        <f>T575*P575</f>
        <v>#DIV/0!</v>
      </c>
    </row>
    <row r="576" spans="1:21" x14ac:dyDescent="0.3">
      <c r="A576" s="93" t="s">
        <v>753</v>
      </c>
      <c r="B576" s="94" t="s">
        <v>40</v>
      </c>
      <c r="C576" s="94" t="s">
        <v>483</v>
      </c>
      <c r="D576" s="94" t="s">
        <v>911</v>
      </c>
      <c r="E576" s="95" t="s">
        <v>295</v>
      </c>
      <c r="F576" s="94" t="s">
        <v>296</v>
      </c>
      <c r="G576" s="94" t="s">
        <v>241</v>
      </c>
      <c r="H576" s="94" t="s">
        <v>11</v>
      </c>
      <c r="I576" s="94" t="s">
        <v>219</v>
      </c>
      <c r="J576" s="94"/>
      <c r="K576" s="96">
        <v>55</v>
      </c>
      <c r="L576" s="96">
        <f>K576*VLOOKUP(H576,dagsoorttabel1,2,FALSE)</f>
        <v>55</v>
      </c>
      <c r="M576" s="97">
        <f>prodnorm38</f>
        <v>0</v>
      </c>
      <c r="N576" s="41">
        <f>dagwerk38</f>
        <v>0</v>
      </c>
      <c r="O576" s="94" t="s">
        <v>106</v>
      </c>
      <c r="P576" s="26">
        <f>uurtarief38</f>
        <v>0</v>
      </c>
      <c r="Q576" s="96" t="e">
        <f>IF(ISBLANK(M576),0,L576/M576)</f>
        <v>#DIV/0!</v>
      </c>
      <c r="R576" s="96" t="e">
        <f>IF(ISBLANK(M576),0,Q576*N576)</f>
        <v>#DIV/0!</v>
      </c>
      <c r="S576" s="26" t="e">
        <f>P576*Q576</f>
        <v>#DIV/0!</v>
      </c>
      <c r="T576" s="96" t="e">
        <f>Q576*dagenperjaar1</f>
        <v>#DIV/0!</v>
      </c>
      <c r="U576" s="27" t="e">
        <f>T576*P576</f>
        <v>#DIV/0!</v>
      </c>
    </row>
    <row r="577" spans="1:21" x14ac:dyDescent="0.3">
      <c r="A577" s="93" t="s">
        <v>753</v>
      </c>
      <c r="B577" s="94" t="s">
        <v>40</v>
      </c>
      <c r="C577" s="94" t="s">
        <v>483</v>
      </c>
      <c r="D577" s="94" t="s">
        <v>912</v>
      </c>
      <c r="E577" s="95" t="s">
        <v>295</v>
      </c>
      <c r="F577" s="94" t="s">
        <v>296</v>
      </c>
      <c r="G577" s="94" t="s">
        <v>241</v>
      </c>
      <c r="H577" s="94" t="s">
        <v>11</v>
      </c>
      <c r="I577" s="94" t="s">
        <v>219</v>
      </c>
      <c r="J577" s="94"/>
      <c r="K577" s="96">
        <v>55</v>
      </c>
      <c r="L577" s="96">
        <f>K577*VLOOKUP(H577,dagsoorttabel1,2,FALSE)</f>
        <v>55</v>
      </c>
      <c r="M577" s="97">
        <f>prodnorm38</f>
        <v>0</v>
      </c>
      <c r="N577" s="41">
        <f>dagwerk38</f>
        <v>0</v>
      </c>
      <c r="O577" s="94" t="s">
        <v>106</v>
      </c>
      <c r="P577" s="26">
        <f>uurtarief38</f>
        <v>0</v>
      </c>
      <c r="Q577" s="96" t="e">
        <f>IF(ISBLANK(M577),0,L577/M577)</f>
        <v>#DIV/0!</v>
      </c>
      <c r="R577" s="96" t="e">
        <f>IF(ISBLANK(M577),0,Q577*N577)</f>
        <v>#DIV/0!</v>
      </c>
      <c r="S577" s="26" t="e">
        <f>P577*Q577</f>
        <v>#DIV/0!</v>
      </c>
      <c r="T577" s="96" t="e">
        <f>Q577*dagenperjaar1</f>
        <v>#DIV/0!</v>
      </c>
      <c r="U577" s="27" t="e">
        <f>T577*P577</f>
        <v>#DIV/0!</v>
      </c>
    </row>
    <row r="578" spans="1:21" x14ac:dyDescent="0.3">
      <c r="A578" s="93" t="s">
        <v>753</v>
      </c>
      <c r="B578" s="94" t="s">
        <v>40</v>
      </c>
      <c r="C578" s="94" t="s">
        <v>483</v>
      </c>
      <c r="D578" s="94" t="s">
        <v>913</v>
      </c>
      <c r="E578" s="95" t="s">
        <v>295</v>
      </c>
      <c r="F578" s="94" t="s">
        <v>296</v>
      </c>
      <c r="G578" s="94" t="s">
        <v>241</v>
      </c>
      <c r="H578" s="94" t="s">
        <v>11</v>
      </c>
      <c r="I578" s="94" t="s">
        <v>219</v>
      </c>
      <c r="J578" s="94"/>
      <c r="K578" s="96">
        <v>55</v>
      </c>
      <c r="L578" s="96">
        <f>K578*VLOOKUP(H578,dagsoorttabel1,2,FALSE)</f>
        <v>55</v>
      </c>
      <c r="M578" s="97">
        <f>prodnorm38</f>
        <v>0</v>
      </c>
      <c r="N578" s="41">
        <f>dagwerk38</f>
        <v>0</v>
      </c>
      <c r="O578" s="94" t="s">
        <v>106</v>
      </c>
      <c r="P578" s="26">
        <f>uurtarief38</f>
        <v>0</v>
      </c>
      <c r="Q578" s="96" t="e">
        <f>IF(ISBLANK(M578),0,L578/M578)</f>
        <v>#DIV/0!</v>
      </c>
      <c r="R578" s="96" t="e">
        <f>IF(ISBLANK(M578),0,Q578*N578)</f>
        <v>#DIV/0!</v>
      </c>
      <c r="S578" s="26" t="e">
        <f>P578*Q578</f>
        <v>#DIV/0!</v>
      </c>
      <c r="T578" s="96" t="e">
        <f>Q578*dagenperjaar1</f>
        <v>#DIV/0!</v>
      </c>
      <c r="U578" s="27" t="e">
        <f>T578*P578</f>
        <v>#DIV/0!</v>
      </c>
    </row>
    <row r="579" spans="1:21" x14ac:dyDescent="0.3">
      <c r="A579" s="93" t="s">
        <v>753</v>
      </c>
      <c r="B579" s="94" t="s">
        <v>40</v>
      </c>
      <c r="C579" s="94" t="s">
        <v>483</v>
      </c>
      <c r="D579" s="94" t="s">
        <v>914</v>
      </c>
      <c r="E579" s="95" t="s">
        <v>295</v>
      </c>
      <c r="F579" s="94" t="s">
        <v>915</v>
      </c>
      <c r="G579" s="94" t="s">
        <v>241</v>
      </c>
      <c r="H579" s="94" t="s">
        <v>11</v>
      </c>
      <c r="I579" s="94" t="s">
        <v>219</v>
      </c>
      <c r="J579" s="94"/>
      <c r="K579" s="96">
        <v>43.5</v>
      </c>
      <c r="L579" s="96">
        <f>K579*VLOOKUP(H579,dagsoorttabel1,2,FALSE)</f>
        <v>43.5</v>
      </c>
      <c r="M579" s="97">
        <f>prodnorm38</f>
        <v>0</v>
      </c>
      <c r="N579" s="41">
        <f>dagwerk38</f>
        <v>0</v>
      </c>
      <c r="O579" s="94" t="s">
        <v>106</v>
      </c>
      <c r="P579" s="26">
        <f>uurtarief38</f>
        <v>0</v>
      </c>
      <c r="Q579" s="96" t="e">
        <f>IF(ISBLANK(M579),0,L579/M579)</f>
        <v>#DIV/0!</v>
      </c>
      <c r="R579" s="96" t="e">
        <f>IF(ISBLANK(M579),0,Q579*N579)</f>
        <v>#DIV/0!</v>
      </c>
      <c r="S579" s="26" t="e">
        <f>P579*Q579</f>
        <v>#DIV/0!</v>
      </c>
      <c r="T579" s="96" t="e">
        <f>Q579*dagenperjaar1</f>
        <v>#DIV/0!</v>
      </c>
      <c r="U579" s="27" t="e">
        <f>T579*P579</f>
        <v>#DIV/0!</v>
      </c>
    </row>
    <row r="580" spans="1:21" x14ac:dyDescent="0.3">
      <c r="A580" s="93" t="s">
        <v>753</v>
      </c>
      <c r="B580" s="94" t="s">
        <v>40</v>
      </c>
      <c r="C580" s="94" t="s">
        <v>483</v>
      </c>
      <c r="D580" s="94" t="s">
        <v>916</v>
      </c>
      <c r="E580" s="95" t="s">
        <v>295</v>
      </c>
      <c r="F580" s="94" t="s">
        <v>915</v>
      </c>
      <c r="G580" s="94" t="s">
        <v>241</v>
      </c>
      <c r="H580" s="94" t="s">
        <v>11</v>
      </c>
      <c r="I580" s="94" t="s">
        <v>219</v>
      </c>
      <c r="J580" s="94"/>
      <c r="K580" s="96">
        <v>47.5</v>
      </c>
      <c r="L580" s="96">
        <f>K580*VLOOKUP(H580,dagsoorttabel1,2,FALSE)</f>
        <v>47.5</v>
      </c>
      <c r="M580" s="97">
        <f>prodnorm38</f>
        <v>0</v>
      </c>
      <c r="N580" s="41">
        <f>dagwerk38</f>
        <v>0</v>
      </c>
      <c r="O580" s="94" t="s">
        <v>106</v>
      </c>
      <c r="P580" s="26">
        <f>uurtarief38</f>
        <v>0</v>
      </c>
      <c r="Q580" s="96" t="e">
        <f>IF(ISBLANK(M580),0,L580/M580)</f>
        <v>#DIV/0!</v>
      </c>
      <c r="R580" s="96" t="e">
        <f>IF(ISBLANK(M580),0,Q580*N580)</f>
        <v>#DIV/0!</v>
      </c>
      <c r="S580" s="26" t="e">
        <f>P580*Q580</f>
        <v>#DIV/0!</v>
      </c>
      <c r="T580" s="96" t="e">
        <f>Q580*dagenperjaar1</f>
        <v>#DIV/0!</v>
      </c>
      <c r="U580" s="27" t="e">
        <f>T580*P580</f>
        <v>#DIV/0!</v>
      </c>
    </row>
    <row r="581" spans="1:21" x14ac:dyDescent="0.3">
      <c r="A581" s="93" t="s">
        <v>753</v>
      </c>
      <c r="B581" s="94" t="s">
        <v>40</v>
      </c>
      <c r="C581" s="94" t="s">
        <v>483</v>
      </c>
      <c r="D581" s="94" t="s">
        <v>917</v>
      </c>
      <c r="E581" s="95" t="s">
        <v>918</v>
      </c>
      <c r="F581" s="94" t="s">
        <v>915</v>
      </c>
      <c r="G581" s="94" t="s">
        <v>241</v>
      </c>
      <c r="H581" s="94" t="s">
        <v>11</v>
      </c>
      <c r="I581" s="94" t="s">
        <v>219</v>
      </c>
      <c r="J581" s="94"/>
      <c r="K581" s="96">
        <v>104</v>
      </c>
      <c r="L581" s="96">
        <f>K581*VLOOKUP(H581,dagsoorttabel1,2,FALSE)</f>
        <v>104</v>
      </c>
      <c r="M581" s="97">
        <f>prodnorm38</f>
        <v>0</v>
      </c>
      <c r="N581" s="41">
        <f>dagwerk38</f>
        <v>0</v>
      </c>
      <c r="O581" s="94" t="s">
        <v>106</v>
      </c>
      <c r="P581" s="26">
        <f>uurtarief38</f>
        <v>0</v>
      </c>
      <c r="Q581" s="96" t="e">
        <f>IF(ISBLANK(M581),0,L581/M581)</f>
        <v>#DIV/0!</v>
      </c>
      <c r="R581" s="96" t="e">
        <f>IF(ISBLANK(M581),0,Q581*N581)</f>
        <v>#DIV/0!</v>
      </c>
      <c r="S581" s="26" t="e">
        <f>P581*Q581</f>
        <v>#DIV/0!</v>
      </c>
      <c r="T581" s="96" t="e">
        <f>Q581*dagenperjaar1</f>
        <v>#DIV/0!</v>
      </c>
      <c r="U581" s="27" t="e">
        <f>T581*P581</f>
        <v>#DIV/0!</v>
      </c>
    </row>
    <row r="582" spans="1:21" x14ac:dyDescent="0.3">
      <c r="A582" s="93" t="s">
        <v>753</v>
      </c>
      <c r="B582" s="94" t="s">
        <v>40</v>
      </c>
      <c r="C582" s="94" t="s">
        <v>483</v>
      </c>
      <c r="D582" s="94" t="s">
        <v>919</v>
      </c>
      <c r="E582" s="95" t="s">
        <v>920</v>
      </c>
      <c r="F582" s="94" t="s">
        <v>293</v>
      </c>
      <c r="G582" s="94" t="s">
        <v>269</v>
      </c>
      <c r="H582" s="94" t="s">
        <v>11</v>
      </c>
      <c r="I582" s="94" t="s">
        <v>219</v>
      </c>
      <c r="J582" s="94"/>
      <c r="K582" s="96">
        <v>10</v>
      </c>
      <c r="L582" s="96">
        <f>K582*VLOOKUP(H582,dagsoorttabel1,2,FALSE)</f>
        <v>10</v>
      </c>
      <c r="M582" s="97">
        <f>prodnorm64</f>
        <v>0</v>
      </c>
      <c r="N582" s="41">
        <f>dagwerk64</f>
        <v>0</v>
      </c>
      <c r="O582" s="94" t="s">
        <v>106</v>
      </c>
      <c r="P582" s="26">
        <f>uurtarief64</f>
        <v>0</v>
      </c>
      <c r="Q582" s="96" t="e">
        <f>IF(ISBLANK(M582),0,L582/M582)</f>
        <v>#DIV/0!</v>
      </c>
      <c r="R582" s="96" t="e">
        <f>IF(ISBLANK(M582),0,Q582*N582)</f>
        <v>#DIV/0!</v>
      </c>
      <c r="S582" s="26" t="e">
        <f>P582*Q582</f>
        <v>#DIV/0!</v>
      </c>
      <c r="T582" s="96" t="e">
        <f>Q582*dagenperjaar1</f>
        <v>#DIV/0!</v>
      </c>
      <c r="U582" s="27" t="e">
        <f>T582*P582</f>
        <v>#DIV/0!</v>
      </c>
    </row>
    <row r="583" spans="1:21" x14ac:dyDescent="0.3">
      <c r="A583" s="93" t="s">
        <v>753</v>
      </c>
      <c r="B583" s="94" t="s">
        <v>40</v>
      </c>
      <c r="C583" s="94" t="s">
        <v>483</v>
      </c>
      <c r="D583" s="94" t="s">
        <v>921</v>
      </c>
      <c r="E583" s="95" t="s">
        <v>295</v>
      </c>
      <c r="F583" s="94" t="s">
        <v>915</v>
      </c>
      <c r="G583" s="94" t="s">
        <v>241</v>
      </c>
      <c r="H583" s="94" t="s">
        <v>11</v>
      </c>
      <c r="I583" s="94" t="s">
        <v>219</v>
      </c>
      <c r="J583" s="94"/>
      <c r="K583" s="96">
        <v>70</v>
      </c>
      <c r="L583" s="96">
        <f>K583*VLOOKUP(H583,dagsoorttabel1,2,FALSE)</f>
        <v>70</v>
      </c>
      <c r="M583" s="97">
        <f>prodnorm38</f>
        <v>0</v>
      </c>
      <c r="N583" s="41">
        <f>dagwerk38</f>
        <v>0</v>
      </c>
      <c r="O583" s="94" t="s">
        <v>106</v>
      </c>
      <c r="P583" s="26">
        <f>uurtarief38</f>
        <v>0</v>
      </c>
      <c r="Q583" s="96" t="e">
        <f>IF(ISBLANK(M583),0,L583/M583)</f>
        <v>#DIV/0!</v>
      </c>
      <c r="R583" s="96" t="e">
        <f>IF(ISBLANK(M583),0,Q583*N583)</f>
        <v>#DIV/0!</v>
      </c>
      <c r="S583" s="26" t="e">
        <f>P583*Q583</f>
        <v>#DIV/0!</v>
      </c>
      <c r="T583" s="96" t="e">
        <f>Q583*dagenperjaar1</f>
        <v>#DIV/0!</v>
      </c>
      <c r="U583" s="27" t="e">
        <f>T583*P583</f>
        <v>#DIV/0!</v>
      </c>
    </row>
    <row r="584" spans="1:21" x14ac:dyDescent="0.3">
      <c r="A584" s="93" t="s">
        <v>753</v>
      </c>
      <c r="B584" s="94" t="s">
        <v>40</v>
      </c>
      <c r="C584" s="94" t="s">
        <v>483</v>
      </c>
      <c r="D584" s="94" t="s">
        <v>922</v>
      </c>
      <c r="E584" s="95" t="s">
        <v>308</v>
      </c>
      <c r="F584" s="94" t="s">
        <v>293</v>
      </c>
      <c r="G584" s="94" t="s">
        <v>225</v>
      </c>
      <c r="H584" s="94" t="s">
        <v>16</v>
      </c>
      <c r="I584" s="94" t="s">
        <v>219</v>
      </c>
      <c r="J584" s="94"/>
      <c r="K584" s="96">
        <v>22</v>
      </c>
      <c r="L584" s="96">
        <f>K584*VLOOKUP(H584,dagsoorttabel1,2,FALSE)</f>
        <v>8.8000000000000007</v>
      </c>
      <c r="M584" s="97">
        <f>prodnorm24</f>
        <v>0</v>
      </c>
      <c r="N584" s="41">
        <f>dagwerk24</f>
        <v>0</v>
      </c>
      <c r="O584" s="94" t="s">
        <v>106</v>
      </c>
      <c r="P584" s="26">
        <f>uurtarief24</f>
        <v>0</v>
      </c>
      <c r="Q584" s="96" t="e">
        <f>IF(ISBLANK(M584),0,L584/M584)</f>
        <v>#DIV/0!</v>
      </c>
      <c r="R584" s="96" t="e">
        <f>IF(ISBLANK(M584),0,Q584*N584)</f>
        <v>#DIV/0!</v>
      </c>
      <c r="S584" s="26" t="e">
        <f>P584*Q584</f>
        <v>#DIV/0!</v>
      </c>
      <c r="T584" s="96" t="e">
        <f>Q584*dagenperjaar1</f>
        <v>#DIV/0!</v>
      </c>
      <c r="U584" s="27" t="e">
        <f>T584*P584</f>
        <v>#DIV/0!</v>
      </c>
    </row>
    <row r="585" spans="1:21" x14ac:dyDescent="0.3">
      <c r="A585" s="93" t="s">
        <v>753</v>
      </c>
      <c r="B585" s="94" t="s">
        <v>40</v>
      </c>
      <c r="C585" s="94" t="s">
        <v>483</v>
      </c>
      <c r="D585" s="94" t="s">
        <v>923</v>
      </c>
      <c r="E585" s="95" t="s">
        <v>308</v>
      </c>
      <c r="F585" s="94" t="s">
        <v>293</v>
      </c>
      <c r="G585" s="94" t="s">
        <v>225</v>
      </c>
      <c r="H585" s="94" t="s">
        <v>16</v>
      </c>
      <c r="I585" s="94" t="s">
        <v>219</v>
      </c>
      <c r="J585" s="94"/>
      <c r="K585" s="96">
        <v>20</v>
      </c>
      <c r="L585" s="96">
        <f>K585*VLOOKUP(H585,dagsoorttabel1,2,FALSE)</f>
        <v>8</v>
      </c>
      <c r="M585" s="97">
        <f>prodnorm24</f>
        <v>0</v>
      </c>
      <c r="N585" s="41">
        <f>dagwerk24</f>
        <v>0</v>
      </c>
      <c r="O585" s="94" t="s">
        <v>106</v>
      </c>
      <c r="P585" s="26">
        <f>uurtarief24</f>
        <v>0</v>
      </c>
      <c r="Q585" s="96" t="e">
        <f>IF(ISBLANK(M585),0,L585/M585)</f>
        <v>#DIV/0!</v>
      </c>
      <c r="R585" s="96" t="e">
        <f>IF(ISBLANK(M585),0,Q585*N585)</f>
        <v>#DIV/0!</v>
      </c>
      <c r="S585" s="26" t="e">
        <f>P585*Q585</f>
        <v>#DIV/0!</v>
      </c>
      <c r="T585" s="96" t="e">
        <f>Q585*dagenperjaar1</f>
        <v>#DIV/0!</v>
      </c>
      <c r="U585" s="27" t="e">
        <f>T585*P585</f>
        <v>#DIV/0!</v>
      </c>
    </row>
    <row r="586" spans="1:21" x14ac:dyDescent="0.3">
      <c r="A586" s="93" t="s">
        <v>753</v>
      </c>
      <c r="B586" s="94" t="s">
        <v>40</v>
      </c>
      <c r="C586" s="94" t="s">
        <v>483</v>
      </c>
      <c r="D586" s="94" t="s">
        <v>924</v>
      </c>
      <c r="E586" s="95" t="s">
        <v>295</v>
      </c>
      <c r="F586" s="94" t="s">
        <v>296</v>
      </c>
      <c r="G586" s="94" t="s">
        <v>241</v>
      </c>
      <c r="H586" s="94" t="s">
        <v>11</v>
      </c>
      <c r="I586" s="94" t="s">
        <v>219</v>
      </c>
      <c r="J586" s="94"/>
      <c r="K586" s="96">
        <v>55</v>
      </c>
      <c r="L586" s="96">
        <f>K586*VLOOKUP(H586,dagsoorttabel1,2,FALSE)</f>
        <v>55</v>
      </c>
      <c r="M586" s="97">
        <f>prodnorm38</f>
        <v>0</v>
      </c>
      <c r="N586" s="41">
        <f>dagwerk38</f>
        <v>0</v>
      </c>
      <c r="O586" s="94" t="s">
        <v>106</v>
      </c>
      <c r="P586" s="26">
        <f>uurtarief38</f>
        <v>0</v>
      </c>
      <c r="Q586" s="96" t="e">
        <f>IF(ISBLANK(M586),0,L586/M586)</f>
        <v>#DIV/0!</v>
      </c>
      <c r="R586" s="96" t="e">
        <f>IF(ISBLANK(M586),0,Q586*N586)</f>
        <v>#DIV/0!</v>
      </c>
      <c r="S586" s="26" t="e">
        <f>P586*Q586</f>
        <v>#DIV/0!</v>
      </c>
      <c r="T586" s="96" t="e">
        <f>Q586*dagenperjaar1</f>
        <v>#DIV/0!</v>
      </c>
      <c r="U586" s="27" t="e">
        <f>T586*P586</f>
        <v>#DIV/0!</v>
      </c>
    </row>
    <row r="587" spans="1:21" x14ac:dyDescent="0.3">
      <c r="A587" s="93" t="s">
        <v>753</v>
      </c>
      <c r="B587" s="94" t="s">
        <v>40</v>
      </c>
      <c r="C587" s="94" t="s">
        <v>483</v>
      </c>
      <c r="D587" s="94" t="s">
        <v>925</v>
      </c>
      <c r="E587" s="95" t="s">
        <v>295</v>
      </c>
      <c r="F587" s="94" t="s">
        <v>296</v>
      </c>
      <c r="G587" s="94" t="s">
        <v>241</v>
      </c>
      <c r="H587" s="94" t="s">
        <v>11</v>
      </c>
      <c r="I587" s="94" t="s">
        <v>219</v>
      </c>
      <c r="J587" s="94"/>
      <c r="K587" s="96">
        <v>55</v>
      </c>
      <c r="L587" s="96">
        <f>K587*VLOOKUP(H587,dagsoorttabel1,2,FALSE)</f>
        <v>55</v>
      </c>
      <c r="M587" s="97">
        <f>prodnorm38</f>
        <v>0</v>
      </c>
      <c r="N587" s="41">
        <f>dagwerk38</f>
        <v>0</v>
      </c>
      <c r="O587" s="94" t="s">
        <v>106</v>
      </c>
      <c r="P587" s="26">
        <f>uurtarief38</f>
        <v>0</v>
      </c>
      <c r="Q587" s="96" t="e">
        <f>IF(ISBLANK(M587),0,L587/M587)</f>
        <v>#DIV/0!</v>
      </c>
      <c r="R587" s="96" t="e">
        <f>IF(ISBLANK(M587),0,Q587*N587)</f>
        <v>#DIV/0!</v>
      </c>
      <c r="S587" s="26" t="e">
        <f>P587*Q587</f>
        <v>#DIV/0!</v>
      </c>
      <c r="T587" s="96" t="e">
        <f>Q587*dagenperjaar1</f>
        <v>#DIV/0!</v>
      </c>
      <c r="U587" s="27" t="e">
        <f>T587*P587</f>
        <v>#DIV/0!</v>
      </c>
    </row>
    <row r="588" spans="1:21" x14ac:dyDescent="0.3">
      <c r="A588" s="93" t="s">
        <v>753</v>
      </c>
      <c r="B588" s="94" t="s">
        <v>40</v>
      </c>
      <c r="C588" s="94" t="s">
        <v>483</v>
      </c>
      <c r="D588" s="94" t="s">
        <v>926</v>
      </c>
      <c r="E588" s="95" t="s">
        <v>295</v>
      </c>
      <c r="F588" s="94" t="s">
        <v>296</v>
      </c>
      <c r="G588" s="94" t="s">
        <v>241</v>
      </c>
      <c r="H588" s="94" t="s">
        <v>11</v>
      </c>
      <c r="I588" s="94" t="s">
        <v>219</v>
      </c>
      <c r="J588" s="94"/>
      <c r="K588" s="96">
        <v>55</v>
      </c>
      <c r="L588" s="96">
        <f>K588*VLOOKUP(H588,dagsoorttabel1,2,FALSE)</f>
        <v>55</v>
      </c>
      <c r="M588" s="97">
        <f>prodnorm38</f>
        <v>0</v>
      </c>
      <c r="N588" s="41">
        <f>dagwerk38</f>
        <v>0</v>
      </c>
      <c r="O588" s="94" t="s">
        <v>106</v>
      </c>
      <c r="P588" s="26">
        <f>uurtarief38</f>
        <v>0</v>
      </c>
      <c r="Q588" s="96" t="e">
        <f>IF(ISBLANK(M588),0,L588/M588)</f>
        <v>#DIV/0!</v>
      </c>
      <c r="R588" s="96" t="e">
        <f>IF(ISBLANK(M588),0,Q588*N588)</f>
        <v>#DIV/0!</v>
      </c>
      <c r="S588" s="26" t="e">
        <f>P588*Q588</f>
        <v>#DIV/0!</v>
      </c>
      <c r="T588" s="96" t="e">
        <f>Q588*dagenperjaar1</f>
        <v>#DIV/0!</v>
      </c>
      <c r="U588" s="27" t="e">
        <f>T588*P588</f>
        <v>#DIV/0!</v>
      </c>
    </row>
    <row r="589" spans="1:21" x14ac:dyDescent="0.3">
      <c r="A589" s="93" t="s">
        <v>753</v>
      </c>
      <c r="B589" s="94" t="s">
        <v>40</v>
      </c>
      <c r="C589" s="94" t="s">
        <v>483</v>
      </c>
      <c r="D589" s="94" t="s">
        <v>927</v>
      </c>
      <c r="E589" s="95" t="s">
        <v>295</v>
      </c>
      <c r="F589" s="94" t="s">
        <v>928</v>
      </c>
      <c r="G589" s="94" t="s">
        <v>241</v>
      </c>
      <c r="H589" s="94" t="s">
        <v>11</v>
      </c>
      <c r="I589" s="94" t="s">
        <v>219</v>
      </c>
      <c r="J589" s="94"/>
      <c r="K589" s="96">
        <v>43.1</v>
      </c>
      <c r="L589" s="96">
        <f>K589*VLOOKUP(H589,dagsoorttabel1,2,FALSE)</f>
        <v>43.1</v>
      </c>
      <c r="M589" s="97">
        <f>prodnorm38</f>
        <v>0</v>
      </c>
      <c r="N589" s="41">
        <f>dagwerk38</f>
        <v>0</v>
      </c>
      <c r="O589" s="94" t="s">
        <v>106</v>
      </c>
      <c r="P589" s="26">
        <f>uurtarief38</f>
        <v>0</v>
      </c>
      <c r="Q589" s="96" t="e">
        <f>IF(ISBLANK(M589),0,L589/M589)</f>
        <v>#DIV/0!</v>
      </c>
      <c r="R589" s="96" t="e">
        <f>IF(ISBLANK(M589),0,Q589*N589)</f>
        <v>#DIV/0!</v>
      </c>
      <c r="S589" s="26" t="e">
        <f>P589*Q589</f>
        <v>#DIV/0!</v>
      </c>
      <c r="T589" s="96" t="e">
        <f>Q589*dagenperjaar1</f>
        <v>#DIV/0!</v>
      </c>
      <c r="U589" s="27" t="e">
        <f>T589*P589</f>
        <v>#DIV/0!</v>
      </c>
    </row>
    <row r="590" spans="1:21" x14ac:dyDescent="0.3">
      <c r="A590" s="93" t="s">
        <v>753</v>
      </c>
      <c r="B590" s="94" t="s">
        <v>40</v>
      </c>
      <c r="C590" s="94" t="s">
        <v>483</v>
      </c>
      <c r="D590" s="94" t="s">
        <v>929</v>
      </c>
      <c r="E590" s="95" t="s">
        <v>295</v>
      </c>
      <c r="F590" s="94" t="s">
        <v>928</v>
      </c>
      <c r="G590" s="94" t="s">
        <v>241</v>
      </c>
      <c r="H590" s="94" t="s">
        <v>11</v>
      </c>
      <c r="I590" s="94" t="s">
        <v>219</v>
      </c>
      <c r="J590" s="94"/>
      <c r="K590" s="96">
        <v>47.5</v>
      </c>
      <c r="L590" s="96">
        <f>K590*VLOOKUP(H590,dagsoorttabel1,2,FALSE)</f>
        <v>47.5</v>
      </c>
      <c r="M590" s="97">
        <f>prodnorm38</f>
        <v>0</v>
      </c>
      <c r="N590" s="41">
        <f>dagwerk38</f>
        <v>0</v>
      </c>
      <c r="O590" s="94" t="s">
        <v>106</v>
      </c>
      <c r="P590" s="26">
        <f>uurtarief38</f>
        <v>0</v>
      </c>
      <c r="Q590" s="96" t="e">
        <f>IF(ISBLANK(M590),0,L590/M590)</f>
        <v>#DIV/0!</v>
      </c>
      <c r="R590" s="96" t="e">
        <f>IF(ISBLANK(M590),0,Q590*N590)</f>
        <v>#DIV/0!</v>
      </c>
      <c r="S590" s="26" t="e">
        <f>P590*Q590</f>
        <v>#DIV/0!</v>
      </c>
      <c r="T590" s="96" t="e">
        <f>Q590*dagenperjaar1</f>
        <v>#DIV/0!</v>
      </c>
      <c r="U590" s="27" t="e">
        <f>T590*P590</f>
        <v>#DIV/0!</v>
      </c>
    </row>
    <row r="591" spans="1:21" x14ac:dyDescent="0.3">
      <c r="A591" s="93" t="s">
        <v>753</v>
      </c>
      <c r="B591" s="94" t="s">
        <v>40</v>
      </c>
      <c r="C591" s="94" t="s">
        <v>483</v>
      </c>
      <c r="D591" s="94" t="s">
        <v>930</v>
      </c>
      <c r="E591" s="95" t="s">
        <v>295</v>
      </c>
      <c r="F591" s="94" t="s">
        <v>928</v>
      </c>
      <c r="G591" s="94" t="s">
        <v>241</v>
      </c>
      <c r="H591" s="94" t="s">
        <v>11</v>
      </c>
      <c r="I591" s="94" t="s">
        <v>219</v>
      </c>
      <c r="J591" s="94"/>
      <c r="K591" s="96">
        <v>34.36</v>
      </c>
      <c r="L591" s="96">
        <f>K591*VLOOKUP(H591,dagsoorttabel1,2,FALSE)</f>
        <v>34.36</v>
      </c>
      <c r="M591" s="97">
        <f>prodnorm38</f>
        <v>0</v>
      </c>
      <c r="N591" s="41">
        <f>dagwerk38</f>
        <v>0</v>
      </c>
      <c r="O591" s="94" t="s">
        <v>106</v>
      </c>
      <c r="P591" s="26">
        <f>uurtarief38</f>
        <v>0</v>
      </c>
      <c r="Q591" s="96" t="e">
        <f>IF(ISBLANK(M591),0,L591/M591)</f>
        <v>#DIV/0!</v>
      </c>
      <c r="R591" s="96" t="e">
        <f>IF(ISBLANK(M591),0,Q591*N591)</f>
        <v>#DIV/0!</v>
      </c>
      <c r="S591" s="26" t="e">
        <f>P591*Q591</f>
        <v>#DIV/0!</v>
      </c>
      <c r="T591" s="96" t="e">
        <f>Q591*dagenperjaar1</f>
        <v>#DIV/0!</v>
      </c>
      <c r="U591" s="27" t="e">
        <f>T591*P591</f>
        <v>#DIV/0!</v>
      </c>
    </row>
    <row r="592" spans="1:21" x14ac:dyDescent="0.3">
      <c r="A592" s="93" t="s">
        <v>753</v>
      </c>
      <c r="B592" s="94" t="s">
        <v>40</v>
      </c>
      <c r="C592" s="94" t="s">
        <v>483</v>
      </c>
      <c r="D592" s="94" t="s">
        <v>931</v>
      </c>
      <c r="E592" s="95" t="s">
        <v>308</v>
      </c>
      <c r="F592" s="94" t="s">
        <v>293</v>
      </c>
      <c r="G592" s="94" t="s">
        <v>225</v>
      </c>
      <c r="H592" s="94" t="s">
        <v>16</v>
      </c>
      <c r="I592" s="94" t="s">
        <v>219</v>
      </c>
      <c r="J592" s="94"/>
      <c r="K592" s="96">
        <v>20</v>
      </c>
      <c r="L592" s="96">
        <f>K592*VLOOKUP(H592,dagsoorttabel1,2,FALSE)</f>
        <v>8</v>
      </c>
      <c r="M592" s="97">
        <f>prodnorm24</f>
        <v>0</v>
      </c>
      <c r="N592" s="41">
        <f>dagwerk24</f>
        <v>0</v>
      </c>
      <c r="O592" s="94" t="s">
        <v>106</v>
      </c>
      <c r="P592" s="26">
        <f>uurtarief24</f>
        <v>0</v>
      </c>
      <c r="Q592" s="96" t="e">
        <f>IF(ISBLANK(M592),0,L592/M592)</f>
        <v>#DIV/0!</v>
      </c>
      <c r="R592" s="96" t="e">
        <f>IF(ISBLANK(M592),0,Q592*N592)</f>
        <v>#DIV/0!</v>
      </c>
      <c r="S592" s="26" t="e">
        <f>P592*Q592</f>
        <v>#DIV/0!</v>
      </c>
      <c r="T592" s="96" t="e">
        <f>Q592*dagenperjaar1</f>
        <v>#DIV/0!</v>
      </c>
      <c r="U592" s="27" t="e">
        <f>T592*P592</f>
        <v>#DIV/0!</v>
      </c>
    </row>
    <row r="593" spans="1:21" x14ac:dyDescent="0.3">
      <c r="A593" s="93" t="s">
        <v>753</v>
      </c>
      <c r="B593" s="94" t="s">
        <v>40</v>
      </c>
      <c r="C593" s="94" t="s">
        <v>483</v>
      </c>
      <c r="D593" s="94" t="s">
        <v>932</v>
      </c>
      <c r="E593" s="95" t="s">
        <v>933</v>
      </c>
      <c r="F593" s="94" t="s">
        <v>928</v>
      </c>
      <c r="G593" s="94" t="s">
        <v>267</v>
      </c>
      <c r="H593" s="94" t="s">
        <v>11</v>
      </c>
      <c r="I593" s="94" t="s">
        <v>219</v>
      </c>
      <c r="J593" s="94"/>
      <c r="K593" s="96">
        <v>109</v>
      </c>
      <c r="L593" s="96">
        <f>K593*VLOOKUP(H593,dagsoorttabel1,2,FALSE)</f>
        <v>109</v>
      </c>
      <c r="M593" s="97">
        <f>prodnorm63</f>
        <v>0</v>
      </c>
      <c r="N593" s="41">
        <f>dagwerk63</f>
        <v>0</v>
      </c>
      <c r="O593" s="94" t="s">
        <v>106</v>
      </c>
      <c r="P593" s="26">
        <f>uurtarief63</f>
        <v>0</v>
      </c>
      <c r="Q593" s="96" t="e">
        <f>IF(ISBLANK(M593),0,L593/M593)</f>
        <v>#DIV/0!</v>
      </c>
      <c r="R593" s="96" t="e">
        <f>IF(ISBLANK(M593),0,Q593*N593)</f>
        <v>#DIV/0!</v>
      </c>
      <c r="S593" s="26" t="e">
        <f>P593*Q593</f>
        <v>#DIV/0!</v>
      </c>
      <c r="T593" s="96" t="e">
        <f>Q593*dagenperjaar1</f>
        <v>#DIV/0!</v>
      </c>
      <c r="U593" s="27" t="e">
        <f>T593*P593</f>
        <v>#DIV/0!</v>
      </c>
    </row>
    <row r="594" spans="1:21" x14ac:dyDescent="0.3">
      <c r="A594" s="93" t="s">
        <v>753</v>
      </c>
      <c r="B594" s="94" t="s">
        <v>40</v>
      </c>
      <c r="C594" s="94" t="s">
        <v>483</v>
      </c>
      <c r="D594" s="94" t="s">
        <v>934</v>
      </c>
      <c r="E594" s="95" t="s">
        <v>935</v>
      </c>
      <c r="F594" s="94" t="s">
        <v>293</v>
      </c>
      <c r="G594" s="94" t="s">
        <v>267</v>
      </c>
      <c r="H594" s="94" t="s">
        <v>11</v>
      </c>
      <c r="I594" s="94" t="s">
        <v>219</v>
      </c>
      <c r="J594" s="94"/>
      <c r="K594" s="96">
        <v>10</v>
      </c>
      <c r="L594" s="96">
        <f>K594*VLOOKUP(H594,dagsoorttabel1,2,FALSE)</f>
        <v>10</v>
      </c>
      <c r="M594" s="97">
        <f>prodnorm63</f>
        <v>0</v>
      </c>
      <c r="N594" s="41">
        <f>dagwerk63</f>
        <v>0</v>
      </c>
      <c r="O594" s="94" t="s">
        <v>106</v>
      </c>
      <c r="P594" s="26">
        <f>uurtarief63</f>
        <v>0</v>
      </c>
      <c r="Q594" s="96" t="e">
        <f>IF(ISBLANK(M594),0,L594/M594)</f>
        <v>#DIV/0!</v>
      </c>
      <c r="R594" s="96" t="e">
        <f>IF(ISBLANK(M594),0,Q594*N594)</f>
        <v>#DIV/0!</v>
      </c>
      <c r="S594" s="26" t="e">
        <f>P594*Q594</f>
        <v>#DIV/0!</v>
      </c>
      <c r="T594" s="96" t="e">
        <f>Q594*dagenperjaar1</f>
        <v>#DIV/0!</v>
      </c>
      <c r="U594" s="27" t="e">
        <f>T594*P594</f>
        <v>#DIV/0!</v>
      </c>
    </row>
    <row r="595" spans="1:21" x14ac:dyDescent="0.3">
      <c r="A595" s="93" t="s">
        <v>753</v>
      </c>
      <c r="B595" s="94" t="s">
        <v>40</v>
      </c>
      <c r="C595" s="94" t="s">
        <v>483</v>
      </c>
      <c r="D595" s="94" t="s">
        <v>936</v>
      </c>
      <c r="E595" s="95" t="s">
        <v>462</v>
      </c>
      <c r="F595" s="94" t="s">
        <v>928</v>
      </c>
      <c r="G595" s="94" t="s">
        <v>223</v>
      </c>
      <c r="H595" s="94" t="s">
        <v>16</v>
      </c>
      <c r="I595" s="94" t="s">
        <v>219</v>
      </c>
      <c r="J595" s="94"/>
      <c r="K595" s="96">
        <v>8.3000000000000007</v>
      </c>
      <c r="L595" s="96">
        <f>K595*VLOOKUP(H595,dagsoorttabel1,2,FALSE)</f>
        <v>3.3200000000000003</v>
      </c>
      <c r="M595" s="97">
        <f>prodnorm20</f>
        <v>0</v>
      </c>
      <c r="N595" s="41">
        <f>dagwerk20</f>
        <v>0</v>
      </c>
      <c r="O595" s="94" t="s">
        <v>106</v>
      </c>
      <c r="P595" s="26">
        <f>uurtarief20</f>
        <v>0</v>
      </c>
      <c r="Q595" s="96" t="e">
        <f>IF(ISBLANK(M595),0,L595/M595)</f>
        <v>#DIV/0!</v>
      </c>
      <c r="R595" s="96" t="e">
        <f>IF(ISBLANK(M595),0,Q595*N595)</f>
        <v>#DIV/0!</v>
      </c>
      <c r="S595" s="26" t="e">
        <f>P595*Q595</f>
        <v>#DIV/0!</v>
      </c>
      <c r="T595" s="96" t="e">
        <f>Q595*dagenperjaar1</f>
        <v>#DIV/0!</v>
      </c>
      <c r="U595" s="27" t="e">
        <f>T595*P595</f>
        <v>#DIV/0!</v>
      </c>
    </row>
    <row r="596" spans="1:21" x14ac:dyDescent="0.3">
      <c r="A596" s="93" t="s">
        <v>753</v>
      </c>
      <c r="B596" s="94" t="s">
        <v>40</v>
      </c>
      <c r="C596" s="94" t="s">
        <v>483</v>
      </c>
      <c r="D596" s="94" t="s">
        <v>937</v>
      </c>
      <c r="E596" s="95" t="s">
        <v>308</v>
      </c>
      <c r="F596" s="94" t="s">
        <v>928</v>
      </c>
      <c r="G596" s="94" t="s">
        <v>223</v>
      </c>
      <c r="H596" s="94" t="s">
        <v>16</v>
      </c>
      <c r="I596" s="94" t="s">
        <v>219</v>
      </c>
      <c r="J596" s="94"/>
      <c r="K596" s="96">
        <v>12.2</v>
      </c>
      <c r="L596" s="96">
        <f>K596*VLOOKUP(H596,dagsoorttabel1,2,FALSE)</f>
        <v>4.88</v>
      </c>
      <c r="M596" s="97">
        <f>prodnorm20</f>
        <v>0</v>
      </c>
      <c r="N596" s="41">
        <f>dagwerk20</f>
        <v>0</v>
      </c>
      <c r="O596" s="94" t="s">
        <v>106</v>
      </c>
      <c r="P596" s="26">
        <f>uurtarief20</f>
        <v>0</v>
      </c>
      <c r="Q596" s="96" t="e">
        <f>IF(ISBLANK(M596),0,L596/M596)</f>
        <v>#DIV/0!</v>
      </c>
      <c r="R596" s="96" t="e">
        <f>IF(ISBLANK(M596),0,Q596*N596)</f>
        <v>#DIV/0!</v>
      </c>
      <c r="S596" s="26" t="e">
        <f>P596*Q596</f>
        <v>#DIV/0!</v>
      </c>
      <c r="T596" s="96" t="e">
        <f>Q596*dagenperjaar1</f>
        <v>#DIV/0!</v>
      </c>
      <c r="U596" s="27" t="e">
        <f>T596*P596</f>
        <v>#DIV/0!</v>
      </c>
    </row>
    <row r="597" spans="1:21" x14ac:dyDescent="0.3">
      <c r="A597" s="93" t="s">
        <v>753</v>
      </c>
      <c r="B597" s="94" t="s">
        <v>40</v>
      </c>
      <c r="C597" s="94" t="s">
        <v>483</v>
      </c>
      <c r="D597" s="94" t="s">
        <v>938</v>
      </c>
      <c r="E597" s="95" t="s">
        <v>308</v>
      </c>
      <c r="F597" s="94" t="s">
        <v>293</v>
      </c>
      <c r="G597" s="94" t="s">
        <v>225</v>
      </c>
      <c r="H597" s="94" t="s">
        <v>16</v>
      </c>
      <c r="I597" s="94" t="s">
        <v>219</v>
      </c>
      <c r="J597" s="94"/>
      <c r="K597" s="96">
        <v>22</v>
      </c>
      <c r="L597" s="96">
        <f>K597*VLOOKUP(H597,dagsoorttabel1,2,FALSE)</f>
        <v>8.8000000000000007</v>
      </c>
      <c r="M597" s="97">
        <f>prodnorm24</f>
        <v>0</v>
      </c>
      <c r="N597" s="41">
        <f>dagwerk24</f>
        <v>0</v>
      </c>
      <c r="O597" s="94" t="s">
        <v>106</v>
      </c>
      <c r="P597" s="26">
        <f>uurtarief24</f>
        <v>0</v>
      </c>
      <c r="Q597" s="96" t="e">
        <f>IF(ISBLANK(M597),0,L597/M597)</f>
        <v>#DIV/0!</v>
      </c>
      <c r="R597" s="96" t="e">
        <f>IF(ISBLANK(M597),0,Q597*N597)</f>
        <v>#DIV/0!</v>
      </c>
      <c r="S597" s="26" t="e">
        <f>P597*Q597</f>
        <v>#DIV/0!</v>
      </c>
      <c r="T597" s="96" t="e">
        <f>Q597*dagenperjaar1</f>
        <v>#DIV/0!</v>
      </c>
      <c r="U597" s="27" t="e">
        <f>T597*P597</f>
        <v>#DIV/0!</v>
      </c>
    </row>
    <row r="598" spans="1:21" x14ac:dyDescent="0.3">
      <c r="A598" s="93" t="s">
        <v>753</v>
      </c>
      <c r="B598" s="94" t="s">
        <v>40</v>
      </c>
      <c r="C598" s="94" t="s">
        <v>483</v>
      </c>
      <c r="D598" s="94" t="s">
        <v>939</v>
      </c>
      <c r="E598" s="95" t="s">
        <v>338</v>
      </c>
      <c r="F598" s="94" t="s">
        <v>296</v>
      </c>
      <c r="G598" s="94" t="s">
        <v>267</v>
      </c>
      <c r="H598" s="94" t="s">
        <v>11</v>
      </c>
      <c r="I598" s="94" t="s">
        <v>219</v>
      </c>
      <c r="J598" s="94"/>
      <c r="K598" s="96">
        <v>34</v>
      </c>
      <c r="L598" s="96">
        <f>K598*VLOOKUP(H598,dagsoorttabel1,2,FALSE)</f>
        <v>34</v>
      </c>
      <c r="M598" s="97">
        <f>prodnorm63</f>
        <v>0</v>
      </c>
      <c r="N598" s="41">
        <f>dagwerk63</f>
        <v>0</v>
      </c>
      <c r="O598" s="94" t="s">
        <v>106</v>
      </c>
      <c r="P598" s="26">
        <f>uurtarief63</f>
        <v>0</v>
      </c>
      <c r="Q598" s="96" t="e">
        <f>IF(ISBLANK(M598),0,L598/M598)</f>
        <v>#DIV/0!</v>
      </c>
      <c r="R598" s="96" t="e">
        <f>IF(ISBLANK(M598),0,Q598*N598)</f>
        <v>#DIV/0!</v>
      </c>
      <c r="S598" s="26" t="e">
        <f>P598*Q598</f>
        <v>#DIV/0!</v>
      </c>
      <c r="T598" s="96" t="e">
        <f>Q598*dagenperjaar1</f>
        <v>#DIV/0!</v>
      </c>
      <c r="U598" s="27" t="e">
        <f>T598*P598</f>
        <v>#DIV/0!</v>
      </c>
    </row>
    <row r="599" spans="1:21" x14ac:dyDescent="0.3">
      <c r="A599" s="93" t="s">
        <v>753</v>
      </c>
      <c r="B599" s="94" t="s">
        <v>40</v>
      </c>
      <c r="C599" s="94" t="s">
        <v>483</v>
      </c>
      <c r="D599" s="94" t="s">
        <v>940</v>
      </c>
      <c r="E599" s="95" t="s">
        <v>306</v>
      </c>
      <c r="F599" s="94" t="s">
        <v>296</v>
      </c>
      <c r="G599" s="94" t="s">
        <v>267</v>
      </c>
      <c r="H599" s="94" t="s">
        <v>11</v>
      </c>
      <c r="I599" s="94" t="s">
        <v>219</v>
      </c>
      <c r="J599" s="94"/>
      <c r="K599" s="96">
        <v>24</v>
      </c>
      <c r="L599" s="96">
        <f>K599*VLOOKUP(H599,dagsoorttabel1,2,FALSE)</f>
        <v>24</v>
      </c>
      <c r="M599" s="97">
        <f>prodnorm63</f>
        <v>0</v>
      </c>
      <c r="N599" s="41">
        <f>dagwerk63</f>
        <v>0</v>
      </c>
      <c r="O599" s="94" t="s">
        <v>106</v>
      </c>
      <c r="P599" s="26">
        <f>uurtarief63</f>
        <v>0</v>
      </c>
      <c r="Q599" s="96" t="e">
        <f>IF(ISBLANK(M599),0,L599/M599)</f>
        <v>#DIV/0!</v>
      </c>
      <c r="R599" s="96" t="e">
        <f>IF(ISBLANK(M599),0,Q599*N599)</f>
        <v>#DIV/0!</v>
      </c>
      <c r="S599" s="26" t="e">
        <f>P599*Q599</f>
        <v>#DIV/0!</v>
      </c>
      <c r="T599" s="96" t="e">
        <f>Q599*dagenperjaar1</f>
        <v>#DIV/0!</v>
      </c>
      <c r="U599" s="27" t="e">
        <f>T599*P599</f>
        <v>#DIV/0!</v>
      </c>
    </row>
    <row r="600" spans="1:21" x14ac:dyDescent="0.3">
      <c r="A600" s="93" t="s">
        <v>753</v>
      </c>
      <c r="B600" s="94" t="s">
        <v>40</v>
      </c>
      <c r="C600" s="94" t="s">
        <v>483</v>
      </c>
      <c r="D600" s="94" t="s">
        <v>941</v>
      </c>
      <c r="E600" s="95" t="s">
        <v>303</v>
      </c>
      <c r="F600" s="94" t="s">
        <v>657</v>
      </c>
      <c r="G600" s="94" t="s">
        <v>265</v>
      </c>
      <c r="H600" s="94" t="s">
        <v>11</v>
      </c>
      <c r="I600" s="94" t="s">
        <v>219</v>
      </c>
      <c r="J600" s="94"/>
      <c r="K600" s="96">
        <v>16</v>
      </c>
      <c r="L600" s="96">
        <f>K600*VLOOKUP(H600,dagsoorttabel1,2,FALSE)</f>
        <v>16</v>
      </c>
      <c r="M600" s="97">
        <f>prodnorm61</f>
        <v>0</v>
      </c>
      <c r="N600" s="41">
        <f>dagwerk61</f>
        <v>0</v>
      </c>
      <c r="O600" s="94" t="s">
        <v>106</v>
      </c>
      <c r="P600" s="26">
        <f>uurtarief61</f>
        <v>0</v>
      </c>
      <c r="Q600" s="96" t="e">
        <f>IF(ISBLANK(M600),0,L600/M600)</f>
        <v>#DIV/0!</v>
      </c>
      <c r="R600" s="96" t="e">
        <f>IF(ISBLANK(M600),0,Q600*N600)</f>
        <v>#DIV/0!</v>
      </c>
      <c r="S600" s="26" t="e">
        <f>P600*Q600</f>
        <v>#DIV/0!</v>
      </c>
      <c r="T600" s="96" t="e">
        <f>Q600*dagenperjaar1</f>
        <v>#DIV/0!</v>
      </c>
      <c r="U600" s="27" t="e">
        <f>T600*P600</f>
        <v>#DIV/0!</v>
      </c>
    </row>
    <row r="601" spans="1:21" x14ac:dyDescent="0.3">
      <c r="A601" s="93" t="s">
        <v>753</v>
      </c>
      <c r="B601" s="94" t="s">
        <v>40</v>
      </c>
      <c r="C601" s="94" t="s">
        <v>483</v>
      </c>
      <c r="D601" s="94" t="s">
        <v>942</v>
      </c>
      <c r="E601" s="95" t="s">
        <v>315</v>
      </c>
      <c r="F601" s="94" t="s">
        <v>316</v>
      </c>
      <c r="G601" s="94" t="s">
        <v>261</v>
      </c>
      <c r="H601" s="94" t="s">
        <v>11</v>
      </c>
      <c r="I601" s="94" t="s">
        <v>219</v>
      </c>
      <c r="J601" s="94"/>
      <c r="K601" s="96">
        <v>6</v>
      </c>
      <c r="L601" s="96">
        <f>K601*VLOOKUP(H601,dagsoorttabel1,2,FALSE)</f>
        <v>6</v>
      </c>
      <c r="M601" s="97">
        <f>prodnorm56</f>
        <v>0</v>
      </c>
      <c r="N601" s="41">
        <f>dagwerk56</f>
        <v>0</v>
      </c>
      <c r="O601" s="94" t="s">
        <v>106</v>
      </c>
      <c r="P601" s="26">
        <f>uurtarief56</f>
        <v>0</v>
      </c>
      <c r="Q601" s="96" t="e">
        <f>IF(ISBLANK(M601),0,L601/M601)</f>
        <v>#DIV/0!</v>
      </c>
      <c r="R601" s="96" t="e">
        <f>IF(ISBLANK(M601),0,Q601*N601)</f>
        <v>#DIV/0!</v>
      </c>
      <c r="S601" s="26" t="e">
        <f>P601*Q601</f>
        <v>#DIV/0!</v>
      </c>
      <c r="T601" s="96" t="e">
        <f>Q601*dagenperjaar1</f>
        <v>#DIV/0!</v>
      </c>
      <c r="U601" s="27" t="e">
        <f>T601*P601</f>
        <v>#DIV/0!</v>
      </c>
    </row>
    <row r="602" spans="1:21" x14ac:dyDescent="0.3">
      <c r="A602" s="93" t="s">
        <v>753</v>
      </c>
      <c r="B602" s="94" t="s">
        <v>40</v>
      </c>
      <c r="C602" s="94" t="s">
        <v>483</v>
      </c>
      <c r="D602" s="94" t="s">
        <v>943</v>
      </c>
      <c r="E602" s="95" t="s">
        <v>315</v>
      </c>
      <c r="F602" s="94" t="s">
        <v>316</v>
      </c>
      <c r="G602" s="94" t="s">
        <v>261</v>
      </c>
      <c r="H602" s="94" t="s">
        <v>11</v>
      </c>
      <c r="I602" s="94" t="s">
        <v>219</v>
      </c>
      <c r="J602" s="94"/>
      <c r="K602" s="96">
        <v>6</v>
      </c>
      <c r="L602" s="96">
        <f>K602*VLOOKUP(H602,dagsoorttabel1,2,FALSE)</f>
        <v>6</v>
      </c>
      <c r="M602" s="97">
        <f>prodnorm56</f>
        <v>0</v>
      </c>
      <c r="N602" s="41">
        <f>dagwerk56</f>
        <v>0</v>
      </c>
      <c r="O602" s="94" t="s">
        <v>106</v>
      </c>
      <c r="P602" s="26">
        <f>uurtarief56</f>
        <v>0</v>
      </c>
      <c r="Q602" s="96" t="e">
        <f>IF(ISBLANK(M602),0,L602/M602)</f>
        <v>#DIV/0!</v>
      </c>
      <c r="R602" s="96" t="e">
        <f>IF(ISBLANK(M602),0,Q602*N602)</f>
        <v>#DIV/0!</v>
      </c>
      <c r="S602" s="26" t="e">
        <f>P602*Q602</f>
        <v>#DIV/0!</v>
      </c>
      <c r="T602" s="96" t="e">
        <f>Q602*dagenperjaar1</f>
        <v>#DIV/0!</v>
      </c>
      <c r="U602" s="27" t="e">
        <f>T602*P602</f>
        <v>#DIV/0!</v>
      </c>
    </row>
    <row r="603" spans="1:21" x14ac:dyDescent="0.3">
      <c r="A603" s="93" t="s">
        <v>753</v>
      </c>
      <c r="B603" s="94" t="s">
        <v>40</v>
      </c>
      <c r="C603" s="94" t="s">
        <v>483</v>
      </c>
      <c r="D603" s="94" t="s">
        <v>944</v>
      </c>
      <c r="E603" s="95" t="s">
        <v>303</v>
      </c>
      <c r="F603" s="94" t="s">
        <v>909</v>
      </c>
      <c r="G603" s="94" t="s">
        <v>265</v>
      </c>
      <c r="H603" s="94" t="s">
        <v>11</v>
      </c>
      <c r="I603" s="94" t="s">
        <v>219</v>
      </c>
      <c r="J603" s="94"/>
      <c r="K603" s="96">
        <v>16</v>
      </c>
      <c r="L603" s="96">
        <f>K603*VLOOKUP(H603,dagsoorttabel1,2,FALSE)</f>
        <v>16</v>
      </c>
      <c r="M603" s="97">
        <f>prodnorm61</f>
        <v>0</v>
      </c>
      <c r="N603" s="41">
        <f>dagwerk61</f>
        <v>0</v>
      </c>
      <c r="O603" s="94" t="s">
        <v>106</v>
      </c>
      <c r="P603" s="26">
        <f>uurtarief61</f>
        <v>0</v>
      </c>
      <c r="Q603" s="96" t="e">
        <f>IF(ISBLANK(M603),0,L603/M603)</f>
        <v>#DIV/0!</v>
      </c>
      <c r="R603" s="96" t="e">
        <f>IF(ISBLANK(M603),0,Q603*N603)</f>
        <v>#DIV/0!</v>
      </c>
      <c r="S603" s="26" t="e">
        <f>P603*Q603</f>
        <v>#DIV/0!</v>
      </c>
      <c r="T603" s="96" t="e">
        <f>Q603*dagenperjaar1</f>
        <v>#DIV/0!</v>
      </c>
      <c r="U603" s="27" t="e">
        <f>T603*P603</f>
        <v>#DIV/0!</v>
      </c>
    </row>
    <row r="604" spans="1:21" x14ac:dyDescent="0.3">
      <c r="A604" s="93" t="s">
        <v>753</v>
      </c>
      <c r="B604" s="94" t="s">
        <v>40</v>
      </c>
      <c r="C604" s="94" t="s">
        <v>483</v>
      </c>
      <c r="D604" s="94" t="s">
        <v>945</v>
      </c>
      <c r="E604" s="95" t="s">
        <v>303</v>
      </c>
      <c r="F604" s="94" t="s">
        <v>909</v>
      </c>
      <c r="G604" s="94" t="s">
        <v>265</v>
      </c>
      <c r="H604" s="94" t="s">
        <v>11</v>
      </c>
      <c r="I604" s="94" t="s">
        <v>219</v>
      </c>
      <c r="J604" s="94"/>
      <c r="K604" s="96">
        <v>16</v>
      </c>
      <c r="L604" s="96">
        <f>K604*VLOOKUP(H604,dagsoorttabel1,2,FALSE)</f>
        <v>16</v>
      </c>
      <c r="M604" s="97">
        <f>prodnorm61</f>
        <v>0</v>
      </c>
      <c r="N604" s="41">
        <f>dagwerk61</f>
        <v>0</v>
      </c>
      <c r="O604" s="94" t="s">
        <v>106</v>
      </c>
      <c r="P604" s="26">
        <f>uurtarief61</f>
        <v>0</v>
      </c>
      <c r="Q604" s="96" t="e">
        <f>IF(ISBLANK(M604),0,L604/M604)</f>
        <v>#DIV/0!</v>
      </c>
      <c r="R604" s="96" t="e">
        <f>IF(ISBLANK(M604),0,Q604*N604)</f>
        <v>#DIV/0!</v>
      </c>
      <c r="S604" s="26" t="e">
        <f>P604*Q604</f>
        <v>#DIV/0!</v>
      </c>
      <c r="T604" s="96" t="e">
        <f>Q604*dagenperjaar1</f>
        <v>#DIV/0!</v>
      </c>
      <c r="U604" s="27" t="e">
        <f>T604*P604</f>
        <v>#DIV/0!</v>
      </c>
    </row>
    <row r="605" spans="1:21" x14ac:dyDescent="0.3">
      <c r="A605" s="93" t="s">
        <v>753</v>
      </c>
      <c r="B605" s="94" t="s">
        <v>40</v>
      </c>
      <c r="C605" s="94" t="s">
        <v>483</v>
      </c>
      <c r="D605" s="94" t="s">
        <v>946</v>
      </c>
      <c r="E605" s="95" t="s">
        <v>315</v>
      </c>
      <c r="F605" s="94" t="s">
        <v>316</v>
      </c>
      <c r="G605" s="94" t="s">
        <v>261</v>
      </c>
      <c r="H605" s="94" t="s">
        <v>11</v>
      </c>
      <c r="I605" s="94" t="s">
        <v>219</v>
      </c>
      <c r="J605" s="94"/>
      <c r="K605" s="96">
        <v>6</v>
      </c>
      <c r="L605" s="96">
        <f>K605*VLOOKUP(H605,dagsoorttabel1,2,FALSE)</f>
        <v>6</v>
      </c>
      <c r="M605" s="97">
        <f>prodnorm56</f>
        <v>0</v>
      </c>
      <c r="N605" s="41">
        <f>dagwerk56</f>
        <v>0</v>
      </c>
      <c r="O605" s="94" t="s">
        <v>106</v>
      </c>
      <c r="P605" s="26">
        <f>uurtarief56</f>
        <v>0</v>
      </c>
      <c r="Q605" s="96" t="e">
        <f>IF(ISBLANK(M605),0,L605/M605)</f>
        <v>#DIV/0!</v>
      </c>
      <c r="R605" s="96" t="e">
        <f>IF(ISBLANK(M605),0,Q605*N605)</f>
        <v>#DIV/0!</v>
      </c>
      <c r="S605" s="26" t="e">
        <f>P605*Q605</f>
        <v>#DIV/0!</v>
      </c>
      <c r="T605" s="96" t="e">
        <f>Q605*dagenperjaar1</f>
        <v>#DIV/0!</v>
      </c>
      <c r="U605" s="27" t="e">
        <f>T605*P605</f>
        <v>#DIV/0!</v>
      </c>
    </row>
    <row r="606" spans="1:21" x14ac:dyDescent="0.3">
      <c r="A606" s="93" t="s">
        <v>753</v>
      </c>
      <c r="B606" s="94" t="s">
        <v>40</v>
      </c>
      <c r="C606" s="94" t="s">
        <v>483</v>
      </c>
      <c r="D606" s="94" t="s">
        <v>947</v>
      </c>
      <c r="E606" s="95" t="s">
        <v>315</v>
      </c>
      <c r="F606" s="94" t="s">
        <v>316</v>
      </c>
      <c r="G606" s="94" t="s">
        <v>261</v>
      </c>
      <c r="H606" s="94" t="s">
        <v>11</v>
      </c>
      <c r="I606" s="94" t="s">
        <v>219</v>
      </c>
      <c r="J606" s="94"/>
      <c r="K606" s="96">
        <v>6</v>
      </c>
      <c r="L606" s="96">
        <f>K606*VLOOKUP(H606,dagsoorttabel1,2,FALSE)</f>
        <v>6</v>
      </c>
      <c r="M606" s="97">
        <f>prodnorm56</f>
        <v>0</v>
      </c>
      <c r="N606" s="41">
        <f>dagwerk56</f>
        <v>0</v>
      </c>
      <c r="O606" s="94" t="s">
        <v>106</v>
      </c>
      <c r="P606" s="26">
        <f>uurtarief56</f>
        <v>0</v>
      </c>
      <c r="Q606" s="96" t="e">
        <f>IF(ISBLANK(M606),0,L606/M606)</f>
        <v>#DIV/0!</v>
      </c>
      <c r="R606" s="96" t="e">
        <f>IF(ISBLANK(M606),0,Q606*N606)</f>
        <v>#DIV/0!</v>
      </c>
      <c r="S606" s="26" t="e">
        <f>P606*Q606</f>
        <v>#DIV/0!</v>
      </c>
      <c r="T606" s="96" t="e">
        <f>Q606*dagenperjaar1</f>
        <v>#DIV/0!</v>
      </c>
      <c r="U606" s="27" t="e">
        <f>T606*P606</f>
        <v>#DIV/0!</v>
      </c>
    </row>
    <row r="607" spans="1:21" x14ac:dyDescent="0.3">
      <c r="A607" s="93" t="s">
        <v>753</v>
      </c>
      <c r="B607" s="94" t="s">
        <v>40</v>
      </c>
      <c r="C607" s="94" t="s">
        <v>483</v>
      </c>
      <c r="D607" s="94" t="s">
        <v>948</v>
      </c>
      <c r="E607" s="95" t="s">
        <v>303</v>
      </c>
      <c r="F607" s="94" t="s">
        <v>657</v>
      </c>
      <c r="G607" s="94" t="s">
        <v>265</v>
      </c>
      <c r="H607" s="94" t="s">
        <v>11</v>
      </c>
      <c r="I607" s="94" t="s">
        <v>219</v>
      </c>
      <c r="J607" s="94"/>
      <c r="K607" s="96">
        <v>18</v>
      </c>
      <c r="L607" s="96">
        <f>K607*VLOOKUP(H607,dagsoorttabel1,2,FALSE)</f>
        <v>18</v>
      </c>
      <c r="M607" s="97">
        <f>prodnorm61</f>
        <v>0</v>
      </c>
      <c r="N607" s="41">
        <f>dagwerk61</f>
        <v>0</v>
      </c>
      <c r="O607" s="94" t="s">
        <v>106</v>
      </c>
      <c r="P607" s="26">
        <f>uurtarief61</f>
        <v>0</v>
      </c>
      <c r="Q607" s="96" t="e">
        <f>IF(ISBLANK(M607),0,L607/M607)</f>
        <v>#DIV/0!</v>
      </c>
      <c r="R607" s="96" t="e">
        <f>IF(ISBLANK(M607),0,Q607*N607)</f>
        <v>#DIV/0!</v>
      </c>
      <c r="S607" s="26" t="e">
        <f>P607*Q607</f>
        <v>#DIV/0!</v>
      </c>
      <c r="T607" s="96" t="e">
        <f>Q607*dagenperjaar1</f>
        <v>#DIV/0!</v>
      </c>
      <c r="U607" s="27" t="e">
        <f>T607*P607</f>
        <v>#DIV/0!</v>
      </c>
    </row>
    <row r="608" spans="1:21" x14ac:dyDescent="0.3">
      <c r="A608" s="93" t="s">
        <v>753</v>
      </c>
      <c r="B608" s="94" t="s">
        <v>40</v>
      </c>
      <c r="C608" s="94" t="s">
        <v>483</v>
      </c>
      <c r="D608" s="94" t="s">
        <v>949</v>
      </c>
      <c r="E608" s="95" t="s">
        <v>306</v>
      </c>
      <c r="F608" s="94" t="s">
        <v>296</v>
      </c>
      <c r="G608" s="94" t="s">
        <v>267</v>
      </c>
      <c r="H608" s="94" t="s">
        <v>11</v>
      </c>
      <c r="I608" s="94" t="s">
        <v>219</v>
      </c>
      <c r="J608" s="94"/>
      <c r="K608" s="96">
        <v>30</v>
      </c>
      <c r="L608" s="96">
        <f>K608*VLOOKUP(H608,dagsoorttabel1,2,FALSE)</f>
        <v>30</v>
      </c>
      <c r="M608" s="97">
        <f>prodnorm63</f>
        <v>0</v>
      </c>
      <c r="N608" s="41">
        <f>dagwerk63</f>
        <v>0</v>
      </c>
      <c r="O608" s="94" t="s">
        <v>106</v>
      </c>
      <c r="P608" s="26">
        <f>uurtarief63</f>
        <v>0</v>
      </c>
      <c r="Q608" s="96" t="e">
        <f>IF(ISBLANK(M608),0,L608/M608)</f>
        <v>#DIV/0!</v>
      </c>
      <c r="R608" s="96" t="e">
        <f>IF(ISBLANK(M608),0,Q608*N608)</f>
        <v>#DIV/0!</v>
      </c>
      <c r="S608" s="26" t="e">
        <f>P608*Q608</f>
        <v>#DIV/0!</v>
      </c>
      <c r="T608" s="96" t="e">
        <f>Q608*dagenperjaar1</f>
        <v>#DIV/0!</v>
      </c>
      <c r="U608" s="27" t="e">
        <f>T608*P608</f>
        <v>#DIV/0!</v>
      </c>
    </row>
    <row r="609" spans="1:21" x14ac:dyDescent="0.3">
      <c r="A609" s="93" t="s">
        <v>753</v>
      </c>
      <c r="B609" s="94" t="s">
        <v>40</v>
      </c>
      <c r="C609" s="94" t="s">
        <v>483</v>
      </c>
      <c r="D609" s="94" t="s">
        <v>950</v>
      </c>
      <c r="E609" s="95" t="s">
        <v>338</v>
      </c>
      <c r="F609" s="94" t="s">
        <v>296</v>
      </c>
      <c r="G609" s="94" t="s">
        <v>267</v>
      </c>
      <c r="H609" s="94" t="s">
        <v>11</v>
      </c>
      <c r="I609" s="94" t="s">
        <v>219</v>
      </c>
      <c r="J609" s="94"/>
      <c r="K609" s="96">
        <v>88</v>
      </c>
      <c r="L609" s="96">
        <f>K609*VLOOKUP(H609,dagsoorttabel1,2,FALSE)</f>
        <v>88</v>
      </c>
      <c r="M609" s="97">
        <f>prodnorm63</f>
        <v>0</v>
      </c>
      <c r="N609" s="41">
        <f>dagwerk63</f>
        <v>0</v>
      </c>
      <c r="O609" s="94" t="s">
        <v>106</v>
      </c>
      <c r="P609" s="26">
        <f>uurtarief63</f>
        <v>0</v>
      </c>
      <c r="Q609" s="96" t="e">
        <f>IF(ISBLANK(M609),0,L609/M609)</f>
        <v>#DIV/0!</v>
      </c>
      <c r="R609" s="96" t="e">
        <f>IF(ISBLANK(M609),0,Q609*N609)</f>
        <v>#DIV/0!</v>
      </c>
      <c r="S609" s="26" t="e">
        <f>P609*Q609</f>
        <v>#DIV/0!</v>
      </c>
      <c r="T609" s="96" t="e">
        <f>Q609*dagenperjaar1</f>
        <v>#DIV/0!</v>
      </c>
      <c r="U609" s="27" t="e">
        <f>T609*P609</f>
        <v>#DIV/0!</v>
      </c>
    </row>
    <row r="610" spans="1:21" x14ac:dyDescent="0.3">
      <c r="A610" s="93" t="s">
        <v>753</v>
      </c>
      <c r="B610" s="94" t="s">
        <v>40</v>
      </c>
      <c r="C610" s="94" t="s">
        <v>483</v>
      </c>
      <c r="D610" s="94" t="s">
        <v>951</v>
      </c>
      <c r="E610" s="95" t="s">
        <v>338</v>
      </c>
      <c r="F610" s="94" t="s">
        <v>296</v>
      </c>
      <c r="G610" s="94" t="s">
        <v>267</v>
      </c>
      <c r="H610" s="94" t="s">
        <v>11</v>
      </c>
      <c r="I610" s="94" t="s">
        <v>219</v>
      </c>
      <c r="J610" s="94"/>
      <c r="K610" s="96">
        <v>28</v>
      </c>
      <c r="L610" s="96">
        <f>K610*VLOOKUP(H610,dagsoorttabel1,2,FALSE)</f>
        <v>28</v>
      </c>
      <c r="M610" s="97">
        <f>prodnorm63</f>
        <v>0</v>
      </c>
      <c r="N610" s="41">
        <f>dagwerk63</f>
        <v>0</v>
      </c>
      <c r="O610" s="94" t="s">
        <v>106</v>
      </c>
      <c r="P610" s="26">
        <f>uurtarief63</f>
        <v>0</v>
      </c>
      <c r="Q610" s="96" t="e">
        <f>IF(ISBLANK(M610),0,L610/M610)</f>
        <v>#DIV/0!</v>
      </c>
      <c r="R610" s="96" t="e">
        <f>IF(ISBLANK(M610),0,Q610*N610)</f>
        <v>#DIV/0!</v>
      </c>
      <c r="S610" s="26" t="e">
        <f>P610*Q610</f>
        <v>#DIV/0!</v>
      </c>
      <c r="T610" s="96" t="e">
        <f>Q610*dagenperjaar1</f>
        <v>#DIV/0!</v>
      </c>
      <c r="U610" s="27" t="e">
        <f>T610*P610</f>
        <v>#DIV/0!</v>
      </c>
    </row>
    <row r="611" spans="1:21" x14ac:dyDescent="0.3">
      <c r="A611" s="93" t="s">
        <v>753</v>
      </c>
      <c r="B611" s="94" t="s">
        <v>40</v>
      </c>
      <c r="C611" s="94" t="s">
        <v>483</v>
      </c>
      <c r="D611" s="94" t="s">
        <v>952</v>
      </c>
      <c r="E611" s="95" t="s">
        <v>338</v>
      </c>
      <c r="F611" s="94" t="s">
        <v>296</v>
      </c>
      <c r="G611" s="94" t="s">
        <v>267</v>
      </c>
      <c r="H611" s="94" t="s">
        <v>11</v>
      </c>
      <c r="I611" s="94" t="s">
        <v>219</v>
      </c>
      <c r="J611" s="94"/>
      <c r="K611" s="96">
        <v>20</v>
      </c>
      <c r="L611" s="96">
        <f>K611*VLOOKUP(H611,dagsoorttabel1,2,FALSE)</f>
        <v>20</v>
      </c>
      <c r="M611" s="97">
        <f>prodnorm63</f>
        <v>0</v>
      </c>
      <c r="N611" s="41">
        <f>dagwerk63</f>
        <v>0</v>
      </c>
      <c r="O611" s="94" t="s">
        <v>106</v>
      </c>
      <c r="P611" s="26">
        <f>uurtarief63</f>
        <v>0</v>
      </c>
      <c r="Q611" s="96" t="e">
        <f>IF(ISBLANK(M611),0,L611/M611)</f>
        <v>#DIV/0!</v>
      </c>
      <c r="R611" s="96" t="e">
        <f>IF(ISBLANK(M611),0,Q611*N611)</f>
        <v>#DIV/0!</v>
      </c>
      <c r="S611" s="26" t="e">
        <f>P611*Q611</f>
        <v>#DIV/0!</v>
      </c>
      <c r="T611" s="96" t="e">
        <f>Q611*dagenperjaar1</f>
        <v>#DIV/0!</v>
      </c>
      <c r="U611" s="27" t="e">
        <f>T611*P611</f>
        <v>#DIV/0!</v>
      </c>
    </row>
    <row r="612" spans="1:21" x14ac:dyDescent="0.3">
      <c r="A612" s="93" t="s">
        <v>753</v>
      </c>
      <c r="B612" s="94" t="s">
        <v>40</v>
      </c>
      <c r="C612" s="94" t="s">
        <v>953</v>
      </c>
      <c r="D612" s="94" t="s">
        <v>954</v>
      </c>
      <c r="E612" s="95" t="s">
        <v>295</v>
      </c>
      <c r="F612" s="94" t="s">
        <v>296</v>
      </c>
      <c r="G612" s="94" t="s">
        <v>241</v>
      </c>
      <c r="H612" s="94" t="s">
        <v>11</v>
      </c>
      <c r="I612" s="94" t="s">
        <v>219</v>
      </c>
      <c r="J612" s="94"/>
      <c r="K612" s="96">
        <v>55</v>
      </c>
      <c r="L612" s="96">
        <f>K612*VLOOKUP(H612,dagsoorttabel1,2,FALSE)</f>
        <v>55</v>
      </c>
      <c r="M612" s="97">
        <f>prodnorm38</f>
        <v>0</v>
      </c>
      <c r="N612" s="41">
        <f>dagwerk38</f>
        <v>0</v>
      </c>
      <c r="O612" s="94" t="s">
        <v>106</v>
      </c>
      <c r="P612" s="26">
        <f>uurtarief38</f>
        <v>0</v>
      </c>
      <c r="Q612" s="96" t="e">
        <f>IF(ISBLANK(M612),0,L612/M612)</f>
        <v>#DIV/0!</v>
      </c>
      <c r="R612" s="96" t="e">
        <f>IF(ISBLANK(M612),0,Q612*N612)</f>
        <v>#DIV/0!</v>
      </c>
      <c r="S612" s="26" t="e">
        <f>P612*Q612</f>
        <v>#DIV/0!</v>
      </c>
      <c r="T612" s="96" t="e">
        <f>Q612*dagenperjaar1</f>
        <v>#DIV/0!</v>
      </c>
      <c r="U612" s="27" t="e">
        <f>T612*P612</f>
        <v>#DIV/0!</v>
      </c>
    </row>
    <row r="613" spans="1:21" x14ac:dyDescent="0.3">
      <c r="A613" s="93" t="s">
        <v>753</v>
      </c>
      <c r="B613" s="94" t="s">
        <v>40</v>
      </c>
      <c r="C613" s="94" t="s">
        <v>953</v>
      </c>
      <c r="D613" s="94" t="s">
        <v>955</v>
      </c>
      <c r="E613" s="95" t="s">
        <v>295</v>
      </c>
      <c r="F613" s="94" t="s">
        <v>296</v>
      </c>
      <c r="G613" s="94" t="s">
        <v>241</v>
      </c>
      <c r="H613" s="94" t="s">
        <v>11</v>
      </c>
      <c r="I613" s="94" t="s">
        <v>219</v>
      </c>
      <c r="J613" s="94"/>
      <c r="K613" s="96">
        <v>55</v>
      </c>
      <c r="L613" s="96">
        <f>K613*VLOOKUP(H613,dagsoorttabel1,2,FALSE)</f>
        <v>55</v>
      </c>
      <c r="M613" s="97">
        <f>prodnorm38</f>
        <v>0</v>
      </c>
      <c r="N613" s="41">
        <f>dagwerk38</f>
        <v>0</v>
      </c>
      <c r="O613" s="94" t="s">
        <v>106</v>
      </c>
      <c r="P613" s="26">
        <f>uurtarief38</f>
        <v>0</v>
      </c>
      <c r="Q613" s="96" t="e">
        <f>IF(ISBLANK(M613),0,L613/M613)</f>
        <v>#DIV/0!</v>
      </c>
      <c r="R613" s="96" t="e">
        <f>IF(ISBLANK(M613),0,Q613*N613)</f>
        <v>#DIV/0!</v>
      </c>
      <c r="S613" s="26" t="e">
        <f>P613*Q613</f>
        <v>#DIV/0!</v>
      </c>
      <c r="T613" s="96" t="e">
        <f>Q613*dagenperjaar1</f>
        <v>#DIV/0!</v>
      </c>
      <c r="U613" s="27" t="e">
        <f>T613*P613</f>
        <v>#DIV/0!</v>
      </c>
    </row>
    <row r="614" spans="1:21" x14ac:dyDescent="0.3">
      <c r="A614" s="93" t="s">
        <v>753</v>
      </c>
      <c r="B614" s="94" t="s">
        <v>40</v>
      </c>
      <c r="C614" s="94" t="s">
        <v>953</v>
      </c>
      <c r="D614" s="94" t="s">
        <v>956</v>
      </c>
      <c r="E614" s="95" t="s">
        <v>295</v>
      </c>
      <c r="F614" s="94" t="s">
        <v>296</v>
      </c>
      <c r="G614" s="94" t="s">
        <v>241</v>
      </c>
      <c r="H614" s="94" t="s">
        <v>11</v>
      </c>
      <c r="I614" s="94" t="s">
        <v>219</v>
      </c>
      <c r="J614" s="94"/>
      <c r="K614" s="96">
        <v>55</v>
      </c>
      <c r="L614" s="96">
        <f>K614*VLOOKUP(H614,dagsoorttabel1,2,FALSE)</f>
        <v>55</v>
      </c>
      <c r="M614" s="97">
        <f>prodnorm38</f>
        <v>0</v>
      </c>
      <c r="N614" s="41">
        <f>dagwerk38</f>
        <v>0</v>
      </c>
      <c r="O614" s="94" t="s">
        <v>106</v>
      </c>
      <c r="P614" s="26">
        <f>uurtarief38</f>
        <v>0</v>
      </c>
      <c r="Q614" s="96" t="e">
        <f>IF(ISBLANK(M614),0,L614/M614)</f>
        <v>#DIV/0!</v>
      </c>
      <c r="R614" s="96" t="e">
        <f>IF(ISBLANK(M614),0,Q614*N614)</f>
        <v>#DIV/0!</v>
      </c>
      <c r="S614" s="26" t="e">
        <f>P614*Q614</f>
        <v>#DIV/0!</v>
      </c>
      <c r="T614" s="96" t="e">
        <f>Q614*dagenperjaar1</f>
        <v>#DIV/0!</v>
      </c>
      <c r="U614" s="27" t="e">
        <f>T614*P614</f>
        <v>#DIV/0!</v>
      </c>
    </row>
    <row r="615" spans="1:21" x14ac:dyDescent="0.3">
      <c r="A615" s="93" t="s">
        <v>753</v>
      </c>
      <c r="B615" s="94" t="s">
        <v>40</v>
      </c>
      <c r="C615" s="94" t="s">
        <v>953</v>
      </c>
      <c r="D615" s="94" t="s">
        <v>957</v>
      </c>
      <c r="E615" s="95" t="s">
        <v>295</v>
      </c>
      <c r="F615" s="94" t="s">
        <v>296</v>
      </c>
      <c r="G615" s="94" t="s">
        <v>241</v>
      </c>
      <c r="H615" s="94" t="s">
        <v>11</v>
      </c>
      <c r="I615" s="94" t="s">
        <v>219</v>
      </c>
      <c r="J615" s="94"/>
      <c r="K615" s="96">
        <v>55</v>
      </c>
      <c r="L615" s="96">
        <f>K615*VLOOKUP(H615,dagsoorttabel1,2,FALSE)</f>
        <v>55</v>
      </c>
      <c r="M615" s="97">
        <f>prodnorm38</f>
        <v>0</v>
      </c>
      <c r="N615" s="41">
        <f>dagwerk38</f>
        <v>0</v>
      </c>
      <c r="O615" s="94" t="s">
        <v>106</v>
      </c>
      <c r="P615" s="26">
        <f>uurtarief38</f>
        <v>0</v>
      </c>
      <c r="Q615" s="96" t="e">
        <f>IF(ISBLANK(M615),0,L615/M615)</f>
        <v>#DIV/0!</v>
      </c>
      <c r="R615" s="96" t="e">
        <f>IF(ISBLANK(M615),0,Q615*N615)</f>
        <v>#DIV/0!</v>
      </c>
      <c r="S615" s="26" t="e">
        <f>P615*Q615</f>
        <v>#DIV/0!</v>
      </c>
      <c r="T615" s="96" t="e">
        <f>Q615*dagenperjaar1</f>
        <v>#DIV/0!</v>
      </c>
      <c r="U615" s="27" t="e">
        <f>T615*P615</f>
        <v>#DIV/0!</v>
      </c>
    </row>
    <row r="616" spans="1:21" x14ac:dyDescent="0.3">
      <c r="A616" s="93" t="s">
        <v>753</v>
      </c>
      <c r="B616" s="94" t="s">
        <v>40</v>
      </c>
      <c r="C616" s="94" t="s">
        <v>953</v>
      </c>
      <c r="D616" s="94" t="s">
        <v>958</v>
      </c>
      <c r="E616" s="95" t="s">
        <v>295</v>
      </c>
      <c r="F616" s="94" t="s">
        <v>296</v>
      </c>
      <c r="G616" s="94" t="s">
        <v>241</v>
      </c>
      <c r="H616" s="94" t="s">
        <v>11</v>
      </c>
      <c r="I616" s="94" t="s">
        <v>219</v>
      </c>
      <c r="J616" s="94"/>
      <c r="K616" s="96">
        <v>55</v>
      </c>
      <c r="L616" s="96">
        <f>K616*VLOOKUP(H616,dagsoorttabel1,2,FALSE)</f>
        <v>55</v>
      </c>
      <c r="M616" s="97">
        <f>prodnorm38</f>
        <v>0</v>
      </c>
      <c r="N616" s="41">
        <f>dagwerk38</f>
        <v>0</v>
      </c>
      <c r="O616" s="94" t="s">
        <v>106</v>
      </c>
      <c r="P616" s="26">
        <f>uurtarief38</f>
        <v>0</v>
      </c>
      <c r="Q616" s="96" t="e">
        <f>IF(ISBLANK(M616),0,L616/M616)</f>
        <v>#DIV/0!</v>
      </c>
      <c r="R616" s="96" t="e">
        <f>IF(ISBLANK(M616),0,Q616*N616)</f>
        <v>#DIV/0!</v>
      </c>
      <c r="S616" s="26" t="e">
        <f>P616*Q616</f>
        <v>#DIV/0!</v>
      </c>
      <c r="T616" s="96" t="e">
        <f>Q616*dagenperjaar1</f>
        <v>#DIV/0!</v>
      </c>
      <c r="U616" s="27" t="e">
        <f>T616*P616</f>
        <v>#DIV/0!</v>
      </c>
    </row>
    <row r="617" spans="1:21" x14ac:dyDescent="0.3">
      <c r="A617" s="93" t="s">
        <v>753</v>
      </c>
      <c r="B617" s="94" t="s">
        <v>40</v>
      </c>
      <c r="C617" s="94" t="s">
        <v>953</v>
      </c>
      <c r="D617" s="94" t="s">
        <v>959</v>
      </c>
      <c r="E617" s="95" t="s">
        <v>295</v>
      </c>
      <c r="F617" s="94" t="s">
        <v>648</v>
      </c>
      <c r="G617" s="94" t="s">
        <v>241</v>
      </c>
      <c r="H617" s="94" t="s">
        <v>11</v>
      </c>
      <c r="I617" s="94" t="s">
        <v>219</v>
      </c>
      <c r="J617" s="94"/>
      <c r="K617" s="96">
        <v>55.8</v>
      </c>
      <c r="L617" s="96">
        <f>K617*VLOOKUP(H617,dagsoorttabel1,2,FALSE)</f>
        <v>55.8</v>
      </c>
      <c r="M617" s="97">
        <f>prodnorm38</f>
        <v>0</v>
      </c>
      <c r="N617" s="41">
        <f>dagwerk38</f>
        <v>0</v>
      </c>
      <c r="O617" s="94" t="s">
        <v>106</v>
      </c>
      <c r="P617" s="26">
        <f>uurtarief38</f>
        <v>0</v>
      </c>
      <c r="Q617" s="96" t="e">
        <f>IF(ISBLANK(M617),0,L617/M617)</f>
        <v>#DIV/0!</v>
      </c>
      <c r="R617" s="96" t="e">
        <f>IF(ISBLANK(M617),0,Q617*N617)</f>
        <v>#DIV/0!</v>
      </c>
      <c r="S617" s="26" t="e">
        <f>P617*Q617</f>
        <v>#DIV/0!</v>
      </c>
      <c r="T617" s="96" t="e">
        <f>Q617*dagenperjaar1</f>
        <v>#DIV/0!</v>
      </c>
      <c r="U617" s="27" t="e">
        <f>T617*P617</f>
        <v>#DIV/0!</v>
      </c>
    </row>
    <row r="618" spans="1:21" x14ac:dyDescent="0.3">
      <c r="A618" s="93" t="s">
        <v>753</v>
      </c>
      <c r="B618" s="94" t="s">
        <v>40</v>
      </c>
      <c r="C618" s="94" t="s">
        <v>953</v>
      </c>
      <c r="D618" s="94" t="s">
        <v>960</v>
      </c>
      <c r="E618" s="95" t="s">
        <v>580</v>
      </c>
      <c r="F618" s="94" t="s">
        <v>648</v>
      </c>
      <c r="G618" s="94" t="s">
        <v>257</v>
      </c>
      <c r="H618" s="94" t="s">
        <v>11</v>
      </c>
      <c r="I618" s="94" t="s">
        <v>219</v>
      </c>
      <c r="J618" s="94"/>
      <c r="K618" s="96">
        <v>55.2</v>
      </c>
      <c r="L618" s="96">
        <f>K618*VLOOKUP(H618,dagsoorttabel1,2,FALSE)</f>
        <v>55.2</v>
      </c>
      <c r="M618" s="97">
        <f>prodnorm52</f>
        <v>0</v>
      </c>
      <c r="N618" s="41">
        <f>dagwerk52</f>
        <v>0</v>
      </c>
      <c r="O618" s="94" t="s">
        <v>106</v>
      </c>
      <c r="P618" s="26">
        <f>uurtarief52</f>
        <v>0</v>
      </c>
      <c r="Q618" s="96" t="e">
        <f>IF(ISBLANK(M618),0,L618/M618)</f>
        <v>#DIV/0!</v>
      </c>
      <c r="R618" s="96" t="e">
        <f>IF(ISBLANK(M618),0,Q618*N618)</f>
        <v>#DIV/0!</v>
      </c>
      <c r="S618" s="26" t="e">
        <f>P618*Q618</f>
        <v>#DIV/0!</v>
      </c>
      <c r="T618" s="96" t="e">
        <f>Q618*dagenperjaar1</f>
        <v>#DIV/0!</v>
      </c>
      <c r="U618" s="27" t="e">
        <f>T618*P618</f>
        <v>#DIV/0!</v>
      </c>
    </row>
    <row r="619" spans="1:21" x14ac:dyDescent="0.3">
      <c r="A619" s="93" t="s">
        <v>753</v>
      </c>
      <c r="B619" s="94" t="s">
        <v>40</v>
      </c>
      <c r="C619" s="94" t="s">
        <v>953</v>
      </c>
      <c r="D619" s="94" t="s">
        <v>961</v>
      </c>
      <c r="E619" s="95" t="s">
        <v>775</v>
      </c>
      <c r="F619" s="94" t="s">
        <v>648</v>
      </c>
      <c r="G619" s="94" t="s">
        <v>227</v>
      </c>
      <c r="H619" s="94" t="s">
        <v>18</v>
      </c>
      <c r="I619" s="94" t="s">
        <v>219</v>
      </c>
      <c r="J619" s="94"/>
      <c r="K619" s="96">
        <v>7</v>
      </c>
      <c r="L619" s="96">
        <f>K619*VLOOKUP(H619,dagsoorttabel1,2,FALSE)</f>
        <v>1.4000000000000001</v>
      </c>
      <c r="M619" s="97">
        <f>prodnorm26</f>
        <v>0</v>
      </c>
      <c r="N619" s="41">
        <f>dagwerk26</f>
        <v>0</v>
      </c>
      <c r="O619" s="94" t="s">
        <v>106</v>
      </c>
      <c r="P619" s="26">
        <f>uurtarief26</f>
        <v>0</v>
      </c>
      <c r="Q619" s="96" t="e">
        <f>IF(ISBLANK(M619),0,L619/M619)</f>
        <v>#DIV/0!</v>
      </c>
      <c r="R619" s="96" t="e">
        <f>IF(ISBLANK(M619),0,Q619*N619)</f>
        <v>#DIV/0!</v>
      </c>
      <c r="S619" s="26" t="e">
        <f>P619*Q619</f>
        <v>#DIV/0!</v>
      </c>
      <c r="T619" s="96" t="e">
        <f>Q619*dagenperjaar1</f>
        <v>#DIV/0!</v>
      </c>
      <c r="U619" s="27" t="e">
        <f>T619*P619</f>
        <v>#DIV/0!</v>
      </c>
    </row>
    <row r="620" spans="1:21" x14ac:dyDescent="0.3">
      <c r="A620" s="93" t="s">
        <v>753</v>
      </c>
      <c r="B620" s="94" t="s">
        <v>40</v>
      </c>
      <c r="C620" s="94" t="s">
        <v>953</v>
      </c>
      <c r="D620" s="94" t="s">
        <v>962</v>
      </c>
      <c r="E620" s="95" t="s">
        <v>308</v>
      </c>
      <c r="F620" s="94" t="s">
        <v>293</v>
      </c>
      <c r="G620" s="94" t="s">
        <v>225</v>
      </c>
      <c r="H620" s="94" t="s">
        <v>16</v>
      </c>
      <c r="I620" s="94" t="s">
        <v>219</v>
      </c>
      <c r="J620" s="94"/>
      <c r="K620" s="96">
        <v>20</v>
      </c>
      <c r="L620" s="96">
        <f>K620*VLOOKUP(H620,dagsoorttabel1,2,FALSE)</f>
        <v>8</v>
      </c>
      <c r="M620" s="97">
        <f>prodnorm24</f>
        <v>0</v>
      </c>
      <c r="N620" s="41">
        <f>dagwerk24</f>
        <v>0</v>
      </c>
      <c r="O620" s="94" t="s">
        <v>106</v>
      </c>
      <c r="P620" s="26">
        <f>uurtarief24</f>
        <v>0</v>
      </c>
      <c r="Q620" s="96" t="e">
        <f>IF(ISBLANK(M620),0,L620/M620)</f>
        <v>#DIV/0!</v>
      </c>
      <c r="R620" s="96" t="e">
        <f>IF(ISBLANK(M620),0,Q620*N620)</f>
        <v>#DIV/0!</v>
      </c>
      <c r="S620" s="26" t="e">
        <f>P620*Q620</f>
        <v>#DIV/0!</v>
      </c>
      <c r="T620" s="96" t="e">
        <f>Q620*dagenperjaar1</f>
        <v>#DIV/0!</v>
      </c>
      <c r="U620" s="27" t="e">
        <f>T620*P620</f>
        <v>#DIV/0!</v>
      </c>
    </row>
    <row r="621" spans="1:21" x14ac:dyDescent="0.3">
      <c r="A621" s="93" t="s">
        <v>753</v>
      </c>
      <c r="B621" s="94" t="s">
        <v>40</v>
      </c>
      <c r="C621" s="94" t="s">
        <v>953</v>
      </c>
      <c r="D621" s="94" t="s">
        <v>963</v>
      </c>
      <c r="E621" s="95" t="s">
        <v>295</v>
      </c>
      <c r="F621" s="94" t="s">
        <v>296</v>
      </c>
      <c r="G621" s="94" t="s">
        <v>241</v>
      </c>
      <c r="H621" s="94" t="s">
        <v>11</v>
      </c>
      <c r="I621" s="94" t="s">
        <v>219</v>
      </c>
      <c r="J621" s="94"/>
      <c r="K621" s="96">
        <v>68</v>
      </c>
      <c r="L621" s="96">
        <f>K621*VLOOKUP(H621,dagsoorttabel1,2,FALSE)</f>
        <v>68</v>
      </c>
      <c r="M621" s="97">
        <f>prodnorm38</f>
        <v>0</v>
      </c>
      <c r="N621" s="41">
        <f>dagwerk38</f>
        <v>0</v>
      </c>
      <c r="O621" s="94" t="s">
        <v>106</v>
      </c>
      <c r="P621" s="26">
        <f>uurtarief38</f>
        <v>0</v>
      </c>
      <c r="Q621" s="96" t="e">
        <f>IF(ISBLANK(M621),0,L621/M621)</f>
        <v>#DIV/0!</v>
      </c>
      <c r="R621" s="96" t="e">
        <f>IF(ISBLANK(M621),0,Q621*N621)</f>
        <v>#DIV/0!</v>
      </c>
      <c r="S621" s="26" t="e">
        <f>P621*Q621</f>
        <v>#DIV/0!</v>
      </c>
      <c r="T621" s="96" t="e">
        <f>Q621*dagenperjaar1</f>
        <v>#DIV/0!</v>
      </c>
      <c r="U621" s="27" t="e">
        <f>T621*P621</f>
        <v>#DIV/0!</v>
      </c>
    </row>
    <row r="622" spans="1:21" x14ac:dyDescent="0.3">
      <c r="A622" s="93" t="s">
        <v>753</v>
      </c>
      <c r="B622" s="94" t="s">
        <v>40</v>
      </c>
      <c r="C622" s="94" t="s">
        <v>953</v>
      </c>
      <c r="D622" s="94" t="s">
        <v>964</v>
      </c>
      <c r="E622" s="95" t="s">
        <v>295</v>
      </c>
      <c r="F622" s="94" t="s">
        <v>296</v>
      </c>
      <c r="G622" s="94" t="s">
        <v>241</v>
      </c>
      <c r="H622" s="94" t="s">
        <v>11</v>
      </c>
      <c r="I622" s="94" t="s">
        <v>219</v>
      </c>
      <c r="J622" s="94"/>
      <c r="K622" s="96">
        <v>54.55</v>
      </c>
      <c r="L622" s="96">
        <f>K622*VLOOKUP(H622,dagsoorttabel1,2,FALSE)</f>
        <v>54.55</v>
      </c>
      <c r="M622" s="97">
        <f>prodnorm38</f>
        <v>0</v>
      </c>
      <c r="N622" s="41">
        <f>dagwerk38</f>
        <v>0</v>
      </c>
      <c r="O622" s="94" t="s">
        <v>106</v>
      </c>
      <c r="P622" s="26">
        <f>uurtarief38</f>
        <v>0</v>
      </c>
      <c r="Q622" s="96" t="e">
        <f>IF(ISBLANK(M622),0,L622/M622)</f>
        <v>#DIV/0!</v>
      </c>
      <c r="R622" s="96" t="e">
        <f>IF(ISBLANK(M622),0,Q622*N622)</f>
        <v>#DIV/0!</v>
      </c>
      <c r="S622" s="26" t="e">
        <f>P622*Q622</f>
        <v>#DIV/0!</v>
      </c>
      <c r="T622" s="96" t="e">
        <f>Q622*dagenperjaar1</f>
        <v>#DIV/0!</v>
      </c>
      <c r="U622" s="27" t="e">
        <f>T622*P622</f>
        <v>#DIV/0!</v>
      </c>
    </row>
    <row r="623" spans="1:21" x14ac:dyDescent="0.3">
      <c r="A623" s="93" t="s">
        <v>753</v>
      </c>
      <c r="B623" s="94" t="s">
        <v>40</v>
      </c>
      <c r="C623" s="94" t="s">
        <v>953</v>
      </c>
      <c r="D623" s="94" t="s">
        <v>965</v>
      </c>
      <c r="E623" s="95" t="s">
        <v>295</v>
      </c>
      <c r="F623" s="94" t="s">
        <v>296</v>
      </c>
      <c r="G623" s="94" t="s">
        <v>241</v>
      </c>
      <c r="H623" s="94" t="s">
        <v>11</v>
      </c>
      <c r="I623" s="94" t="s">
        <v>219</v>
      </c>
      <c r="J623" s="94"/>
      <c r="K623" s="96">
        <v>54.55</v>
      </c>
      <c r="L623" s="96">
        <f>K623*VLOOKUP(H623,dagsoorttabel1,2,FALSE)</f>
        <v>54.55</v>
      </c>
      <c r="M623" s="97">
        <f>prodnorm38</f>
        <v>0</v>
      </c>
      <c r="N623" s="41">
        <f>dagwerk38</f>
        <v>0</v>
      </c>
      <c r="O623" s="94" t="s">
        <v>106</v>
      </c>
      <c r="P623" s="26">
        <f>uurtarief38</f>
        <v>0</v>
      </c>
      <c r="Q623" s="96" t="e">
        <f>IF(ISBLANK(M623),0,L623/M623)</f>
        <v>#DIV/0!</v>
      </c>
      <c r="R623" s="96" t="e">
        <f>IF(ISBLANK(M623),0,Q623*N623)</f>
        <v>#DIV/0!</v>
      </c>
      <c r="S623" s="26" t="e">
        <f>P623*Q623</f>
        <v>#DIV/0!</v>
      </c>
      <c r="T623" s="96" t="e">
        <f>Q623*dagenperjaar1</f>
        <v>#DIV/0!</v>
      </c>
      <c r="U623" s="27" t="e">
        <f>T623*P623</f>
        <v>#DIV/0!</v>
      </c>
    </row>
    <row r="624" spans="1:21" x14ac:dyDescent="0.3">
      <c r="A624" s="93" t="s">
        <v>753</v>
      </c>
      <c r="B624" s="94" t="s">
        <v>40</v>
      </c>
      <c r="C624" s="94" t="s">
        <v>953</v>
      </c>
      <c r="D624" s="94" t="s">
        <v>966</v>
      </c>
      <c r="E624" s="95" t="s">
        <v>967</v>
      </c>
      <c r="F624" s="94" t="s">
        <v>928</v>
      </c>
      <c r="G624" s="94" t="s">
        <v>257</v>
      </c>
      <c r="H624" s="94" t="s">
        <v>11</v>
      </c>
      <c r="I624" s="94" t="s">
        <v>219</v>
      </c>
      <c r="J624" s="94"/>
      <c r="K624" s="96">
        <v>82.5</v>
      </c>
      <c r="L624" s="96">
        <f>K624*VLOOKUP(H624,dagsoorttabel1,2,FALSE)</f>
        <v>82.5</v>
      </c>
      <c r="M624" s="97">
        <f>prodnorm52</f>
        <v>0</v>
      </c>
      <c r="N624" s="41">
        <f>dagwerk52</f>
        <v>0</v>
      </c>
      <c r="O624" s="94" t="s">
        <v>106</v>
      </c>
      <c r="P624" s="26">
        <f>uurtarief52</f>
        <v>0</v>
      </c>
      <c r="Q624" s="96" t="e">
        <f>IF(ISBLANK(M624),0,L624/M624)</f>
        <v>#DIV/0!</v>
      </c>
      <c r="R624" s="96" t="e">
        <f>IF(ISBLANK(M624),0,Q624*N624)</f>
        <v>#DIV/0!</v>
      </c>
      <c r="S624" s="26" t="e">
        <f>P624*Q624</f>
        <v>#DIV/0!</v>
      </c>
      <c r="T624" s="96" t="e">
        <f>Q624*dagenperjaar1</f>
        <v>#DIV/0!</v>
      </c>
      <c r="U624" s="27" t="e">
        <f>T624*P624</f>
        <v>#DIV/0!</v>
      </c>
    </row>
    <row r="625" spans="1:21" x14ac:dyDescent="0.3">
      <c r="A625" s="93" t="s">
        <v>753</v>
      </c>
      <c r="B625" s="94" t="s">
        <v>40</v>
      </c>
      <c r="C625" s="94" t="s">
        <v>953</v>
      </c>
      <c r="D625" s="94" t="s">
        <v>968</v>
      </c>
      <c r="E625" s="95" t="s">
        <v>494</v>
      </c>
      <c r="F625" s="94" t="s">
        <v>928</v>
      </c>
      <c r="G625" s="94" t="s">
        <v>223</v>
      </c>
      <c r="H625" s="94" t="s">
        <v>18</v>
      </c>
      <c r="I625" s="94" t="s">
        <v>219</v>
      </c>
      <c r="J625" s="94"/>
      <c r="K625" s="96">
        <v>54.55</v>
      </c>
      <c r="L625" s="96">
        <f>K625*VLOOKUP(H625,dagsoorttabel1,2,FALSE)</f>
        <v>10.91</v>
      </c>
      <c r="M625" s="97">
        <f>prodnorm19</f>
        <v>0</v>
      </c>
      <c r="N625" s="41">
        <f>dagwerk19</f>
        <v>0</v>
      </c>
      <c r="O625" s="94" t="s">
        <v>106</v>
      </c>
      <c r="P625" s="26">
        <f>uurtarief19</f>
        <v>0</v>
      </c>
      <c r="Q625" s="96" t="e">
        <f>IF(ISBLANK(M625),0,L625/M625)</f>
        <v>#DIV/0!</v>
      </c>
      <c r="R625" s="96" t="e">
        <f>IF(ISBLANK(M625),0,Q625*N625)</f>
        <v>#DIV/0!</v>
      </c>
      <c r="S625" s="26" t="e">
        <f>P625*Q625</f>
        <v>#DIV/0!</v>
      </c>
      <c r="T625" s="96" t="e">
        <f>Q625*dagenperjaar1</f>
        <v>#DIV/0!</v>
      </c>
      <c r="U625" s="27" t="e">
        <f>T625*P625</f>
        <v>#DIV/0!</v>
      </c>
    </row>
    <row r="626" spans="1:21" x14ac:dyDescent="0.3">
      <c r="A626" s="93" t="s">
        <v>753</v>
      </c>
      <c r="B626" s="94" t="s">
        <v>40</v>
      </c>
      <c r="C626" s="94" t="s">
        <v>953</v>
      </c>
      <c r="D626" s="94" t="s">
        <v>969</v>
      </c>
      <c r="E626" s="95" t="s">
        <v>574</v>
      </c>
      <c r="F626" s="94" t="s">
        <v>928</v>
      </c>
      <c r="G626" s="94" t="s">
        <v>257</v>
      </c>
      <c r="H626" s="94" t="s">
        <v>11</v>
      </c>
      <c r="I626" s="94" t="s">
        <v>219</v>
      </c>
      <c r="J626" s="94"/>
      <c r="K626" s="96">
        <v>68</v>
      </c>
      <c r="L626" s="96">
        <f>K626*VLOOKUP(H626,dagsoorttabel1,2,FALSE)</f>
        <v>68</v>
      </c>
      <c r="M626" s="97">
        <f>prodnorm52</f>
        <v>0</v>
      </c>
      <c r="N626" s="41">
        <f>dagwerk52</f>
        <v>0</v>
      </c>
      <c r="O626" s="94" t="s">
        <v>106</v>
      </c>
      <c r="P626" s="26">
        <f>uurtarief52</f>
        <v>0</v>
      </c>
      <c r="Q626" s="96" t="e">
        <f>IF(ISBLANK(M626),0,L626/M626)</f>
        <v>#DIV/0!</v>
      </c>
      <c r="R626" s="96" t="e">
        <f>IF(ISBLANK(M626),0,Q626*N626)</f>
        <v>#DIV/0!</v>
      </c>
      <c r="S626" s="26" t="e">
        <f>P626*Q626</f>
        <v>#DIV/0!</v>
      </c>
      <c r="T626" s="96" t="e">
        <f>Q626*dagenperjaar1</f>
        <v>#DIV/0!</v>
      </c>
      <c r="U626" s="27" t="e">
        <f>T626*P626</f>
        <v>#DIV/0!</v>
      </c>
    </row>
    <row r="627" spans="1:21" x14ac:dyDescent="0.3">
      <c r="A627" s="93" t="s">
        <v>753</v>
      </c>
      <c r="B627" s="94" t="s">
        <v>40</v>
      </c>
      <c r="C627" s="94" t="s">
        <v>953</v>
      </c>
      <c r="D627" s="94" t="s">
        <v>970</v>
      </c>
      <c r="E627" s="95" t="s">
        <v>308</v>
      </c>
      <c r="F627" s="94" t="s">
        <v>296</v>
      </c>
      <c r="G627" s="94" t="s">
        <v>223</v>
      </c>
      <c r="H627" s="94" t="s">
        <v>16</v>
      </c>
      <c r="I627" s="94" t="s">
        <v>219</v>
      </c>
      <c r="J627" s="94"/>
      <c r="K627" s="96">
        <v>17.7</v>
      </c>
      <c r="L627" s="96">
        <f>K627*VLOOKUP(H627,dagsoorttabel1,2,FALSE)</f>
        <v>7.08</v>
      </c>
      <c r="M627" s="97">
        <f>prodnorm20</f>
        <v>0</v>
      </c>
      <c r="N627" s="41">
        <f>dagwerk20</f>
        <v>0</v>
      </c>
      <c r="O627" s="94" t="s">
        <v>106</v>
      </c>
      <c r="P627" s="26">
        <f>uurtarief20</f>
        <v>0</v>
      </c>
      <c r="Q627" s="96" t="e">
        <f>IF(ISBLANK(M627),0,L627/M627)</f>
        <v>#DIV/0!</v>
      </c>
      <c r="R627" s="96" t="e">
        <f>IF(ISBLANK(M627),0,Q627*N627)</f>
        <v>#DIV/0!</v>
      </c>
      <c r="S627" s="26" t="e">
        <f>P627*Q627</f>
        <v>#DIV/0!</v>
      </c>
      <c r="T627" s="96" t="e">
        <f>Q627*dagenperjaar1</f>
        <v>#DIV/0!</v>
      </c>
      <c r="U627" s="27" t="e">
        <f>T627*P627</f>
        <v>#DIV/0!</v>
      </c>
    </row>
    <row r="628" spans="1:21" x14ac:dyDescent="0.3">
      <c r="A628" s="93" t="s">
        <v>753</v>
      </c>
      <c r="B628" s="94" t="s">
        <v>40</v>
      </c>
      <c r="C628" s="94" t="s">
        <v>953</v>
      </c>
      <c r="D628" s="94" t="s">
        <v>971</v>
      </c>
      <c r="E628" s="95" t="s">
        <v>308</v>
      </c>
      <c r="F628" s="94" t="s">
        <v>296</v>
      </c>
      <c r="G628" s="94" t="s">
        <v>223</v>
      </c>
      <c r="H628" s="94" t="s">
        <v>16</v>
      </c>
      <c r="I628" s="94" t="s">
        <v>219</v>
      </c>
      <c r="J628" s="94"/>
      <c r="K628" s="96">
        <v>8.5299999999999994</v>
      </c>
      <c r="L628" s="96">
        <f>K628*VLOOKUP(H628,dagsoorttabel1,2,FALSE)</f>
        <v>3.4119999999999999</v>
      </c>
      <c r="M628" s="97">
        <f>prodnorm20</f>
        <v>0</v>
      </c>
      <c r="N628" s="41">
        <f>dagwerk20</f>
        <v>0</v>
      </c>
      <c r="O628" s="94" t="s">
        <v>106</v>
      </c>
      <c r="P628" s="26">
        <f>uurtarief20</f>
        <v>0</v>
      </c>
      <c r="Q628" s="96" t="e">
        <f>IF(ISBLANK(M628),0,L628/M628)</f>
        <v>#DIV/0!</v>
      </c>
      <c r="R628" s="96" t="e">
        <f>IF(ISBLANK(M628),0,Q628*N628)</f>
        <v>#DIV/0!</v>
      </c>
      <c r="S628" s="26" t="e">
        <f>P628*Q628</f>
        <v>#DIV/0!</v>
      </c>
      <c r="T628" s="96" t="e">
        <f>Q628*dagenperjaar1</f>
        <v>#DIV/0!</v>
      </c>
      <c r="U628" s="27" t="e">
        <f>T628*P628</f>
        <v>#DIV/0!</v>
      </c>
    </row>
    <row r="629" spans="1:21" x14ac:dyDescent="0.3">
      <c r="A629" s="93" t="s">
        <v>753</v>
      </c>
      <c r="B629" s="94" t="s">
        <v>40</v>
      </c>
      <c r="C629" s="94" t="s">
        <v>953</v>
      </c>
      <c r="D629" s="94" t="s">
        <v>972</v>
      </c>
      <c r="E629" s="95" t="s">
        <v>308</v>
      </c>
      <c r="F629" s="94" t="s">
        <v>293</v>
      </c>
      <c r="G629" s="94" t="s">
        <v>225</v>
      </c>
      <c r="H629" s="94" t="s">
        <v>16</v>
      </c>
      <c r="I629" s="94" t="s">
        <v>219</v>
      </c>
      <c r="J629" s="94"/>
      <c r="K629" s="96">
        <v>20</v>
      </c>
      <c r="L629" s="96">
        <f>K629*VLOOKUP(H629,dagsoorttabel1,2,FALSE)</f>
        <v>8</v>
      </c>
      <c r="M629" s="97">
        <f>prodnorm24</f>
        <v>0</v>
      </c>
      <c r="N629" s="41">
        <f>dagwerk24</f>
        <v>0</v>
      </c>
      <c r="O629" s="94" t="s">
        <v>106</v>
      </c>
      <c r="P629" s="26">
        <f>uurtarief24</f>
        <v>0</v>
      </c>
      <c r="Q629" s="96" t="e">
        <f>IF(ISBLANK(M629),0,L629/M629)</f>
        <v>#DIV/0!</v>
      </c>
      <c r="R629" s="96" t="e">
        <f>IF(ISBLANK(M629),0,Q629*N629)</f>
        <v>#DIV/0!</v>
      </c>
      <c r="S629" s="26" t="e">
        <f>P629*Q629</f>
        <v>#DIV/0!</v>
      </c>
      <c r="T629" s="96" t="e">
        <f>Q629*dagenperjaar1</f>
        <v>#DIV/0!</v>
      </c>
      <c r="U629" s="27" t="e">
        <f>T629*P629</f>
        <v>#DIV/0!</v>
      </c>
    </row>
    <row r="630" spans="1:21" x14ac:dyDescent="0.3">
      <c r="A630" s="93" t="s">
        <v>753</v>
      </c>
      <c r="B630" s="94" t="s">
        <v>40</v>
      </c>
      <c r="C630" s="94" t="s">
        <v>953</v>
      </c>
      <c r="D630" s="94" t="s">
        <v>973</v>
      </c>
      <c r="E630" s="95" t="s">
        <v>338</v>
      </c>
      <c r="F630" s="94" t="s">
        <v>296</v>
      </c>
      <c r="G630" s="94" t="s">
        <v>267</v>
      </c>
      <c r="H630" s="94" t="s">
        <v>11</v>
      </c>
      <c r="I630" s="94" t="s">
        <v>219</v>
      </c>
      <c r="J630" s="94"/>
      <c r="K630" s="96">
        <v>84</v>
      </c>
      <c r="L630" s="96">
        <f>K630*VLOOKUP(H630,dagsoorttabel1,2,FALSE)</f>
        <v>84</v>
      </c>
      <c r="M630" s="97">
        <f>prodnorm63</f>
        <v>0</v>
      </c>
      <c r="N630" s="41">
        <f>dagwerk63</f>
        <v>0</v>
      </c>
      <c r="O630" s="94" t="s">
        <v>106</v>
      </c>
      <c r="P630" s="26">
        <f>uurtarief63</f>
        <v>0</v>
      </c>
      <c r="Q630" s="96" t="e">
        <f>IF(ISBLANK(M630),0,L630/M630)</f>
        <v>#DIV/0!</v>
      </c>
      <c r="R630" s="96" t="e">
        <f>IF(ISBLANK(M630),0,Q630*N630)</f>
        <v>#DIV/0!</v>
      </c>
      <c r="S630" s="26" t="e">
        <f>P630*Q630</f>
        <v>#DIV/0!</v>
      </c>
      <c r="T630" s="96" t="e">
        <f>Q630*dagenperjaar1</f>
        <v>#DIV/0!</v>
      </c>
      <c r="U630" s="27" t="e">
        <f>T630*P630</f>
        <v>#DIV/0!</v>
      </c>
    </row>
    <row r="631" spans="1:21" x14ac:dyDescent="0.3">
      <c r="A631" s="93" t="s">
        <v>753</v>
      </c>
      <c r="B631" s="94" t="s">
        <v>40</v>
      </c>
      <c r="C631" s="94" t="s">
        <v>953</v>
      </c>
      <c r="D631" s="94" t="s">
        <v>974</v>
      </c>
      <c r="E631" s="95" t="s">
        <v>306</v>
      </c>
      <c r="F631" s="94" t="s">
        <v>296</v>
      </c>
      <c r="G631" s="94" t="s">
        <v>267</v>
      </c>
      <c r="H631" s="94" t="s">
        <v>11</v>
      </c>
      <c r="I631" s="94" t="s">
        <v>219</v>
      </c>
      <c r="J631" s="94"/>
      <c r="K631" s="96">
        <v>24</v>
      </c>
      <c r="L631" s="96">
        <f>K631*VLOOKUP(H631,dagsoorttabel1,2,FALSE)</f>
        <v>24</v>
      </c>
      <c r="M631" s="97">
        <f>prodnorm63</f>
        <v>0</v>
      </c>
      <c r="N631" s="41">
        <f>dagwerk63</f>
        <v>0</v>
      </c>
      <c r="O631" s="94" t="s">
        <v>106</v>
      </c>
      <c r="P631" s="26">
        <f>uurtarief63</f>
        <v>0</v>
      </c>
      <c r="Q631" s="96" t="e">
        <f>IF(ISBLANK(M631),0,L631/M631)</f>
        <v>#DIV/0!</v>
      </c>
      <c r="R631" s="96" t="e">
        <f>IF(ISBLANK(M631),0,Q631*N631)</f>
        <v>#DIV/0!</v>
      </c>
      <c r="S631" s="26" t="e">
        <f>P631*Q631</f>
        <v>#DIV/0!</v>
      </c>
      <c r="T631" s="96" t="e">
        <f>Q631*dagenperjaar1</f>
        <v>#DIV/0!</v>
      </c>
      <c r="U631" s="27" t="e">
        <f>T631*P631</f>
        <v>#DIV/0!</v>
      </c>
    </row>
    <row r="632" spans="1:21" x14ac:dyDescent="0.3">
      <c r="A632" s="93" t="s">
        <v>753</v>
      </c>
      <c r="B632" s="94" t="s">
        <v>40</v>
      </c>
      <c r="C632" s="94" t="s">
        <v>953</v>
      </c>
      <c r="D632" s="94" t="s">
        <v>975</v>
      </c>
      <c r="E632" s="95" t="s">
        <v>455</v>
      </c>
      <c r="F632" s="94" t="s">
        <v>316</v>
      </c>
      <c r="G632" s="94" t="s">
        <v>261</v>
      </c>
      <c r="H632" s="94" t="s">
        <v>11</v>
      </c>
      <c r="I632" s="94" t="s">
        <v>219</v>
      </c>
      <c r="J632" s="94"/>
      <c r="K632" s="96">
        <v>6</v>
      </c>
      <c r="L632" s="96">
        <f>K632*VLOOKUP(H632,dagsoorttabel1,2,FALSE)</f>
        <v>6</v>
      </c>
      <c r="M632" s="97">
        <f>prodnorm56</f>
        <v>0</v>
      </c>
      <c r="N632" s="41">
        <f>dagwerk56</f>
        <v>0</v>
      </c>
      <c r="O632" s="94" t="s">
        <v>106</v>
      </c>
      <c r="P632" s="26">
        <f>uurtarief56</f>
        <v>0</v>
      </c>
      <c r="Q632" s="96" t="e">
        <f>IF(ISBLANK(M632),0,L632/M632)</f>
        <v>#DIV/0!</v>
      </c>
      <c r="R632" s="96" t="e">
        <f>IF(ISBLANK(M632),0,Q632*N632)</f>
        <v>#DIV/0!</v>
      </c>
      <c r="S632" s="26" t="e">
        <f>P632*Q632</f>
        <v>#DIV/0!</v>
      </c>
      <c r="T632" s="96" t="e">
        <f>Q632*dagenperjaar1</f>
        <v>#DIV/0!</v>
      </c>
      <c r="U632" s="27" t="e">
        <f>T632*P632</f>
        <v>#DIV/0!</v>
      </c>
    </row>
    <row r="633" spans="1:21" x14ac:dyDescent="0.3">
      <c r="A633" s="93" t="s">
        <v>753</v>
      </c>
      <c r="B633" s="94" t="s">
        <v>40</v>
      </c>
      <c r="C633" s="94" t="s">
        <v>953</v>
      </c>
      <c r="D633" s="94" t="s">
        <v>976</v>
      </c>
      <c r="E633" s="95" t="s">
        <v>977</v>
      </c>
      <c r="F633" s="94" t="s">
        <v>316</v>
      </c>
      <c r="G633" s="94" t="s">
        <v>261</v>
      </c>
      <c r="H633" s="94" t="s">
        <v>11</v>
      </c>
      <c r="I633" s="94" t="s">
        <v>219</v>
      </c>
      <c r="J633" s="94"/>
      <c r="K633" s="96">
        <v>6</v>
      </c>
      <c r="L633" s="96">
        <f>K633*VLOOKUP(H633,dagsoorttabel1,2,FALSE)</f>
        <v>6</v>
      </c>
      <c r="M633" s="97">
        <f>prodnorm56</f>
        <v>0</v>
      </c>
      <c r="N633" s="41">
        <f>dagwerk56</f>
        <v>0</v>
      </c>
      <c r="O633" s="94" t="s">
        <v>106</v>
      </c>
      <c r="P633" s="26">
        <f>uurtarief56</f>
        <v>0</v>
      </c>
      <c r="Q633" s="96" t="e">
        <f>IF(ISBLANK(M633),0,L633/M633)</f>
        <v>#DIV/0!</v>
      </c>
      <c r="R633" s="96" t="e">
        <f>IF(ISBLANK(M633),0,Q633*N633)</f>
        <v>#DIV/0!</v>
      </c>
      <c r="S633" s="26" t="e">
        <f>P633*Q633</f>
        <v>#DIV/0!</v>
      </c>
      <c r="T633" s="96" t="e">
        <f>Q633*dagenperjaar1</f>
        <v>#DIV/0!</v>
      </c>
      <c r="U633" s="27" t="e">
        <f>T633*P633</f>
        <v>#DIV/0!</v>
      </c>
    </row>
    <row r="634" spans="1:21" x14ac:dyDescent="0.3">
      <c r="A634" s="93" t="s">
        <v>753</v>
      </c>
      <c r="B634" s="94" t="s">
        <v>40</v>
      </c>
      <c r="C634" s="94" t="s">
        <v>953</v>
      </c>
      <c r="D634" s="94" t="s">
        <v>978</v>
      </c>
      <c r="E634" s="95" t="s">
        <v>518</v>
      </c>
      <c r="F634" s="94" t="s">
        <v>296</v>
      </c>
      <c r="G634" s="94" t="s">
        <v>241</v>
      </c>
      <c r="H634" s="94" t="s">
        <v>11</v>
      </c>
      <c r="I634" s="94" t="s">
        <v>219</v>
      </c>
      <c r="J634" s="94"/>
      <c r="K634" s="96">
        <v>48</v>
      </c>
      <c r="L634" s="96">
        <f>K634*VLOOKUP(H634,dagsoorttabel1,2,FALSE)</f>
        <v>48</v>
      </c>
      <c r="M634" s="97">
        <f>prodnorm38</f>
        <v>0</v>
      </c>
      <c r="N634" s="41">
        <f>dagwerk38</f>
        <v>0</v>
      </c>
      <c r="O634" s="94" t="s">
        <v>106</v>
      </c>
      <c r="P634" s="26">
        <f>uurtarief38</f>
        <v>0</v>
      </c>
      <c r="Q634" s="96" t="e">
        <f>IF(ISBLANK(M634),0,L634/M634)</f>
        <v>#DIV/0!</v>
      </c>
      <c r="R634" s="96" t="e">
        <f>IF(ISBLANK(M634),0,Q634*N634)</f>
        <v>#DIV/0!</v>
      </c>
      <c r="S634" s="26" t="e">
        <f>P634*Q634</f>
        <v>#DIV/0!</v>
      </c>
      <c r="T634" s="96" t="e">
        <f>Q634*dagenperjaar1</f>
        <v>#DIV/0!</v>
      </c>
      <c r="U634" s="27" t="e">
        <f>T634*P634</f>
        <v>#DIV/0!</v>
      </c>
    </row>
    <row r="635" spans="1:21" x14ac:dyDescent="0.3">
      <c r="A635" s="93" t="s">
        <v>753</v>
      </c>
      <c r="B635" s="94" t="s">
        <v>40</v>
      </c>
      <c r="C635" s="94" t="s">
        <v>953</v>
      </c>
      <c r="D635" s="94" t="s">
        <v>979</v>
      </c>
      <c r="E635" s="95" t="s">
        <v>453</v>
      </c>
      <c r="F635" s="94" t="s">
        <v>316</v>
      </c>
      <c r="G635" s="94" t="s">
        <v>261</v>
      </c>
      <c r="H635" s="94" t="s">
        <v>11</v>
      </c>
      <c r="I635" s="94" t="s">
        <v>219</v>
      </c>
      <c r="J635" s="94"/>
      <c r="K635" s="96">
        <v>6</v>
      </c>
      <c r="L635" s="96">
        <f>K635*VLOOKUP(H635,dagsoorttabel1,2,FALSE)</f>
        <v>6</v>
      </c>
      <c r="M635" s="97">
        <f>prodnorm56</f>
        <v>0</v>
      </c>
      <c r="N635" s="41">
        <f>dagwerk56</f>
        <v>0</v>
      </c>
      <c r="O635" s="94" t="s">
        <v>106</v>
      </c>
      <c r="P635" s="26">
        <f>uurtarief56</f>
        <v>0</v>
      </c>
      <c r="Q635" s="96" t="e">
        <f>IF(ISBLANK(M635),0,L635/M635)</f>
        <v>#DIV/0!</v>
      </c>
      <c r="R635" s="96" t="e">
        <f>IF(ISBLANK(M635),0,Q635*N635)</f>
        <v>#DIV/0!</v>
      </c>
      <c r="S635" s="26" t="e">
        <f>P635*Q635</f>
        <v>#DIV/0!</v>
      </c>
      <c r="T635" s="96" t="e">
        <f>Q635*dagenperjaar1</f>
        <v>#DIV/0!</v>
      </c>
      <c r="U635" s="27" t="e">
        <f>T635*P635</f>
        <v>#DIV/0!</v>
      </c>
    </row>
    <row r="636" spans="1:21" x14ac:dyDescent="0.3">
      <c r="A636" s="93" t="s">
        <v>753</v>
      </c>
      <c r="B636" s="94" t="s">
        <v>40</v>
      </c>
      <c r="C636" s="94" t="s">
        <v>953</v>
      </c>
      <c r="D636" s="94" t="s">
        <v>980</v>
      </c>
      <c r="E636" s="95" t="s">
        <v>455</v>
      </c>
      <c r="F636" s="94" t="s">
        <v>316</v>
      </c>
      <c r="G636" s="94" t="s">
        <v>261</v>
      </c>
      <c r="H636" s="94" t="s">
        <v>11</v>
      </c>
      <c r="I636" s="94" t="s">
        <v>219</v>
      </c>
      <c r="J636" s="94"/>
      <c r="K636" s="96">
        <v>6</v>
      </c>
      <c r="L636" s="96">
        <f>K636*VLOOKUP(H636,dagsoorttabel1,2,FALSE)</f>
        <v>6</v>
      </c>
      <c r="M636" s="97">
        <f>prodnorm56</f>
        <v>0</v>
      </c>
      <c r="N636" s="41">
        <f>dagwerk56</f>
        <v>0</v>
      </c>
      <c r="O636" s="94" t="s">
        <v>106</v>
      </c>
      <c r="P636" s="26">
        <f>uurtarief56</f>
        <v>0</v>
      </c>
      <c r="Q636" s="96" t="e">
        <f>IF(ISBLANK(M636),0,L636/M636)</f>
        <v>#DIV/0!</v>
      </c>
      <c r="R636" s="96" t="e">
        <f>IF(ISBLANK(M636),0,Q636*N636)</f>
        <v>#DIV/0!</v>
      </c>
      <c r="S636" s="26" t="e">
        <f>P636*Q636</f>
        <v>#DIV/0!</v>
      </c>
      <c r="T636" s="96" t="e">
        <f>Q636*dagenperjaar1</f>
        <v>#DIV/0!</v>
      </c>
      <c r="U636" s="27" t="e">
        <f>T636*P636</f>
        <v>#DIV/0!</v>
      </c>
    </row>
    <row r="637" spans="1:21" x14ac:dyDescent="0.3">
      <c r="A637" s="93" t="s">
        <v>753</v>
      </c>
      <c r="B637" s="94" t="s">
        <v>40</v>
      </c>
      <c r="C637" s="94" t="s">
        <v>953</v>
      </c>
      <c r="D637" s="94" t="s">
        <v>981</v>
      </c>
      <c r="E637" s="95" t="s">
        <v>306</v>
      </c>
      <c r="F637" s="94" t="s">
        <v>296</v>
      </c>
      <c r="G637" s="94" t="s">
        <v>267</v>
      </c>
      <c r="H637" s="94" t="s">
        <v>11</v>
      </c>
      <c r="I637" s="94" t="s">
        <v>219</v>
      </c>
      <c r="J637" s="94"/>
      <c r="K637" s="96">
        <v>30</v>
      </c>
      <c r="L637" s="96">
        <f>K637*VLOOKUP(H637,dagsoorttabel1,2,FALSE)</f>
        <v>30</v>
      </c>
      <c r="M637" s="97">
        <f>prodnorm63</f>
        <v>0</v>
      </c>
      <c r="N637" s="41">
        <f>dagwerk63</f>
        <v>0</v>
      </c>
      <c r="O637" s="94" t="s">
        <v>106</v>
      </c>
      <c r="P637" s="26">
        <f>uurtarief63</f>
        <v>0</v>
      </c>
      <c r="Q637" s="96" t="e">
        <f>IF(ISBLANK(M637),0,L637/M637)</f>
        <v>#DIV/0!</v>
      </c>
      <c r="R637" s="96" t="e">
        <f>IF(ISBLANK(M637),0,Q637*N637)</f>
        <v>#DIV/0!</v>
      </c>
      <c r="S637" s="26" t="e">
        <f>P637*Q637</f>
        <v>#DIV/0!</v>
      </c>
      <c r="T637" s="96" t="e">
        <f>Q637*dagenperjaar1</f>
        <v>#DIV/0!</v>
      </c>
      <c r="U637" s="27" t="e">
        <f>T637*P637</f>
        <v>#DIV/0!</v>
      </c>
    </row>
    <row r="638" spans="1:21" x14ac:dyDescent="0.3">
      <c r="A638" s="93" t="s">
        <v>753</v>
      </c>
      <c r="B638" s="94" t="s">
        <v>40</v>
      </c>
      <c r="C638" s="94" t="s">
        <v>953</v>
      </c>
      <c r="D638" s="94" t="s">
        <v>982</v>
      </c>
      <c r="E638" s="95" t="s">
        <v>338</v>
      </c>
      <c r="F638" s="94" t="s">
        <v>296</v>
      </c>
      <c r="G638" s="94" t="s">
        <v>267</v>
      </c>
      <c r="H638" s="94" t="s">
        <v>11</v>
      </c>
      <c r="I638" s="94" t="s">
        <v>219</v>
      </c>
      <c r="J638" s="94"/>
      <c r="K638" s="96">
        <v>88</v>
      </c>
      <c r="L638" s="96">
        <f>K638*VLOOKUP(H638,dagsoorttabel1,2,FALSE)</f>
        <v>88</v>
      </c>
      <c r="M638" s="97">
        <f>prodnorm63</f>
        <v>0</v>
      </c>
      <c r="N638" s="41">
        <f>dagwerk63</f>
        <v>0</v>
      </c>
      <c r="O638" s="94" t="s">
        <v>106</v>
      </c>
      <c r="P638" s="26">
        <f>uurtarief63</f>
        <v>0</v>
      </c>
      <c r="Q638" s="96" t="e">
        <f>IF(ISBLANK(M638),0,L638/M638)</f>
        <v>#DIV/0!</v>
      </c>
      <c r="R638" s="96" t="e">
        <f>IF(ISBLANK(M638),0,Q638*N638)</f>
        <v>#DIV/0!</v>
      </c>
      <c r="S638" s="26" t="e">
        <f>P638*Q638</f>
        <v>#DIV/0!</v>
      </c>
      <c r="T638" s="96" t="e">
        <f>Q638*dagenperjaar1</f>
        <v>#DIV/0!</v>
      </c>
      <c r="U638" s="27" t="e">
        <f>T638*P638</f>
        <v>#DIV/0!</v>
      </c>
    </row>
    <row r="639" spans="1:21" x14ac:dyDescent="0.3">
      <c r="A639" s="93" t="s">
        <v>753</v>
      </c>
      <c r="B639" s="94" t="s">
        <v>40</v>
      </c>
      <c r="C639" s="94" t="s">
        <v>953</v>
      </c>
      <c r="D639" s="94" t="s">
        <v>983</v>
      </c>
      <c r="E639" s="95" t="s">
        <v>338</v>
      </c>
      <c r="F639" s="94" t="s">
        <v>296</v>
      </c>
      <c r="G639" s="94" t="s">
        <v>267</v>
      </c>
      <c r="H639" s="94" t="s">
        <v>11</v>
      </c>
      <c r="I639" s="94" t="s">
        <v>219</v>
      </c>
      <c r="J639" s="94"/>
      <c r="K639" s="96">
        <v>28</v>
      </c>
      <c r="L639" s="96">
        <f>K639*VLOOKUP(H639,dagsoorttabel1,2,FALSE)</f>
        <v>28</v>
      </c>
      <c r="M639" s="97">
        <f>prodnorm63</f>
        <v>0</v>
      </c>
      <c r="N639" s="41">
        <f>dagwerk63</f>
        <v>0</v>
      </c>
      <c r="O639" s="94" t="s">
        <v>106</v>
      </c>
      <c r="P639" s="26">
        <f>uurtarief63</f>
        <v>0</v>
      </c>
      <c r="Q639" s="96" t="e">
        <f>IF(ISBLANK(M639),0,L639/M639)</f>
        <v>#DIV/0!</v>
      </c>
      <c r="R639" s="96" t="e">
        <f>IF(ISBLANK(M639),0,Q639*N639)</f>
        <v>#DIV/0!</v>
      </c>
      <c r="S639" s="26" t="e">
        <f>P639*Q639</f>
        <v>#DIV/0!</v>
      </c>
      <c r="T639" s="96" t="e">
        <f>Q639*dagenperjaar1</f>
        <v>#DIV/0!</v>
      </c>
      <c r="U639" s="27" t="e">
        <f>T639*P639</f>
        <v>#DIV/0!</v>
      </c>
    </row>
    <row r="640" spans="1:21" x14ac:dyDescent="0.3">
      <c r="A640" s="98" t="s">
        <v>753</v>
      </c>
      <c r="B640" s="99" t="s">
        <v>40</v>
      </c>
      <c r="C640" s="99" t="s">
        <v>953</v>
      </c>
      <c r="D640" s="99" t="s">
        <v>984</v>
      </c>
      <c r="E640" s="100" t="s">
        <v>338</v>
      </c>
      <c r="F640" s="99" t="s">
        <v>296</v>
      </c>
      <c r="G640" s="99" t="s">
        <v>267</v>
      </c>
      <c r="H640" s="99" t="s">
        <v>11</v>
      </c>
      <c r="I640" s="99" t="s">
        <v>219</v>
      </c>
      <c r="J640" s="99"/>
      <c r="K640" s="101">
        <v>20</v>
      </c>
      <c r="L640" s="101">
        <f>K640*VLOOKUP(H640,dagsoorttabel1,2,FALSE)</f>
        <v>20</v>
      </c>
      <c r="M640" s="102">
        <f>prodnorm63</f>
        <v>0</v>
      </c>
      <c r="N640" s="103">
        <f>dagwerk63</f>
        <v>0</v>
      </c>
      <c r="O640" s="99" t="s">
        <v>106</v>
      </c>
      <c r="P640" s="36">
        <f>uurtarief63</f>
        <v>0</v>
      </c>
      <c r="Q640" s="101" t="e">
        <f>IF(ISBLANK(M640),0,L640/M640)</f>
        <v>#DIV/0!</v>
      </c>
      <c r="R640" s="101" t="e">
        <f>IF(ISBLANK(M640),0,Q640*N640)</f>
        <v>#DIV/0!</v>
      </c>
      <c r="S640" s="36" t="e">
        <f>P640*Q640</f>
        <v>#DIV/0!</v>
      </c>
      <c r="T640" s="101" t="e">
        <f>Q640*dagenperjaar1</f>
        <v>#DIV/0!</v>
      </c>
      <c r="U640" s="37" t="e">
        <f>T640*P640</f>
        <v>#DIV/0!</v>
      </c>
    </row>
    <row r="641" spans="1:21" x14ac:dyDescent="0.3">
      <c r="A641" s="104" t="s">
        <v>510</v>
      </c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8" t="e">
        <f>IF(_xlfn.SINGLE(object6_urenjaar1)&gt;0,_xlfn.SINGLE(object6_prijsjaar1)/_xlfn.SINGLE(object6_urenjaar1),0)</f>
        <v>#DIV/0!</v>
      </c>
      <c r="Q641" s="77" t="e">
        <f>SUM(Q393:Q640)</f>
        <v>#DIV/0!</v>
      </c>
      <c r="R641" s="77" t="e">
        <f>SUM(R393:R640)</f>
        <v>#DIV/0!</v>
      </c>
      <c r="S641" s="78" t="e">
        <f>SUM(S393:S640)</f>
        <v>#DIV/0!</v>
      </c>
      <c r="T641" s="77" t="e">
        <f>SUM(T393:T640)</f>
        <v>#DIV/0!</v>
      </c>
      <c r="U641" s="79" t="e">
        <f>SUM(U393:U640)</f>
        <v>#DIV/0!</v>
      </c>
    </row>
    <row r="642" spans="1:21" x14ac:dyDescent="0.3">
      <c r="A642" s="84" t="s">
        <v>985</v>
      </c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74"/>
    </row>
    <row r="643" spans="1:21" x14ac:dyDescent="0.3">
      <c r="A643" s="85" t="s">
        <v>986</v>
      </c>
      <c r="B643" s="86" t="s">
        <v>40</v>
      </c>
      <c r="C643" s="86" t="s">
        <v>290</v>
      </c>
      <c r="D643" s="86" t="s">
        <v>513</v>
      </c>
      <c r="E643" s="87" t="s">
        <v>987</v>
      </c>
      <c r="F643" s="86" t="s">
        <v>988</v>
      </c>
      <c r="G643" s="86" t="s">
        <v>241</v>
      </c>
      <c r="H643" s="86" t="s">
        <v>11</v>
      </c>
      <c r="I643" s="86" t="s">
        <v>219</v>
      </c>
      <c r="J643" s="86"/>
      <c r="K643" s="88">
        <v>58.7</v>
      </c>
      <c r="L643" s="88">
        <f>K643*VLOOKUP(H643,dagsoorttabel1,2,FALSE)</f>
        <v>58.7</v>
      </c>
      <c r="M643" s="89">
        <f>prodnorm38</f>
        <v>0</v>
      </c>
      <c r="N643" s="90">
        <f>dagwerk38</f>
        <v>0</v>
      </c>
      <c r="O643" s="86" t="s">
        <v>106</v>
      </c>
      <c r="P643" s="91">
        <f>uurtarief38</f>
        <v>0</v>
      </c>
      <c r="Q643" s="88" t="e">
        <f>IF(ISBLANK(M643),0,L643/M643)</f>
        <v>#DIV/0!</v>
      </c>
      <c r="R643" s="88" t="e">
        <f>IF(ISBLANK(M643),0,Q643*N643)</f>
        <v>#DIV/0!</v>
      </c>
      <c r="S643" s="91" t="e">
        <f>P643*Q643</f>
        <v>#DIV/0!</v>
      </c>
      <c r="T643" s="88" t="e">
        <f>Q643*dagenperjaar1</f>
        <v>#DIV/0!</v>
      </c>
      <c r="U643" s="92" t="e">
        <f>T643*P643</f>
        <v>#DIV/0!</v>
      </c>
    </row>
    <row r="644" spans="1:21" x14ac:dyDescent="0.3">
      <c r="A644" s="93" t="s">
        <v>986</v>
      </c>
      <c r="B644" s="94" t="s">
        <v>40</v>
      </c>
      <c r="C644" s="94" t="s">
        <v>290</v>
      </c>
      <c r="D644" s="94" t="s">
        <v>514</v>
      </c>
      <c r="E644" s="95" t="s">
        <v>989</v>
      </c>
      <c r="F644" s="94" t="s">
        <v>988</v>
      </c>
      <c r="G644" s="94" t="s">
        <v>241</v>
      </c>
      <c r="H644" s="94" t="s">
        <v>11</v>
      </c>
      <c r="I644" s="94" t="s">
        <v>219</v>
      </c>
      <c r="J644" s="94"/>
      <c r="K644" s="96">
        <v>58.7</v>
      </c>
      <c r="L644" s="96">
        <f>K644*VLOOKUP(H644,dagsoorttabel1,2,FALSE)</f>
        <v>58.7</v>
      </c>
      <c r="M644" s="97">
        <f>prodnorm38</f>
        <v>0</v>
      </c>
      <c r="N644" s="41">
        <f>dagwerk38</f>
        <v>0</v>
      </c>
      <c r="O644" s="94" t="s">
        <v>106</v>
      </c>
      <c r="P644" s="26">
        <f>uurtarief38</f>
        <v>0</v>
      </c>
      <c r="Q644" s="96" t="e">
        <f>IF(ISBLANK(M644),0,L644/M644)</f>
        <v>#DIV/0!</v>
      </c>
      <c r="R644" s="96" t="e">
        <f>IF(ISBLANK(M644),0,Q644*N644)</f>
        <v>#DIV/0!</v>
      </c>
      <c r="S644" s="26" t="e">
        <f>P644*Q644</f>
        <v>#DIV/0!</v>
      </c>
      <c r="T644" s="96" t="e">
        <f>Q644*dagenperjaar1</f>
        <v>#DIV/0!</v>
      </c>
      <c r="U644" s="27" t="e">
        <f>T644*P644</f>
        <v>#DIV/0!</v>
      </c>
    </row>
    <row r="645" spans="1:21" x14ac:dyDescent="0.3">
      <c r="A645" s="93" t="s">
        <v>986</v>
      </c>
      <c r="B645" s="94" t="s">
        <v>40</v>
      </c>
      <c r="C645" s="94" t="s">
        <v>290</v>
      </c>
      <c r="D645" s="94" t="s">
        <v>633</v>
      </c>
      <c r="E645" s="95" t="s">
        <v>990</v>
      </c>
      <c r="F645" s="94" t="s">
        <v>988</v>
      </c>
      <c r="G645" s="94" t="s">
        <v>241</v>
      </c>
      <c r="H645" s="94" t="s">
        <v>11</v>
      </c>
      <c r="I645" s="94" t="s">
        <v>219</v>
      </c>
      <c r="J645" s="94"/>
      <c r="K645" s="96">
        <v>58.7</v>
      </c>
      <c r="L645" s="96">
        <f>K645*VLOOKUP(H645,dagsoorttabel1,2,FALSE)</f>
        <v>58.7</v>
      </c>
      <c r="M645" s="97">
        <f>prodnorm38</f>
        <v>0</v>
      </c>
      <c r="N645" s="41">
        <f>dagwerk38</f>
        <v>0</v>
      </c>
      <c r="O645" s="94" t="s">
        <v>106</v>
      </c>
      <c r="P645" s="26">
        <f>uurtarief38</f>
        <v>0</v>
      </c>
      <c r="Q645" s="96" t="e">
        <f>IF(ISBLANK(M645),0,L645/M645)</f>
        <v>#DIV/0!</v>
      </c>
      <c r="R645" s="96" t="e">
        <f>IF(ISBLANK(M645),0,Q645*N645)</f>
        <v>#DIV/0!</v>
      </c>
      <c r="S645" s="26" t="e">
        <f>P645*Q645</f>
        <v>#DIV/0!</v>
      </c>
      <c r="T645" s="96" t="e">
        <f>Q645*dagenperjaar1</f>
        <v>#DIV/0!</v>
      </c>
      <c r="U645" s="27" t="e">
        <f>T645*P645</f>
        <v>#DIV/0!</v>
      </c>
    </row>
    <row r="646" spans="1:21" x14ac:dyDescent="0.3">
      <c r="A646" s="93" t="s">
        <v>986</v>
      </c>
      <c r="B646" s="94" t="s">
        <v>40</v>
      </c>
      <c r="C646" s="94" t="s">
        <v>290</v>
      </c>
      <c r="D646" s="94" t="s">
        <v>515</v>
      </c>
      <c r="E646" s="95" t="s">
        <v>991</v>
      </c>
      <c r="F646" s="94" t="s">
        <v>988</v>
      </c>
      <c r="G646" s="94" t="s">
        <v>241</v>
      </c>
      <c r="H646" s="94" t="s">
        <v>11</v>
      </c>
      <c r="I646" s="94" t="s">
        <v>219</v>
      </c>
      <c r="J646" s="94"/>
      <c r="K646" s="96">
        <v>58.7</v>
      </c>
      <c r="L646" s="96">
        <f>K646*VLOOKUP(H646,dagsoorttabel1,2,FALSE)</f>
        <v>58.7</v>
      </c>
      <c r="M646" s="97">
        <f>prodnorm38</f>
        <v>0</v>
      </c>
      <c r="N646" s="41">
        <f>dagwerk38</f>
        <v>0</v>
      </c>
      <c r="O646" s="94" t="s">
        <v>106</v>
      </c>
      <c r="P646" s="26">
        <f>uurtarief38</f>
        <v>0</v>
      </c>
      <c r="Q646" s="96" t="e">
        <f>IF(ISBLANK(M646),0,L646/M646)</f>
        <v>#DIV/0!</v>
      </c>
      <c r="R646" s="96" t="e">
        <f>IF(ISBLANK(M646),0,Q646*N646)</f>
        <v>#DIV/0!</v>
      </c>
      <c r="S646" s="26" t="e">
        <f>P646*Q646</f>
        <v>#DIV/0!</v>
      </c>
      <c r="T646" s="96" t="e">
        <f>Q646*dagenperjaar1</f>
        <v>#DIV/0!</v>
      </c>
      <c r="U646" s="27" t="e">
        <f>T646*P646</f>
        <v>#DIV/0!</v>
      </c>
    </row>
    <row r="647" spans="1:21" x14ac:dyDescent="0.3">
      <c r="A647" s="93" t="s">
        <v>986</v>
      </c>
      <c r="B647" s="94" t="s">
        <v>40</v>
      </c>
      <c r="C647" s="94" t="s">
        <v>290</v>
      </c>
      <c r="D647" s="94" t="s">
        <v>516</v>
      </c>
      <c r="E647" s="95" t="s">
        <v>992</v>
      </c>
      <c r="F647" s="94" t="s">
        <v>993</v>
      </c>
      <c r="G647" s="94" t="s">
        <v>255</v>
      </c>
      <c r="H647" s="94" t="s">
        <v>11</v>
      </c>
      <c r="I647" s="94" t="s">
        <v>219</v>
      </c>
      <c r="J647" s="94"/>
      <c r="K647" s="96">
        <v>145</v>
      </c>
      <c r="L647" s="96">
        <f>K647*VLOOKUP(H647,dagsoorttabel1,2,FALSE)</f>
        <v>145</v>
      </c>
      <c r="M647" s="97">
        <f>prodnorm51</f>
        <v>0</v>
      </c>
      <c r="N647" s="41">
        <f>dagwerk51</f>
        <v>0</v>
      </c>
      <c r="O647" s="94" t="s">
        <v>106</v>
      </c>
      <c r="P647" s="26">
        <f>uurtarief51</f>
        <v>0</v>
      </c>
      <c r="Q647" s="96" t="e">
        <f>IF(ISBLANK(M647),0,L647/M647)</f>
        <v>#DIV/0!</v>
      </c>
      <c r="R647" s="96" t="e">
        <f>IF(ISBLANK(M647),0,Q647*N647)</f>
        <v>#DIV/0!</v>
      </c>
      <c r="S647" s="26" t="e">
        <f>P647*Q647</f>
        <v>#DIV/0!</v>
      </c>
      <c r="T647" s="96" t="e">
        <f>Q647*dagenperjaar1</f>
        <v>#DIV/0!</v>
      </c>
      <c r="U647" s="27" t="e">
        <f>T647*P647</f>
        <v>#DIV/0!</v>
      </c>
    </row>
    <row r="648" spans="1:21" x14ac:dyDescent="0.3">
      <c r="A648" s="93" t="s">
        <v>986</v>
      </c>
      <c r="B648" s="94" t="s">
        <v>40</v>
      </c>
      <c r="C648" s="94" t="s">
        <v>290</v>
      </c>
      <c r="D648" s="94" t="s">
        <v>517</v>
      </c>
      <c r="E648" s="95" t="s">
        <v>315</v>
      </c>
      <c r="F648" s="94" t="s">
        <v>316</v>
      </c>
      <c r="G648" s="94" t="s">
        <v>261</v>
      </c>
      <c r="H648" s="94" t="s">
        <v>11</v>
      </c>
      <c r="I648" s="94" t="s">
        <v>219</v>
      </c>
      <c r="J648" s="94"/>
      <c r="K648" s="96">
        <v>1</v>
      </c>
      <c r="L648" s="96">
        <f>K648*VLOOKUP(H648,dagsoorttabel1,2,FALSE)</f>
        <v>1</v>
      </c>
      <c r="M648" s="97">
        <f>prodnorm56</f>
        <v>0</v>
      </c>
      <c r="N648" s="41">
        <f>dagwerk56</f>
        <v>0</v>
      </c>
      <c r="O648" s="94" t="s">
        <v>106</v>
      </c>
      <c r="P648" s="26">
        <f>uurtarief56</f>
        <v>0</v>
      </c>
      <c r="Q648" s="96" t="e">
        <f>IF(ISBLANK(M648),0,L648/M648)</f>
        <v>#DIV/0!</v>
      </c>
      <c r="R648" s="96" t="e">
        <f>IF(ISBLANK(M648),0,Q648*N648)</f>
        <v>#DIV/0!</v>
      </c>
      <c r="S648" s="26" t="e">
        <f>P648*Q648</f>
        <v>#DIV/0!</v>
      </c>
      <c r="T648" s="96" t="e">
        <f>Q648*dagenperjaar1</f>
        <v>#DIV/0!</v>
      </c>
      <c r="U648" s="27" t="e">
        <f>T648*P648</f>
        <v>#DIV/0!</v>
      </c>
    </row>
    <row r="649" spans="1:21" x14ac:dyDescent="0.3">
      <c r="A649" s="93" t="s">
        <v>986</v>
      </c>
      <c r="B649" s="94" t="s">
        <v>40</v>
      </c>
      <c r="C649" s="94" t="s">
        <v>290</v>
      </c>
      <c r="D649" s="94" t="s">
        <v>519</v>
      </c>
      <c r="E649" s="95" t="s">
        <v>315</v>
      </c>
      <c r="F649" s="94" t="s">
        <v>316</v>
      </c>
      <c r="G649" s="94" t="s">
        <v>261</v>
      </c>
      <c r="H649" s="94" t="s">
        <v>11</v>
      </c>
      <c r="I649" s="94" t="s">
        <v>219</v>
      </c>
      <c r="J649" s="94"/>
      <c r="K649" s="96">
        <v>1</v>
      </c>
      <c r="L649" s="96">
        <f>K649*VLOOKUP(H649,dagsoorttabel1,2,FALSE)</f>
        <v>1</v>
      </c>
      <c r="M649" s="97">
        <f>prodnorm56</f>
        <v>0</v>
      </c>
      <c r="N649" s="41">
        <f>dagwerk56</f>
        <v>0</v>
      </c>
      <c r="O649" s="94" t="s">
        <v>106</v>
      </c>
      <c r="P649" s="26">
        <f>uurtarief56</f>
        <v>0</v>
      </c>
      <c r="Q649" s="96" t="e">
        <f>IF(ISBLANK(M649),0,L649/M649)</f>
        <v>#DIV/0!</v>
      </c>
      <c r="R649" s="96" t="e">
        <f>IF(ISBLANK(M649),0,Q649*N649)</f>
        <v>#DIV/0!</v>
      </c>
      <c r="S649" s="26" t="e">
        <f>P649*Q649</f>
        <v>#DIV/0!</v>
      </c>
      <c r="T649" s="96" t="e">
        <f>Q649*dagenperjaar1</f>
        <v>#DIV/0!</v>
      </c>
      <c r="U649" s="27" t="e">
        <f>T649*P649</f>
        <v>#DIV/0!</v>
      </c>
    </row>
    <row r="650" spans="1:21" x14ac:dyDescent="0.3">
      <c r="A650" s="93" t="s">
        <v>986</v>
      </c>
      <c r="B650" s="94" t="s">
        <v>40</v>
      </c>
      <c r="C650" s="94" t="s">
        <v>290</v>
      </c>
      <c r="D650" s="94" t="s">
        <v>520</v>
      </c>
      <c r="E650" s="95" t="s">
        <v>994</v>
      </c>
      <c r="F650" s="94" t="s">
        <v>988</v>
      </c>
      <c r="G650" s="94" t="s">
        <v>241</v>
      </c>
      <c r="H650" s="94" t="s">
        <v>11</v>
      </c>
      <c r="I650" s="94" t="s">
        <v>219</v>
      </c>
      <c r="J650" s="94"/>
      <c r="K650" s="96">
        <v>41.4</v>
      </c>
      <c r="L650" s="96">
        <f>K650*VLOOKUP(H650,dagsoorttabel1,2,FALSE)</f>
        <v>41.4</v>
      </c>
      <c r="M650" s="97">
        <f>prodnorm38</f>
        <v>0</v>
      </c>
      <c r="N650" s="41">
        <f>dagwerk38</f>
        <v>0</v>
      </c>
      <c r="O650" s="94" t="s">
        <v>106</v>
      </c>
      <c r="P650" s="26">
        <f>uurtarief38</f>
        <v>0</v>
      </c>
      <c r="Q650" s="96" t="e">
        <f>IF(ISBLANK(M650),0,L650/M650)</f>
        <v>#DIV/0!</v>
      </c>
      <c r="R650" s="96" t="e">
        <f>IF(ISBLANK(M650),0,Q650*N650)</f>
        <v>#DIV/0!</v>
      </c>
      <c r="S650" s="26" t="e">
        <f>P650*Q650</f>
        <v>#DIV/0!</v>
      </c>
      <c r="T650" s="96" t="e">
        <f>Q650*dagenperjaar1</f>
        <v>#DIV/0!</v>
      </c>
      <c r="U650" s="27" t="e">
        <f>T650*P650</f>
        <v>#DIV/0!</v>
      </c>
    </row>
    <row r="651" spans="1:21" x14ac:dyDescent="0.3">
      <c r="A651" s="93" t="s">
        <v>986</v>
      </c>
      <c r="B651" s="94" t="s">
        <v>40</v>
      </c>
      <c r="C651" s="94" t="s">
        <v>290</v>
      </c>
      <c r="D651" s="94" t="s">
        <v>521</v>
      </c>
      <c r="E651" s="95" t="s">
        <v>338</v>
      </c>
      <c r="F651" s="94" t="s">
        <v>995</v>
      </c>
      <c r="G651" s="94" t="s">
        <v>267</v>
      </c>
      <c r="H651" s="94" t="s">
        <v>11</v>
      </c>
      <c r="I651" s="94" t="s">
        <v>219</v>
      </c>
      <c r="J651" s="94"/>
      <c r="K651" s="96">
        <v>49.5</v>
      </c>
      <c r="L651" s="96">
        <f>K651*VLOOKUP(H651,dagsoorttabel1,2,FALSE)</f>
        <v>49.5</v>
      </c>
      <c r="M651" s="97">
        <f>prodnorm63</f>
        <v>0</v>
      </c>
      <c r="N651" s="41">
        <f>dagwerk63</f>
        <v>0</v>
      </c>
      <c r="O651" s="94" t="s">
        <v>106</v>
      </c>
      <c r="P651" s="26">
        <f>uurtarief63</f>
        <v>0</v>
      </c>
      <c r="Q651" s="96" t="e">
        <f>IF(ISBLANK(M651),0,L651/M651)</f>
        <v>#DIV/0!</v>
      </c>
      <c r="R651" s="96" t="e">
        <f>IF(ISBLANK(M651),0,Q651*N651)</f>
        <v>#DIV/0!</v>
      </c>
      <c r="S651" s="26" t="e">
        <f>P651*Q651</f>
        <v>#DIV/0!</v>
      </c>
      <c r="T651" s="96" t="e">
        <f>Q651*dagenperjaar1</f>
        <v>#DIV/0!</v>
      </c>
      <c r="U651" s="27" t="e">
        <f>T651*P651</f>
        <v>#DIV/0!</v>
      </c>
    </row>
    <row r="652" spans="1:21" x14ac:dyDescent="0.3">
      <c r="A652" s="93" t="s">
        <v>986</v>
      </c>
      <c r="B652" s="94" t="s">
        <v>40</v>
      </c>
      <c r="C652" s="94" t="s">
        <v>290</v>
      </c>
      <c r="D652" s="94" t="s">
        <v>522</v>
      </c>
      <c r="E652" s="95" t="s">
        <v>338</v>
      </c>
      <c r="F652" s="94" t="s">
        <v>995</v>
      </c>
      <c r="G652" s="94" t="s">
        <v>267</v>
      </c>
      <c r="H652" s="94" t="s">
        <v>11</v>
      </c>
      <c r="I652" s="94" t="s">
        <v>219</v>
      </c>
      <c r="J652" s="94"/>
      <c r="K652" s="96">
        <v>49</v>
      </c>
      <c r="L652" s="96">
        <f>K652*VLOOKUP(H652,dagsoorttabel1,2,FALSE)</f>
        <v>49</v>
      </c>
      <c r="M652" s="97">
        <f>prodnorm63</f>
        <v>0</v>
      </c>
      <c r="N652" s="41">
        <f>dagwerk63</f>
        <v>0</v>
      </c>
      <c r="O652" s="94" t="s">
        <v>106</v>
      </c>
      <c r="P652" s="26">
        <f>uurtarief63</f>
        <v>0</v>
      </c>
      <c r="Q652" s="96" t="e">
        <f>IF(ISBLANK(M652),0,L652/M652)</f>
        <v>#DIV/0!</v>
      </c>
      <c r="R652" s="96" t="e">
        <f>IF(ISBLANK(M652),0,Q652*N652)</f>
        <v>#DIV/0!</v>
      </c>
      <c r="S652" s="26" t="e">
        <f>P652*Q652</f>
        <v>#DIV/0!</v>
      </c>
      <c r="T652" s="96" t="e">
        <f>Q652*dagenperjaar1</f>
        <v>#DIV/0!</v>
      </c>
      <c r="U652" s="27" t="e">
        <f>T652*P652</f>
        <v>#DIV/0!</v>
      </c>
    </row>
    <row r="653" spans="1:21" x14ac:dyDescent="0.3">
      <c r="A653" s="93" t="s">
        <v>986</v>
      </c>
      <c r="B653" s="94" t="s">
        <v>40</v>
      </c>
      <c r="C653" s="94" t="s">
        <v>290</v>
      </c>
      <c r="D653" s="94" t="s">
        <v>523</v>
      </c>
      <c r="E653" s="95" t="s">
        <v>996</v>
      </c>
      <c r="F653" s="94" t="s">
        <v>988</v>
      </c>
      <c r="G653" s="94" t="s">
        <v>241</v>
      </c>
      <c r="H653" s="94" t="s">
        <v>11</v>
      </c>
      <c r="I653" s="94" t="s">
        <v>219</v>
      </c>
      <c r="J653" s="94"/>
      <c r="K653" s="96">
        <v>9.1999999999999993</v>
      </c>
      <c r="L653" s="96">
        <f>K653*VLOOKUP(H653,dagsoorttabel1,2,FALSE)</f>
        <v>9.1999999999999993</v>
      </c>
      <c r="M653" s="97">
        <f>prodnorm38</f>
        <v>0</v>
      </c>
      <c r="N653" s="41">
        <f>dagwerk38</f>
        <v>0</v>
      </c>
      <c r="O653" s="94" t="s">
        <v>106</v>
      </c>
      <c r="P653" s="26">
        <f>uurtarief38</f>
        <v>0</v>
      </c>
      <c r="Q653" s="96" t="e">
        <f>IF(ISBLANK(M653),0,L653/M653)</f>
        <v>#DIV/0!</v>
      </c>
      <c r="R653" s="96" t="e">
        <f>IF(ISBLANK(M653),0,Q653*N653)</f>
        <v>#DIV/0!</v>
      </c>
      <c r="S653" s="26" t="e">
        <f>P653*Q653</f>
        <v>#DIV/0!</v>
      </c>
      <c r="T653" s="96" t="e">
        <f>Q653*dagenperjaar1</f>
        <v>#DIV/0!</v>
      </c>
      <c r="U653" s="27" t="e">
        <f>T653*P653</f>
        <v>#DIV/0!</v>
      </c>
    </row>
    <row r="654" spans="1:21" x14ac:dyDescent="0.3">
      <c r="A654" s="93" t="s">
        <v>986</v>
      </c>
      <c r="B654" s="94" t="s">
        <v>40</v>
      </c>
      <c r="C654" s="94" t="s">
        <v>290</v>
      </c>
      <c r="D654" s="94" t="s">
        <v>524</v>
      </c>
      <c r="E654" s="95" t="s">
        <v>997</v>
      </c>
      <c r="F654" s="94" t="s">
        <v>316</v>
      </c>
      <c r="G654" s="94" t="s">
        <v>261</v>
      </c>
      <c r="H654" s="94" t="s">
        <v>11</v>
      </c>
      <c r="I654" s="94" t="s">
        <v>219</v>
      </c>
      <c r="J654" s="94"/>
      <c r="K654" s="96">
        <v>2.2000000000000002</v>
      </c>
      <c r="L654" s="96">
        <f>K654*VLOOKUP(H654,dagsoorttabel1,2,FALSE)</f>
        <v>2.2000000000000002</v>
      </c>
      <c r="M654" s="97">
        <f>prodnorm56</f>
        <v>0</v>
      </c>
      <c r="N654" s="41">
        <f>dagwerk56</f>
        <v>0</v>
      </c>
      <c r="O654" s="94" t="s">
        <v>106</v>
      </c>
      <c r="P654" s="26">
        <f>uurtarief56</f>
        <v>0</v>
      </c>
      <c r="Q654" s="96" t="e">
        <f>IF(ISBLANK(M654),0,L654/M654)</f>
        <v>#DIV/0!</v>
      </c>
      <c r="R654" s="96" t="e">
        <f>IF(ISBLANK(M654),0,Q654*N654)</f>
        <v>#DIV/0!</v>
      </c>
      <c r="S654" s="26" t="e">
        <f>P654*Q654</f>
        <v>#DIV/0!</v>
      </c>
      <c r="T654" s="96" t="e">
        <f>Q654*dagenperjaar1</f>
        <v>#DIV/0!</v>
      </c>
      <c r="U654" s="27" t="e">
        <f>T654*P654</f>
        <v>#DIV/0!</v>
      </c>
    </row>
    <row r="655" spans="1:21" x14ac:dyDescent="0.3">
      <c r="A655" s="93" t="s">
        <v>986</v>
      </c>
      <c r="B655" s="94" t="s">
        <v>40</v>
      </c>
      <c r="C655" s="94" t="s">
        <v>290</v>
      </c>
      <c r="D655" s="94" t="s">
        <v>525</v>
      </c>
      <c r="E655" s="95" t="s">
        <v>315</v>
      </c>
      <c r="F655" s="94" t="s">
        <v>316</v>
      </c>
      <c r="G655" s="94" t="s">
        <v>261</v>
      </c>
      <c r="H655" s="94" t="s">
        <v>11</v>
      </c>
      <c r="I655" s="94" t="s">
        <v>219</v>
      </c>
      <c r="J655" s="94"/>
      <c r="K655" s="96">
        <v>9.25</v>
      </c>
      <c r="L655" s="96">
        <f>K655*VLOOKUP(H655,dagsoorttabel1,2,FALSE)</f>
        <v>9.25</v>
      </c>
      <c r="M655" s="97">
        <f>prodnorm56</f>
        <v>0</v>
      </c>
      <c r="N655" s="41">
        <f>dagwerk56</f>
        <v>0</v>
      </c>
      <c r="O655" s="94" t="s">
        <v>106</v>
      </c>
      <c r="P655" s="26">
        <f>uurtarief56</f>
        <v>0</v>
      </c>
      <c r="Q655" s="96" t="e">
        <f>IF(ISBLANK(M655),0,L655/M655)</f>
        <v>#DIV/0!</v>
      </c>
      <c r="R655" s="96" t="e">
        <f>IF(ISBLANK(M655),0,Q655*N655)</f>
        <v>#DIV/0!</v>
      </c>
      <c r="S655" s="26" t="e">
        <f>P655*Q655</f>
        <v>#DIV/0!</v>
      </c>
      <c r="T655" s="96" t="e">
        <f>Q655*dagenperjaar1</f>
        <v>#DIV/0!</v>
      </c>
      <c r="U655" s="27" t="e">
        <f>T655*P655</f>
        <v>#DIV/0!</v>
      </c>
    </row>
    <row r="656" spans="1:21" x14ac:dyDescent="0.3">
      <c r="A656" s="93" t="s">
        <v>986</v>
      </c>
      <c r="B656" s="94" t="s">
        <v>40</v>
      </c>
      <c r="C656" s="94" t="s">
        <v>290</v>
      </c>
      <c r="D656" s="94" t="s">
        <v>526</v>
      </c>
      <c r="E656" s="95" t="s">
        <v>315</v>
      </c>
      <c r="F656" s="94" t="s">
        <v>316</v>
      </c>
      <c r="G656" s="94" t="s">
        <v>261</v>
      </c>
      <c r="H656" s="94" t="s">
        <v>11</v>
      </c>
      <c r="I656" s="94" t="s">
        <v>219</v>
      </c>
      <c r="J656" s="94"/>
      <c r="K656" s="96">
        <v>4.3</v>
      </c>
      <c r="L656" s="96">
        <f>K656*VLOOKUP(H656,dagsoorttabel1,2,FALSE)</f>
        <v>4.3</v>
      </c>
      <c r="M656" s="97">
        <f>prodnorm56</f>
        <v>0</v>
      </c>
      <c r="N656" s="41">
        <f>dagwerk56</f>
        <v>0</v>
      </c>
      <c r="O656" s="94" t="s">
        <v>106</v>
      </c>
      <c r="P656" s="26">
        <f>uurtarief56</f>
        <v>0</v>
      </c>
      <c r="Q656" s="96" t="e">
        <f>IF(ISBLANK(M656),0,L656/M656)</f>
        <v>#DIV/0!</v>
      </c>
      <c r="R656" s="96" t="e">
        <f>IF(ISBLANK(M656),0,Q656*N656)</f>
        <v>#DIV/0!</v>
      </c>
      <c r="S656" s="26" t="e">
        <f>P656*Q656</f>
        <v>#DIV/0!</v>
      </c>
      <c r="T656" s="96" t="e">
        <f>Q656*dagenperjaar1</f>
        <v>#DIV/0!</v>
      </c>
      <c r="U656" s="27" t="e">
        <f>T656*P656</f>
        <v>#DIV/0!</v>
      </c>
    </row>
    <row r="657" spans="1:21" x14ac:dyDescent="0.3">
      <c r="A657" s="93" t="s">
        <v>986</v>
      </c>
      <c r="B657" s="94" t="s">
        <v>40</v>
      </c>
      <c r="C657" s="94" t="s">
        <v>290</v>
      </c>
      <c r="D657" s="94" t="s">
        <v>527</v>
      </c>
      <c r="E657" s="95" t="s">
        <v>338</v>
      </c>
      <c r="F657" s="94" t="s">
        <v>998</v>
      </c>
      <c r="G657" s="94" t="s">
        <v>267</v>
      </c>
      <c r="H657" s="94" t="s">
        <v>11</v>
      </c>
      <c r="I657" s="94" t="s">
        <v>219</v>
      </c>
      <c r="J657" s="94"/>
      <c r="K657" s="96">
        <v>30</v>
      </c>
      <c r="L657" s="96">
        <f>K657*VLOOKUP(H657,dagsoorttabel1,2,FALSE)</f>
        <v>30</v>
      </c>
      <c r="M657" s="97">
        <f>prodnorm63</f>
        <v>0</v>
      </c>
      <c r="N657" s="41">
        <f>dagwerk63</f>
        <v>0</v>
      </c>
      <c r="O657" s="94" t="s">
        <v>106</v>
      </c>
      <c r="P657" s="26">
        <f>uurtarief63</f>
        <v>0</v>
      </c>
      <c r="Q657" s="96" t="e">
        <f>IF(ISBLANK(M657),0,L657/M657)</f>
        <v>#DIV/0!</v>
      </c>
      <c r="R657" s="96" t="e">
        <f>IF(ISBLANK(M657),0,Q657*N657)</f>
        <v>#DIV/0!</v>
      </c>
      <c r="S657" s="26" t="e">
        <f>P657*Q657</f>
        <v>#DIV/0!</v>
      </c>
      <c r="T657" s="96" t="e">
        <f>Q657*dagenperjaar1</f>
        <v>#DIV/0!</v>
      </c>
      <c r="U657" s="27" t="e">
        <f>T657*P657</f>
        <v>#DIV/0!</v>
      </c>
    </row>
    <row r="658" spans="1:21" x14ac:dyDescent="0.3">
      <c r="A658" s="93" t="s">
        <v>986</v>
      </c>
      <c r="B658" s="94" t="s">
        <v>40</v>
      </c>
      <c r="C658" s="94" t="s">
        <v>290</v>
      </c>
      <c r="D658" s="94" t="s">
        <v>528</v>
      </c>
      <c r="E658" s="95" t="s">
        <v>303</v>
      </c>
      <c r="F658" s="94" t="s">
        <v>638</v>
      </c>
      <c r="G658" s="94" t="s">
        <v>265</v>
      </c>
      <c r="H658" s="94" t="s">
        <v>11</v>
      </c>
      <c r="I658" s="94" t="s">
        <v>219</v>
      </c>
      <c r="J658" s="94"/>
      <c r="K658" s="96">
        <v>2.7</v>
      </c>
      <c r="L658" s="96">
        <f>K658*VLOOKUP(H658,dagsoorttabel1,2,FALSE)</f>
        <v>2.7</v>
      </c>
      <c r="M658" s="97">
        <f>prodnorm61</f>
        <v>0</v>
      </c>
      <c r="N658" s="41">
        <f>dagwerk61</f>
        <v>0</v>
      </c>
      <c r="O658" s="94" t="s">
        <v>106</v>
      </c>
      <c r="P658" s="26">
        <f>uurtarief61</f>
        <v>0</v>
      </c>
      <c r="Q658" s="96" t="e">
        <f>IF(ISBLANK(M658),0,L658/M658)</f>
        <v>#DIV/0!</v>
      </c>
      <c r="R658" s="96" t="e">
        <f>IF(ISBLANK(M658),0,Q658*N658)</f>
        <v>#DIV/0!</v>
      </c>
      <c r="S658" s="26" t="e">
        <f>P658*Q658</f>
        <v>#DIV/0!</v>
      </c>
      <c r="T658" s="96" t="e">
        <f>Q658*dagenperjaar1</f>
        <v>#DIV/0!</v>
      </c>
      <c r="U658" s="27" t="e">
        <f>T658*P658</f>
        <v>#DIV/0!</v>
      </c>
    </row>
    <row r="659" spans="1:21" x14ac:dyDescent="0.3">
      <c r="A659" s="93" t="s">
        <v>986</v>
      </c>
      <c r="B659" s="94" t="s">
        <v>40</v>
      </c>
      <c r="C659" s="94" t="s">
        <v>290</v>
      </c>
      <c r="D659" s="94" t="s">
        <v>620</v>
      </c>
      <c r="E659" s="95" t="s">
        <v>999</v>
      </c>
      <c r="F659" s="94" t="s">
        <v>998</v>
      </c>
      <c r="G659" s="94" t="s">
        <v>223</v>
      </c>
      <c r="H659" s="94" t="s">
        <v>11</v>
      </c>
      <c r="I659" s="94" t="s">
        <v>219</v>
      </c>
      <c r="J659" s="94"/>
      <c r="K659" s="96">
        <v>12.3</v>
      </c>
      <c r="L659" s="96">
        <f>K659*VLOOKUP(H659,dagsoorttabel1,2,FALSE)</f>
        <v>12.3</v>
      </c>
      <c r="M659" s="97">
        <f>prodnorm18</f>
        <v>0</v>
      </c>
      <c r="N659" s="41">
        <f>dagwerk18</f>
        <v>0</v>
      </c>
      <c r="O659" s="94" t="s">
        <v>106</v>
      </c>
      <c r="P659" s="26">
        <f>uurtarief18</f>
        <v>0</v>
      </c>
      <c r="Q659" s="96" t="e">
        <f>IF(ISBLANK(M659),0,L659/M659)</f>
        <v>#DIV/0!</v>
      </c>
      <c r="R659" s="96" t="e">
        <f>IF(ISBLANK(M659),0,Q659*N659)</f>
        <v>#DIV/0!</v>
      </c>
      <c r="S659" s="26" t="e">
        <f>P659*Q659</f>
        <v>#DIV/0!</v>
      </c>
      <c r="T659" s="96" t="e">
        <f>Q659*dagenperjaar1</f>
        <v>#DIV/0!</v>
      </c>
      <c r="U659" s="27" t="e">
        <f>T659*P659</f>
        <v>#DIV/0!</v>
      </c>
    </row>
    <row r="660" spans="1:21" x14ac:dyDescent="0.3">
      <c r="A660" s="93" t="s">
        <v>986</v>
      </c>
      <c r="B660" s="94" t="s">
        <v>40</v>
      </c>
      <c r="C660" s="94" t="s">
        <v>290</v>
      </c>
      <c r="D660" s="94" t="s">
        <v>529</v>
      </c>
      <c r="E660" s="95" t="s">
        <v>1000</v>
      </c>
      <c r="F660" s="94" t="s">
        <v>995</v>
      </c>
      <c r="G660" s="94" t="s">
        <v>261</v>
      </c>
      <c r="H660" s="94" t="s">
        <v>11</v>
      </c>
      <c r="I660" s="94" t="s">
        <v>219</v>
      </c>
      <c r="J660" s="94"/>
      <c r="K660" s="96">
        <v>4</v>
      </c>
      <c r="L660" s="96">
        <f>K660*VLOOKUP(H660,dagsoorttabel1,2,FALSE)</f>
        <v>4</v>
      </c>
      <c r="M660" s="97">
        <f>prodnorm56</f>
        <v>0</v>
      </c>
      <c r="N660" s="41">
        <f>dagwerk56</f>
        <v>0</v>
      </c>
      <c r="O660" s="94" t="s">
        <v>106</v>
      </c>
      <c r="P660" s="26">
        <f>uurtarief56</f>
        <v>0</v>
      </c>
      <c r="Q660" s="96" t="e">
        <f>IF(ISBLANK(M660),0,L660/M660)</f>
        <v>#DIV/0!</v>
      </c>
      <c r="R660" s="96" t="e">
        <f>IF(ISBLANK(M660),0,Q660*N660)</f>
        <v>#DIV/0!</v>
      </c>
      <c r="S660" s="26" t="e">
        <f>P660*Q660</f>
        <v>#DIV/0!</v>
      </c>
      <c r="T660" s="96" t="e">
        <f>Q660*dagenperjaar1</f>
        <v>#DIV/0!</v>
      </c>
      <c r="U660" s="27" t="e">
        <f>T660*P660</f>
        <v>#DIV/0!</v>
      </c>
    </row>
    <row r="661" spans="1:21" x14ac:dyDescent="0.3">
      <c r="A661" s="93" t="s">
        <v>986</v>
      </c>
      <c r="B661" s="94" t="s">
        <v>40</v>
      </c>
      <c r="C661" s="94" t="s">
        <v>290</v>
      </c>
      <c r="D661" s="94" t="s">
        <v>530</v>
      </c>
      <c r="E661" s="95" t="s">
        <v>346</v>
      </c>
      <c r="F661" s="94" t="s">
        <v>998</v>
      </c>
      <c r="G661" s="94" t="s">
        <v>235</v>
      </c>
      <c r="H661" s="94" t="s">
        <v>11</v>
      </c>
      <c r="I661" s="94" t="s">
        <v>219</v>
      </c>
      <c r="J661" s="94"/>
      <c r="K661" s="96">
        <v>280</v>
      </c>
      <c r="L661" s="96">
        <f>K661*VLOOKUP(H661,dagsoorttabel1,2,FALSE)</f>
        <v>280</v>
      </c>
      <c r="M661" s="97">
        <f>prodnorm33</f>
        <v>0</v>
      </c>
      <c r="N661" s="41">
        <f>dagwerk33</f>
        <v>0</v>
      </c>
      <c r="O661" s="94" t="s">
        <v>106</v>
      </c>
      <c r="P661" s="26">
        <f>uurtarief33</f>
        <v>0</v>
      </c>
      <c r="Q661" s="96" t="e">
        <f>IF(ISBLANK(M661),0,L661/M661)</f>
        <v>#DIV/0!</v>
      </c>
      <c r="R661" s="96" t="e">
        <f>IF(ISBLANK(M661),0,Q661*N661)</f>
        <v>#DIV/0!</v>
      </c>
      <c r="S661" s="26" t="e">
        <f>P661*Q661</f>
        <v>#DIV/0!</v>
      </c>
      <c r="T661" s="96" t="e">
        <f>Q661*dagenperjaar1</f>
        <v>#DIV/0!</v>
      </c>
      <c r="U661" s="27" t="e">
        <f>T661*P661</f>
        <v>#DIV/0!</v>
      </c>
    </row>
    <row r="662" spans="1:21" x14ac:dyDescent="0.3">
      <c r="A662" s="93" t="s">
        <v>986</v>
      </c>
      <c r="B662" s="94" t="s">
        <v>40</v>
      </c>
      <c r="C662" s="94" t="s">
        <v>290</v>
      </c>
      <c r="D662" s="94" t="s">
        <v>622</v>
      </c>
      <c r="E662" s="95" t="s">
        <v>349</v>
      </c>
      <c r="F662" s="94" t="s">
        <v>998</v>
      </c>
      <c r="G662" s="94" t="s">
        <v>235</v>
      </c>
      <c r="H662" s="94" t="s">
        <v>18</v>
      </c>
      <c r="I662" s="94" t="s">
        <v>219</v>
      </c>
      <c r="J662" s="94"/>
      <c r="K662" s="96">
        <v>20</v>
      </c>
      <c r="L662" s="96">
        <f>K662*VLOOKUP(H662,dagsoorttabel1,2,FALSE)</f>
        <v>4</v>
      </c>
      <c r="M662" s="97">
        <f>prodnorm34</f>
        <v>0</v>
      </c>
      <c r="N662" s="41">
        <f>dagwerk34</f>
        <v>0</v>
      </c>
      <c r="O662" s="94" t="s">
        <v>106</v>
      </c>
      <c r="P662" s="26">
        <f>uurtarief34</f>
        <v>0</v>
      </c>
      <c r="Q662" s="96" t="e">
        <f>IF(ISBLANK(M662),0,L662/M662)</f>
        <v>#DIV/0!</v>
      </c>
      <c r="R662" s="96" t="e">
        <f>IF(ISBLANK(M662),0,Q662*N662)</f>
        <v>#DIV/0!</v>
      </c>
      <c r="S662" s="26" t="e">
        <f>P662*Q662</f>
        <v>#DIV/0!</v>
      </c>
      <c r="T662" s="96" t="e">
        <f>Q662*dagenperjaar1</f>
        <v>#DIV/0!</v>
      </c>
      <c r="U662" s="27" t="e">
        <f>T662*P662</f>
        <v>#DIV/0!</v>
      </c>
    </row>
    <row r="663" spans="1:21" x14ac:dyDescent="0.3">
      <c r="A663" s="93" t="s">
        <v>986</v>
      </c>
      <c r="B663" s="94" t="s">
        <v>40</v>
      </c>
      <c r="C663" s="94" t="s">
        <v>290</v>
      </c>
      <c r="D663" s="94" t="s">
        <v>536</v>
      </c>
      <c r="E663" s="95" t="s">
        <v>1001</v>
      </c>
      <c r="F663" s="94" t="s">
        <v>995</v>
      </c>
      <c r="G663" s="94" t="s">
        <v>239</v>
      </c>
      <c r="H663" s="94" t="s">
        <v>11</v>
      </c>
      <c r="I663" s="94" t="s">
        <v>219</v>
      </c>
      <c r="J663" s="94"/>
      <c r="K663" s="96">
        <v>21</v>
      </c>
      <c r="L663" s="96">
        <f>K663*VLOOKUP(H663,dagsoorttabel1,2,FALSE)</f>
        <v>21</v>
      </c>
      <c r="M663" s="97">
        <f>prodnorm36</f>
        <v>0</v>
      </c>
      <c r="N663" s="41">
        <f>dagwerk36</f>
        <v>0</v>
      </c>
      <c r="O663" s="94" t="s">
        <v>106</v>
      </c>
      <c r="P663" s="26">
        <f>uurtarief36</f>
        <v>0</v>
      </c>
      <c r="Q663" s="96" t="e">
        <f>IF(ISBLANK(M663),0,L663/M663)</f>
        <v>#DIV/0!</v>
      </c>
      <c r="R663" s="96" t="e">
        <f>IF(ISBLANK(M663),0,Q663*N663)</f>
        <v>#DIV/0!</v>
      </c>
      <c r="S663" s="26" t="e">
        <f>P663*Q663</f>
        <v>#DIV/0!</v>
      </c>
      <c r="T663" s="96" t="e">
        <f>Q663*dagenperjaar1</f>
        <v>#DIV/0!</v>
      </c>
      <c r="U663" s="27" t="e">
        <f>T663*P663</f>
        <v>#DIV/0!</v>
      </c>
    </row>
    <row r="664" spans="1:21" x14ac:dyDescent="0.3">
      <c r="A664" s="93" t="s">
        <v>986</v>
      </c>
      <c r="B664" s="94" t="s">
        <v>40</v>
      </c>
      <c r="C664" s="94" t="s">
        <v>290</v>
      </c>
      <c r="D664" s="94" t="s">
        <v>623</v>
      </c>
      <c r="E664" s="95" t="s">
        <v>554</v>
      </c>
      <c r="F664" s="94" t="s">
        <v>316</v>
      </c>
      <c r="G664" s="94" t="s">
        <v>261</v>
      </c>
      <c r="H664" s="94" t="s">
        <v>11</v>
      </c>
      <c r="I664" s="94" t="s">
        <v>219</v>
      </c>
      <c r="J664" s="94"/>
      <c r="K664" s="96">
        <v>2.2000000000000002</v>
      </c>
      <c r="L664" s="96">
        <f>K664*VLOOKUP(H664,dagsoorttabel1,2,FALSE)</f>
        <v>2.2000000000000002</v>
      </c>
      <c r="M664" s="97">
        <f>prodnorm56</f>
        <v>0</v>
      </c>
      <c r="N664" s="41">
        <f>dagwerk56</f>
        <v>0</v>
      </c>
      <c r="O664" s="94" t="s">
        <v>106</v>
      </c>
      <c r="P664" s="26">
        <f>uurtarief56</f>
        <v>0</v>
      </c>
      <c r="Q664" s="96" t="e">
        <f>IF(ISBLANK(M664),0,L664/M664)</f>
        <v>#DIV/0!</v>
      </c>
      <c r="R664" s="96" t="e">
        <f>IF(ISBLANK(M664),0,Q664*N664)</f>
        <v>#DIV/0!</v>
      </c>
      <c r="S664" s="26" t="e">
        <f>P664*Q664</f>
        <v>#DIV/0!</v>
      </c>
      <c r="T664" s="96" t="e">
        <f>Q664*dagenperjaar1</f>
        <v>#DIV/0!</v>
      </c>
      <c r="U664" s="27" t="e">
        <f>T664*P664</f>
        <v>#DIV/0!</v>
      </c>
    </row>
    <row r="665" spans="1:21" x14ac:dyDescent="0.3">
      <c r="A665" s="93" t="s">
        <v>986</v>
      </c>
      <c r="B665" s="94" t="s">
        <v>40</v>
      </c>
      <c r="C665" s="94" t="s">
        <v>290</v>
      </c>
      <c r="D665" s="94" t="s">
        <v>538</v>
      </c>
      <c r="E665" s="95" t="s">
        <v>315</v>
      </c>
      <c r="F665" s="94" t="s">
        <v>995</v>
      </c>
      <c r="G665" s="94" t="s">
        <v>261</v>
      </c>
      <c r="H665" s="94" t="s">
        <v>11</v>
      </c>
      <c r="I665" s="94" t="s">
        <v>219</v>
      </c>
      <c r="J665" s="94"/>
      <c r="K665" s="96">
        <v>1</v>
      </c>
      <c r="L665" s="96">
        <f>K665*VLOOKUP(H665,dagsoorttabel1,2,FALSE)</f>
        <v>1</v>
      </c>
      <c r="M665" s="97">
        <f>prodnorm56</f>
        <v>0</v>
      </c>
      <c r="N665" s="41">
        <f>dagwerk56</f>
        <v>0</v>
      </c>
      <c r="O665" s="94" t="s">
        <v>106</v>
      </c>
      <c r="P665" s="26">
        <f>uurtarief56</f>
        <v>0</v>
      </c>
      <c r="Q665" s="96" t="e">
        <f>IF(ISBLANK(M665),0,L665/M665)</f>
        <v>#DIV/0!</v>
      </c>
      <c r="R665" s="96" t="e">
        <f>IF(ISBLANK(M665),0,Q665*N665)</f>
        <v>#DIV/0!</v>
      </c>
      <c r="S665" s="26" t="e">
        <f>P665*Q665</f>
        <v>#DIV/0!</v>
      </c>
      <c r="T665" s="96" t="e">
        <f>Q665*dagenperjaar1</f>
        <v>#DIV/0!</v>
      </c>
      <c r="U665" s="27" t="e">
        <f>T665*P665</f>
        <v>#DIV/0!</v>
      </c>
    </row>
    <row r="666" spans="1:21" x14ac:dyDescent="0.3">
      <c r="A666" s="93" t="s">
        <v>986</v>
      </c>
      <c r="B666" s="94" t="s">
        <v>40</v>
      </c>
      <c r="C666" s="94" t="s">
        <v>290</v>
      </c>
      <c r="D666" s="94" t="s">
        <v>668</v>
      </c>
      <c r="E666" s="95" t="s">
        <v>1002</v>
      </c>
      <c r="F666" s="94" t="s">
        <v>995</v>
      </c>
      <c r="G666" s="94" t="s">
        <v>249</v>
      </c>
      <c r="H666" s="94" t="s">
        <v>21</v>
      </c>
      <c r="I666" s="94" t="s">
        <v>219</v>
      </c>
      <c r="J666" s="94"/>
      <c r="K666" s="96">
        <v>4</v>
      </c>
      <c r="L666" s="96">
        <f>K666*VLOOKUP(H666,dagsoorttabel1,2,FALSE)</f>
        <v>0.2</v>
      </c>
      <c r="M666" s="97">
        <f>prodnorm45</f>
        <v>0</v>
      </c>
      <c r="N666" s="41">
        <f>dagwerk45</f>
        <v>0</v>
      </c>
      <c r="O666" s="94" t="s">
        <v>106</v>
      </c>
      <c r="P666" s="26">
        <f>uurtarief45</f>
        <v>0</v>
      </c>
      <c r="Q666" s="96" t="e">
        <f>IF(ISBLANK(M666),0,L666/M666)</f>
        <v>#DIV/0!</v>
      </c>
      <c r="R666" s="96" t="e">
        <f>IF(ISBLANK(M666),0,Q666*N666)</f>
        <v>#DIV/0!</v>
      </c>
      <c r="S666" s="26" t="e">
        <f>P666*Q666</f>
        <v>#DIV/0!</v>
      </c>
      <c r="T666" s="96" t="e">
        <f>Q666*dagenperjaar1</f>
        <v>#DIV/0!</v>
      </c>
      <c r="U666" s="27" t="e">
        <f>T666*P666</f>
        <v>#DIV/0!</v>
      </c>
    </row>
    <row r="667" spans="1:21" x14ac:dyDescent="0.3">
      <c r="A667" s="93" t="s">
        <v>986</v>
      </c>
      <c r="B667" s="94" t="s">
        <v>40</v>
      </c>
      <c r="C667" s="94" t="s">
        <v>290</v>
      </c>
      <c r="D667" s="94" t="s">
        <v>672</v>
      </c>
      <c r="E667" s="95" t="s">
        <v>1001</v>
      </c>
      <c r="F667" s="94" t="s">
        <v>995</v>
      </c>
      <c r="G667" s="94" t="s">
        <v>239</v>
      </c>
      <c r="H667" s="94" t="s">
        <v>11</v>
      </c>
      <c r="I667" s="94" t="s">
        <v>219</v>
      </c>
      <c r="J667" s="94"/>
      <c r="K667" s="96">
        <v>21</v>
      </c>
      <c r="L667" s="96">
        <f>K667*VLOOKUP(H667,dagsoorttabel1,2,FALSE)</f>
        <v>21</v>
      </c>
      <c r="M667" s="97">
        <f>prodnorm36</f>
        <v>0</v>
      </c>
      <c r="N667" s="41">
        <f>dagwerk36</f>
        <v>0</v>
      </c>
      <c r="O667" s="94" t="s">
        <v>106</v>
      </c>
      <c r="P667" s="26">
        <f>uurtarief36</f>
        <v>0</v>
      </c>
      <c r="Q667" s="96" t="e">
        <f>IF(ISBLANK(M667),0,L667/M667)</f>
        <v>#DIV/0!</v>
      </c>
      <c r="R667" s="96" t="e">
        <f>IF(ISBLANK(M667),0,Q667*N667)</f>
        <v>#DIV/0!</v>
      </c>
      <c r="S667" s="26" t="e">
        <f>P667*Q667</f>
        <v>#DIV/0!</v>
      </c>
      <c r="T667" s="96" t="e">
        <f>Q667*dagenperjaar1</f>
        <v>#DIV/0!</v>
      </c>
      <c r="U667" s="27" t="e">
        <f>T667*P667</f>
        <v>#DIV/0!</v>
      </c>
    </row>
    <row r="668" spans="1:21" x14ac:dyDescent="0.3">
      <c r="A668" s="93" t="s">
        <v>986</v>
      </c>
      <c r="B668" s="94" t="s">
        <v>40</v>
      </c>
      <c r="C668" s="94" t="s">
        <v>290</v>
      </c>
      <c r="D668" s="94" t="s">
        <v>539</v>
      </c>
      <c r="E668" s="95" t="s">
        <v>554</v>
      </c>
      <c r="F668" s="94" t="s">
        <v>316</v>
      </c>
      <c r="G668" s="94" t="s">
        <v>261</v>
      </c>
      <c r="H668" s="94" t="s">
        <v>11</v>
      </c>
      <c r="I668" s="94" t="s">
        <v>219</v>
      </c>
      <c r="J668" s="94"/>
      <c r="K668" s="96">
        <v>2.2000000000000002</v>
      </c>
      <c r="L668" s="96">
        <f>K668*VLOOKUP(H668,dagsoorttabel1,2,FALSE)</f>
        <v>2.2000000000000002</v>
      </c>
      <c r="M668" s="97">
        <f>prodnorm56</f>
        <v>0</v>
      </c>
      <c r="N668" s="41">
        <f>dagwerk56</f>
        <v>0</v>
      </c>
      <c r="O668" s="94" t="s">
        <v>106</v>
      </c>
      <c r="P668" s="26">
        <f>uurtarief56</f>
        <v>0</v>
      </c>
      <c r="Q668" s="96" t="e">
        <f>IF(ISBLANK(M668),0,L668/M668)</f>
        <v>#DIV/0!</v>
      </c>
      <c r="R668" s="96" t="e">
        <f>IF(ISBLANK(M668),0,Q668*N668)</f>
        <v>#DIV/0!</v>
      </c>
      <c r="S668" s="26" t="e">
        <f>P668*Q668</f>
        <v>#DIV/0!</v>
      </c>
      <c r="T668" s="96" t="e">
        <f>Q668*dagenperjaar1</f>
        <v>#DIV/0!</v>
      </c>
      <c r="U668" s="27" t="e">
        <f>T668*P668</f>
        <v>#DIV/0!</v>
      </c>
    </row>
    <row r="669" spans="1:21" x14ac:dyDescent="0.3">
      <c r="A669" s="93" t="s">
        <v>986</v>
      </c>
      <c r="B669" s="94" t="s">
        <v>40</v>
      </c>
      <c r="C669" s="94" t="s">
        <v>290</v>
      </c>
      <c r="D669" s="94" t="s">
        <v>540</v>
      </c>
      <c r="E669" s="95" t="s">
        <v>315</v>
      </c>
      <c r="F669" s="94" t="s">
        <v>995</v>
      </c>
      <c r="G669" s="94" t="s">
        <v>261</v>
      </c>
      <c r="H669" s="94" t="s">
        <v>11</v>
      </c>
      <c r="I669" s="94" t="s">
        <v>219</v>
      </c>
      <c r="J669" s="94"/>
      <c r="K669" s="96">
        <v>1</v>
      </c>
      <c r="L669" s="96">
        <f>K669*VLOOKUP(H669,dagsoorttabel1,2,FALSE)</f>
        <v>1</v>
      </c>
      <c r="M669" s="97">
        <f>prodnorm56</f>
        <v>0</v>
      </c>
      <c r="N669" s="41">
        <f>dagwerk56</f>
        <v>0</v>
      </c>
      <c r="O669" s="94" t="s">
        <v>106</v>
      </c>
      <c r="P669" s="26">
        <f>uurtarief56</f>
        <v>0</v>
      </c>
      <c r="Q669" s="96" t="e">
        <f>IF(ISBLANK(M669),0,L669/M669)</f>
        <v>#DIV/0!</v>
      </c>
      <c r="R669" s="96" t="e">
        <f>IF(ISBLANK(M669),0,Q669*N669)</f>
        <v>#DIV/0!</v>
      </c>
      <c r="S669" s="26" t="e">
        <f>P669*Q669</f>
        <v>#DIV/0!</v>
      </c>
      <c r="T669" s="96" t="e">
        <f>Q669*dagenperjaar1</f>
        <v>#DIV/0!</v>
      </c>
      <c r="U669" s="27" t="e">
        <f>T669*P669</f>
        <v>#DIV/0!</v>
      </c>
    </row>
    <row r="670" spans="1:21" x14ac:dyDescent="0.3">
      <c r="A670" s="93" t="s">
        <v>986</v>
      </c>
      <c r="B670" s="94" t="s">
        <v>40</v>
      </c>
      <c r="C670" s="94" t="s">
        <v>290</v>
      </c>
      <c r="D670" s="94" t="s">
        <v>541</v>
      </c>
      <c r="E670" s="95" t="s">
        <v>1003</v>
      </c>
      <c r="F670" s="94" t="s">
        <v>330</v>
      </c>
      <c r="G670" s="94" t="s">
        <v>267</v>
      </c>
      <c r="H670" s="94" t="s">
        <v>11</v>
      </c>
      <c r="I670" s="94" t="s">
        <v>219</v>
      </c>
      <c r="J670" s="94"/>
      <c r="K670" s="96">
        <v>57</v>
      </c>
      <c r="L670" s="96">
        <f>K670*VLOOKUP(H670,dagsoorttabel1,2,FALSE)</f>
        <v>57</v>
      </c>
      <c r="M670" s="97">
        <f>prodnorm63</f>
        <v>0</v>
      </c>
      <c r="N670" s="41">
        <f>dagwerk63</f>
        <v>0</v>
      </c>
      <c r="O670" s="94" t="s">
        <v>106</v>
      </c>
      <c r="P670" s="26">
        <f>uurtarief63</f>
        <v>0</v>
      </c>
      <c r="Q670" s="96" t="e">
        <f>IF(ISBLANK(M670),0,L670/M670)</f>
        <v>#DIV/0!</v>
      </c>
      <c r="R670" s="96" t="e">
        <f>IF(ISBLANK(M670),0,Q670*N670)</f>
        <v>#DIV/0!</v>
      </c>
      <c r="S670" s="26" t="e">
        <f>P670*Q670</f>
        <v>#DIV/0!</v>
      </c>
      <c r="T670" s="96" t="e">
        <f>Q670*dagenperjaar1</f>
        <v>#DIV/0!</v>
      </c>
      <c r="U670" s="27" t="e">
        <f>T670*P670</f>
        <v>#DIV/0!</v>
      </c>
    </row>
    <row r="671" spans="1:21" x14ac:dyDescent="0.3">
      <c r="A671" s="93" t="s">
        <v>986</v>
      </c>
      <c r="B671" s="94" t="s">
        <v>40</v>
      </c>
      <c r="C671" s="94" t="s">
        <v>290</v>
      </c>
      <c r="D671" s="94" t="s">
        <v>542</v>
      </c>
      <c r="E671" s="95" t="s">
        <v>329</v>
      </c>
      <c r="F671" s="94" t="s">
        <v>988</v>
      </c>
      <c r="G671" s="94" t="s">
        <v>218</v>
      </c>
      <c r="H671" s="94" t="s">
        <v>11</v>
      </c>
      <c r="I671" s="94" t="s">
        <v>219</v>
      </c>
      <c r="J671" s="94"/>
      <c r="K671" s="96">
        <v>246</v>
      </c>
      <c r="L671" s="96">
        <f>K671*VLOOKUP(H671,dagsoorttabel1,2,FALSE)</f>
        <v>246</v>
      </c>
      <c r="M671" s="97">
        <f>prodnorm16</f>
        <v>0</v>
      </c>
      <c r="N671" s="41">
        <f>dagwerk16</f>
        <v>0</v>
      </c>
      <c r="O671" s="94" t="s">
        <v>106</v>
      </c>
      <c r="P671" s="26">
        <f>uurtarief16</f>
        <v>0</v>
      </c>
      <c r="Q671" s="96" t="e">
        <f>IF(ISBLANK(M671),0,L671/M671)</f>
        <v>#DIV/0!</v>
      </c>
      <c r="R671" s="96" t="e">
        <f>IF(ISBLANK(M671),0,Q671*N671)</f>
        <v>#DIV/0!</v>
      </c>
      <c r="S671" s="26" t="e">
        <f>P671*Q671</f>
        <v>#DIV/0!</v>
      </c>
      <c r="T671" s="96" t="e">
        <f>Q671*dagenperjaar1</f>
        <v>#DIV/0!</v>
      </c>
      <c r="U671" s="27" t="e">
        <f>T671*P671</f>
        <v>#DIV/0!</v>
      </c>
    </row>
    <row r="672" spans="1:21" x14ac:dyDescent="0.3">
      <c r="A672" s="93" t="s">
        <v>986</v>
      </c>
      <c r="B672" s="94" t="s">
        <v>40</v>
      </c>
      <c r="C672" s="94" t="s">
        <v>290</v>
      </c>
      <c r="D672" s="94" t="s">
        <v>1004</v>
      </c>
      <c r="E672" s="95" t="s">
        <v>303</v>
      </c>
      <c r="F672" s="94" t="s">
        <v>657</v>
      </c>
      <c r="G672" s="94" t="s">
        <v>265</v>
      </c>
      <c r="H672" s="94" t="s">
        <v>11</v>
      </c>
      <c r="I672" s="94" t="s">
        <v>219</v>
      </c>
      <c r="J672" s="94"/>
      <c r="K672" s="96">
        <v>14.9</v>
      </c>
      <c r="L672" s="96">
        <f>K672*VLOOKUP(H672,dagsoorttabel1,2,FALSE)</f>
        <v>14.9</v>
      </c>
      <c r="M672" s="97">
        <f>prodnorm61</f>
        <v>0</v>
      </c>
      <c r="N672" s="41">
        <f>dagwerk61</f>
        <v>0</v>
      </c>
      <c r="O672" s="94" t="s">
        <v>106</v>
      </c>
      <c r="P672" s="26">
        <f>uurtarief61</f>
        <v>0</v>
      </c>
      <c r="Q672" s="96" t="e">
        <f>IF(ISBLANK(M672),0,L672/M672)</f>
        <v>#DIV/0!</v>
      </c>
      <c r="R672" s="96" t="e">
        <f>IF(ISBLANK(M672),0,Q672*N672)</f>
        <v>#DIV/0!</v>
      </c>
      <c r="S672" s="26" t="e">
        <f>P672*Q672</f>
        <v>#DIV/0!</v>
      </c>
      <c r="T672" s="96" t="e">
        <f>Q672*dagenperjaar1</f>
        <v>#DIV/0!</v>
      </c>
      <c r="U672" s="27" t="e">
        <f>T672*P672</f>
        <v>#DIV/0!</v>
      </c>
    </row>
    <row r="673" spans="1:21" x14ac:dyDescent="0.3">
      <c r="A673" s="93" t="s">
        <v>986</v>
      </c>
      <c r="B673" s="94" t="s">
        <v>40</v>
      </c>
      <c r="C673" s="94" t="s">
        <v>290</v>
      </c>
      <c r="D673" s="94" t="s">
        <v>1005</v>
      </c>
      <c r="E673" s="95" t="s">
        <v>303</v>
      </c>
      <c r="F673" s="94" t="s">
        <v>657</v>
      </c>
      <c r="G673" s="94" t="s">
        <v>265</v>
      </c>
      <c r="H673" s="94" t="s">
        <v>11</v>
      </c>
      <c r="I673" s="94" t="s">
        <v>219</v>
      </c>
      <c r="J673" s="94"/>
      <c r="K673" s="96">
        <v>14.9</v>
      </c>
      <c r="L673" s="96">
        <f>K673*VLOOKUP(H673,dagsoorttabel1,2,FALSE)</f>
        <v>14.9</v>
      </c>
      <c r="M673" s="97">
        <f>prodnorm61</f>
        <v>0</v>
      </c>
      <c r="N673" s="41">
        <f>dagwerk61</f>
        <v>0</v>
      </c>
      <c r="O673" s="94" t="s">
        <v>106</v>
      </c>
      <c r="P673" s="26">
        <f>uurtarief61</f>
        <v>0</v>
      </c>
      <c r="Q673" s="96" t="e">
        <f>IF(ISBLANK(M673),0,L673/M673)</f>
        <v>#DIV/0!</v>
      </c>
      <c r="R673" s="96" t="e">
        <f>IF(ISBLANK(M673),0,Q673*N673)</f>
        <v>#DIV/0!</v>
      </c>
      <c r="S673" s="26" t="e">
        <f>P673*Q673</f>
        <v>#DIV/0!</v>
      </c>
      <c r="T673" s="96" t="e">
        <f>Q673*dagenperjaar1</f>
        <v>#DIV/0!</v>
      </c>
      <c r="U673" s="27" t="e">
        <f>T673*P673</f>
        <v>#DIV/0!</v>
      </c>
    </row>
    <row r="674" spans="1:21" x14ac:dyDescent="0.3">
      <c r="A674" s="93" t="s">
        <v>986</v>
      </c>
      <c r="B674" s="94" t="s">
        <v>40</v>
      </c>
      <c r="C674" s="94" t="s">
        <v>290</v>
      </c>
      <c r="D674" s="94" t="s">
        <v>543</v>
      </c>
      <c r="E674" s="95" t="s">
        <v>315</v>
      </c>
      <c r="F674" s="94" t="s">
        <v>316</v>
      </c>
      <c r="G674" s="94" t="s">
        <v>261</v>
      </c>
      <c r="H674" s="94" t="s">
        <v>11</v>
      </c>
      <c r="I674" s="94" t="s">
        <v>219</v>
      </c>
      <c r="J674" s="94"/>
      <c r="K674" s="96">
        <v>3.7</v>
      </c>
      <c r="L674" s="96">
        <f>K674*VLOOKUP(H674,dagsoorttabel1,2,FALSE)</f>
        <v>3.7</v>
      </c>
      <c r="M674" s="97">
        <f>prodnorm56</f>
        <v>0</v>
      </c>
      <c r="N674" s="41">
        <f>dagwerk56</f>
        <v>0</v>
      </c>
      <c r="O674" s="94" t="s">
        <v>106</v>
      </c>
      <c r="P674" s="26">
        <f>uurtarief56</f>
        <v>0</v>
      </c>
      <c r="Q674" s="96" t="e">
        <f>IF(ISBLANK(M674),0,L674/M674)</f>
        <v>#DIV/0!</v>
      </c>
      <c r="R674" s="96" t="e">
        <f>IF(ISBLANK(M674),0,Q674*N674)</f>
        <v>#DIV/0!</v>
      </c>
      <c r="S674" s="26" t="e">
        <f>P674*Q674</f>
        <v>#DIV/0!</v>
      </c>
      <c r="T674" s="96" t="e">
        <f>Q674*dagenperjaar1</f>
        <v>#DIV/0!</v>
      </c>
      <c r="U674" s="27" t="e">
        <f>T674*P674</f>
        <v>#DIV/0!</v>
      </c>
    </row>
    <row r="675" spans="1:21" x14ac:dyDescent="0.3">
      <c r="A675" s="93" t="s">
        <v>986</v>
      </c>
      <c r="B675" s="94" t="s">
        <v>40</v>
      </c>
      <c r="C675" s="94" t="s">
        <v>290</v>
      </c>
      <c r="D675" s="94" t="s">
        <v>544</v>
      </c>
      <c r="E675" s="95" t="s">
        <v>315</v>
      </c>
      <c r="F675" s="94" t="s">
        <v>316</v>
      </c>
      <c r="G675" s="94" t="s">
        <v>261</v>
      </c>
      <c r="H675" s="94" t="s">
        <v>11</v>
      </c>
      <c r="I675" s="94" t="s">
        <v>219</v>
      </c>
      <c r="J675" s="94"/>
      <c r="K675" s="96">
        <v>3.7</v>
      </c>
      <c r="L675" s="96">
        <f>K675*VLOOKUP(H675,dagsoorttabel1,2,FALSE)</f>
        <v>3.7</v>
      </c>
      <c r="M675" s="97">
        <f>prodnorm56</f>
        <v>0</v>
      </c>
      <c r="N675" s="41">
        <f>dagwerk56</f>
        <v>0</v>
      </c>
      <c r="O675" s="94" t="s">
        <v>106</v>
      </c>
      <c r="P675" s="26">
        <f>uurtarief56</f>
        <v>0</v>
      </c>
      <c r="Q675" s="96" t="e">
        <f>IF(ISBLANK(M675),0,L675/M675)</f>
        <v>#DIV/0!</v>
      </c>
      <c r="R675" s="96" t="e">
        <f>IF(ISBLANK(M675),0,Q675*N675)</f>
        <v>#DIV/0!</v>
      </c>
      <c r="S675" s="26" t="e">
        <f>P675*Q675</f>
        <v>#DIV/0!</v>
      </c>
      <c r="T675" s="96" t="e">
        <f>Q675*dagenperjaar1</f>
        <v>#DIV/0!</v>
      </c>
      <c r="U675" s="27" t="e">
        <f>T675*P675</f>
        <v>#DIV/0!</v>
      </c>
    </row>
    <row r="676" spans="1:21" x14ac:dyDescent="0.3">
      <c r="A676" s="93" t="s">
        <v>986</v>
      </c>
      <c r="B676" s="94" t="s">
        <v>40</v>
      </c>
      <c r="C676" s="94" t="s">
        <v>290</v>
      </c>
      <c r="D676" s="94" t="s">
        <v>545</v>
      </c>
      <c r="E676" s="95" t="s">
        <v>1006</v>
      </c>
      <c r="F676" s="94" t="s">
        <v>988</v>
      </c>
      <c r="G676" s="94" t="s">
        <v>251</v>
      </c>
      <c r="H676" s="94" t="s">
        <v>11</v>
      </c>
      <c r="I676" s="94" t="s">
        <v>219</v>
      </c>
      <c r="J676" s="94"/>
      <c r="K676" s="96">
        <v>15.8</v>
      </c>
      <c r="L676" s="96">
        <f>K676*VLOOKUP(H676,dagsoorttabel1,2,FALSE)</f>
        <v>15.8</v>
      </c>
      <c r="M676" s="97">
        <f>prodnorm48</f>
        <v>0</v>
      </c>
      <c r="N676" s="41">
        <f>dagwerk48</f>
        <v>0</v>
      </c>
      <c r="O676" s="94" t="s">
        <v>106</v>
      </c>
      <c r="P676" s="26">
        <f>uurtarief48</f>
        <v>0</v>
      </c>
      <c r="Q676" s="96" t="e">
        <f>IF(ISBLANK(M676),0,L676/M676)</f>
        <v>#DIV/0!</v>
      </c>
      <c r="R676" s="96" t="e">
        <f>IF(ISBLANK(M676),0,Q676*N676)</f>
        <v>#DIV/0!</v>
      </c>
      <c r="S676" s="26" t="e">
        <f>P676*Q676</f>
        <v>#DIV/0!</v>
      </c>
      <c r="T676" s="96" t="e">
        <f>Q676*dagenperjaar1</f>
        <v>#DIV/0!</v>
      </c>
      <c r="U676" s="27" t="e">
        <f>T676*P676</f>
        <v>#DIV/0!</v>
      </c>
    </row>
    <row r="677" spans="1:21" x14ac:dyDescent="0.3">
      <c r="A677" s="93" t="s">
        <v>986</v>
      </c>
      <c r="B677" s="94" t="s">
        <v>40</v>
      </c>
      <c r="C677" s="94" t="s">
        <v>290</v>
      </c>
      <c r="D677" s="94" t="s">
        <v>1007</v>
      </c>
      <c r="E677" s="95" t="s">
        <v>338</v>
      </c>
      <c r="F677" s="94" t="s">
        <v>995</v>
      </c>
      <c r="G677" s="94" t="s">
        <v>267</v>
      </c>
      <c r="H677" s="94" t="s">
        <v>11</v>
      </c>
      <c r="I677" s="94" t="s">
        <v>219</v>
      </c>
      <c r="J677" s="94"/>
      <c r="K677" s="96">
        <v>109.6</v>
      </c>
      <c r="L677" s="96">
        <f>K677*VLOOKUP(H677,dagsoorttabel1,2,FALSE)</f>
        <v>109.6</v>
      </c>
      <c r="M677" s="97">
        <f>prodnorm63</f>
        <v>0</v>
      </c>
      <c r="N677" s="41">
        <f>dagwerk63</f>
        <v>0</v>
      </c>
      <c r="O677" s="94" t="s">
        <v>106</v>
      </c>
      <c r="P677" s="26">
        <f>uurtarief63</f>
        <v>0</v>
      </c>
      <c r="Q677" s="96" t="e">
        <f>IF(ISBLANK(M677),0,L677/M677)</f>
        <v>#DIV/0!</v>
      </c>
      <c r="R677" s="96" t="e">
        <f>IF(ISBLANK(M677),0,Q677*N677)</f>
        <v>#DIV/0!</v>
      </c>
      <c r="S677" s="26" t="e">
        <f>P677*Q677</f>
        <v>#DIV/0!</v>
      </c>
      <c r="T677" s="96" t="e">
        <f>Q677*dagenperjaar1</f>
        <v>#DIV/0!</v>
      </c>
      <c r="U677" s="27" t="e">
        <f>T677*P677</f>
        <v>#DIV/0!</v>
      </c>
    </row>
    <row r="678" spans="1:21" x14ac:dyDescent="0.3">
      <c r="A678" s="93" t="s">
        <v>986</v>
      </c>
      <c r="B678" s="94" t="s">
        <v>40</v>
      </c>
      <c r="C678" s="94" t="s">
        <v>290</v>
      </c>
      <c r="D678" s="94" t="s">
        <v>1008</v>
      </c>
      <c r="E678" s="95" t="s">
        <v>1009</v>
      </c>
      <c r="F678" s="94" t="s">
        <v>995</v>
      </c>
      <c r="G678" s="94" t="s">
        <v>267</v>
      </c>
      <c r="H678" s="94" t="s">
        <v>11</v>
      </c>
      <c r="I678" s="94" t="s">
        <v>219</v>
      </c>
      <c r="J678" s="94"/>
      <c r="K678" s="96">
        <v>3</v>
      </c>
      <c r="L678" s="96">
        <f>K678*VLOOKUP(H678,dagsoorttabel1,2,FALSE)</f>
        <v>3</v>
      </c>
      <c r="M678" s="97">
        <f>prodnorm63</f>
        <v>0</v>
      </c>
      <c r="N678" s="41">
        <f>dagwerk63</f>
        <v>0</v>
      </c>
      <c r="O678" s="94" t="s">
        <v>106</v>
      </c>
      <c r="P678" s="26">
        <f>uurtarief63</f>
        <v>0</v>
      </c>
      <c r="Q678" s="96" t="e">
        <f>IF(ISBLANK(M678),0,L678/M678)</f>
        <v>#DIV/0!</v>
      </c>
      <c r="R678" s="96" t="e">
        <f>IF(ISBLANK(M678),0,Q678*N678)</f>
        <v>#DIV/0!</v>
      </c>
      <c r="S678" s="26" t="e">
        <f>P678*Q678</f>
        <v>#DIV/0!</v>
      </c>
      <c r="T678" s="96" t="e">
        <f>Q678*dagenperjaar1</f>
        <v>#DIV/0!</v>
      </c>
      <c r="U678" s="27" t="e">
        <f>T678*P678</f>
        <v>#DIV/0!</v>
      </c>
    </row>
    <row r="679" spans="1:21" x14ac:dyDescent="0.3">
      <c r="A679" s="93" t="s">
        <v>986</v>
      </c>
      <c r="B679" s="94" t="s">
        <v>40</v>
      </c>
      <c r="C679" s="94" t="s">
        <v>290</v>
      </c>
      <c r="D679" s="94" t="s">
        <v>546</v>
      </c>
      <c r="E679" s="95" t="s">
        <v>1010</v>
      </c>
      <c r="F679" s="94" t="s">
        <v>988</v>
      </c>
      <c r="G679" s="94" t="s">
        <v>223</v>
      </c>
      <c r="H679" s="94" t="s">
        <v>11</v>
      </c>
      <c r="I679" s="94" t="s">
        <v>219</v>
      </c>
      <c r="J679" s="94"/>
      <c r="K679" s="96">
        <v>22.6</v>
      </c>
      <c r="L679" s="96">
        <f>K679*VLOOKUP(H679,dagsoorttabel1,2,FALSE)</f>
        <v>22.6</v>
      </c>
      <c r="M679" s="97">
        <f>prodnorm18</f>
        <v>0</v>
      </c>
      <c r="N679" s="41">
        <f>dagwerk18</f>
        <v>0</v>
      </c>
      <c r="O679" s="94" t="s">
        <v>106</v>
      </c>
      <c r="P679" s="26">
        <f>uurtarief18</f>
        <v>0</v>
      </c>
      <c r="Q679" s="96" t="e">
        <f>IF(ISBLANK(M679),0,L679/M679)</f>
        <v>#DIV/0!</v>
      </c>
      <c r="R679" s="96" t="e">
        <f>IF(ISBLANK(M679),0,Q679*N679)</f>
        <v>#DIV/0!</v>
      </c>
      <c r="S679" s="26" t="e">
        <f>P679*Q679</f>
        <v>#DIV/0!</v>
      </c>
      <c r="T679" s="96" t="e">
        <f>Q679*dagenperjaar1</f>
        <v>#DIV/0!</v>
      </c>
      <c r="U679" s="27" t="e">
        <f>T679*P679</f>
        <v>#DIV/0!</v>
      </c>
    </row>
    <row r="680" spans="1:21" x14ac:dyDescent="0.3">
      <c r="A680" s="93" t="s">
        <v>986</v>
      </c>
      <c r="B680" s="94" t="s">
        <v>40</v>
      </c>
      <c r="C680" s="94" t="s">
        <v>290</v>
      </c>
      <c r="D680" s="94" t="s">
        <v>547</v>
      </c>
      <c r="E680" s="95" t="s">
        <v>1011</v>
      </c>
      <c r="F680" s="94" t="s">
        <v>988</v>
      </c>
      <c r="G680" s="94" t="s">
        <v>223</v>
      </c>
      <c r="H680" s="94" t="s">
        <v>11</v>
      </c>
      <c r="I680" s="94" t="s">
        <v>219</v>
      </c>
      <c r="J680" s="94"/>
      <c r="K680" s="96">
        <v>36</v>
      </c>
      <c r="L680" s="96">
        <f>K680*VLOOKUP(H680,dagsoorttabel1,2,FALSE)</f>
        <v>36</v>
      </c>
      <c r="M680" s="97">
        <f>prodnorm18</f>
        <v>0</v>
      </c>
      <c r="N680" s="41">
        <f>dagwerk18</f>
        <v>0</v>
      </c>
      <c r="O680" s="94" t="s">
        <v>106</v>
      </c>
      <c r="P680" s="26">
        <f>uurtarief18</f>
        <v>0</v>
      </c>
      <c r="Q680" s="96" t="e">
        <f>IF(ISBLANK(M680),0,L680/M680)</f>
        <v>#DIV/0!</v>
      </c>
      <c r="R680" s="96" t="e">
        <f>IF(ISBLANK(M680),0,Q680*N680)</f>
        <v>#DIV/0!</v>
      </c>
      <c r="S680" s="26" t="e">
        <f>P680*Q680</f>
        <v>#DIV/0!</v>
      </c>
      <c r="T680" s="96" t="e">
        <f>Q680*dagenperjaar1</f>
        <v>#DIV/0!</v>
      </c>
      <c r="U680" s="27" t="e">
        <f>T680*P680</f>
        <v>#DIV/0!</v>
      </c>
    </row>
    <row r="681" spans="1:21" x14ac:dyDescent="0.3">
      <c r="A681" s="93" t="s">
        <v>986</v>
      </c>
      <c r="B681" s="94" t="s">
        <v>40</v>
      </c>
      <c r="C681" s="94" t="s">
        <v>290</v>
      </c>
      <c r="D681" s="94" t="s">
        <v>548</v>
      </c>
      <c r="E681" s="95" t="s">
        <v>1012</v>
      </c>
      <c r="F681" s="94" t="s">
        <v>316</v>
      </c>
      <c r="G681" s="94" t="s">
        <v>257</v>
      </c>
      <c r="H681" s="94" t="s">
        <v>11</v>
      </c>
      <c r="I681" s="94" t="s">
        <v>219</v>
      </c>
      <c r="J681" s="94"/>
      <c r="K681" s="96">
        <v>16.8</v>
      </c>
      <c r="L681" s="96">
        <f>K681*VLOOKUP(H681,dagsoorttabel1,2,FALSE)</f>
        <v>16.8</v>
      </c>
      <c r="M681" s="97">
        <f>prodnorm52</f>
        <v>0</v>
      </c>
      <c r="N681" s="41">
        <f>dagwerk52</f>
        <v>0</v>
      </c>
      <c r="O681" s="94" t="s">
        <v>106</v>
      </c>
      <c r="P681" s="26">
        <f>uurtarief52</f>
        <v>0</v>
      </c>
      <c r="Q681" s="96" t="e">
        <f>IF(ISBLANK(M681),0,L681/M681)</f>
        <v>#DIV/0!</v>
      </c>
      <c r="R681" s="96" t="e">
        <f>IF(ISBLANK(M681),0,Q681*N681)</f>
        <v>#DIV/0!</v>
      </c>
      <c r="S681" s="26" t="e">
        <f>P681*Q681</f>
        <v>#DIV/0!</v>
      </c>
      <c r="T681" s="96" t="e">
        <f>Q681*dagenperjaar1</f>
        <v>#DIV/0!</v>
      </c>
      <c r="U681" s="27" t="e">
        <f>T681*P681</f>
        <v>#DIV/0!</v>
      </c>
    </row>
    <row r="682" spans="1:21" x14ac:dyDescent="0.3">
      <c r="A682" s="93" t="s">
        <v>986</v>
      </c>
      <c r="B682" s="94" t="s">
        <v>40</v>
      </c>
      <c r="C682" s="94" t="s">
        <v>290</v>
      </c>
      <c r="D682" s="94" t="s">
        <v>1013</v>
      </c>
      <c r="E682" s="95" t="s">
        <v>1014</v>
      </c>
      <c r="F682" s="94" t="s">
        <v>316</v>
      </c>
      <c r="G682" s="94" t="s">
        <v>257</v>
      </c>
      <c r="H682" s="94" t="s">
        <v>11</v>
      </c>
      <c r="I682" s="94" t="s">
        <v>219</v>
      </c>
      <c r="J682" s="94"/>
      <c r="K682" s="96">
        <v>115</v>
      </c>
      <c r="L682" s="96">
        <f>K682*VLOOKUP(H682,dagsoorttabel1,2,FALSE)</f>
        <v>115</v>
      </c>
      <c r="M682" s="97">
        <f>prodnorm52</f>
        <v>0</v>
      </c>
      <c r="N682" s="41">
        <f>dagwerk52</f>
        <v>0</v>
      </c>
      <c r="O682" s="94" t="s">
        <v>106</v>
      </c>
      <c r="P682" s="26">
        <f>uurtarief52</f>
        <v>0</v>
      </c>
      <c r="Q682" s="96" t="e">
        <f>IF(ISBLANK(M682),0,L682/M682)</f>
        <v>#DIV/0!</v>
      </c>
      <c r="R682" s="96" t="e">
        <f>IF(ISBLANK(M682),0,Q682*N682)</f>
        <v>#DIV/0!</v>
      </c>
      <c r="S682" s="26" t="e">
        <f>P682*Q682</f>
        <v>#DIV/0!</v>
      </c>
      <c r="T682" s="96" t="e">
        <f>Q682*dagenperjaar1</f>
        <v>#DIV/0!</v>
      </c>
      <c r="U682" s="27" t="e">
        <f>T682*P682</f>
        <v>#DIV/0!</v>
      </c>
    </row>
    <row r="683" spans="1:21" x14ac:dyDescent="0.3">
      <c r="A683" s="93" t="s">
        <v>986</v>
      </c>
      <c r="B683" s="94" t="s">
        <v>40</v>
      </c>
      <c r="C683" s="94" t="s">
        <v>290</v>
      </c>
      <c r="D683" s="94" t="s">
        <v>1015</v>
      </c>
      <c r="E683" s="95" t="s">
        <v>1016</v>
      </c>
      <c r="F683" s="94" t="s">
        <v>330</v>
      </c>
      <c r="G683" s="94" t="s">
        <v>257</v>
      </c>
      <c r="H683" s="94" t="s">
        <v>11</v>
      </c>
      <c r="I683" s="94" t="s">
        <v>219</v>
      </c>
      <c r="J683" s="94"/>
      <c r="K683" s="96">
        <v>44.7</v>
      </c>
      <c r="L683" s="96">
        <f>K683*VLOOKUP(H683,dagsoorttabel1,2,FALSE)</f>
        <v>44.7</v>
      </c>
      <c r="M683" s="97">
        <f>prodnorm52</f>
        <v>0</v>
      </c>
      <c r="N683" s="41">
        <f>dagwerk52</f>
        <v>0</v>
      </c>
      <c r="O683" s="94" t="s">
        <v>106</v>
      </c>
      <c r="P683" s="26">
        <f>uurtarief52</f>
        <v>0</v>
      </c>
      <c r="Q683" s="96" t="e">
        <f>IF(ISBLANK(M683),0,L683/M683)</f>
        <v>#DIV/0!</v>
      </c>
      <c r="R683" s="96" t="e">
        <f>IF(ISBLANK(M683),0,Q683*N683)</f>
        <v>#DIV/0!</v>
      </c>
      <c r="S683" s="26" t="e">
        <f>P683*Q683</f>
        <v>#DIV/0!</v>
      </c>
      <c r="T683" s="96" t="e">
        <f>Q683*dagenperjaar1</f>
        <v>#DIV/0!</v>
      </c>
      <c r="U683" s="27" t="e">
        <f>T683*P683</f>
        <v>#DIV/0!</v>
      </c>
    </row>
    <row r="684" spans="1:21" x14ac:dyDescent="0.3">
      <c r="A684" s="93" t="s">
        <v>986</v>
      </c>
      <c r="B684" s="94" t="s">
        <v>40</v>
      </c>
      <c r="C684" s="94" t="s">
        <v>290</v>
      </c>
      <c r="D684" s="94" t="s">
        <v>550</v>
      </c>
      <c r="E684" s="95" t="s">
        <v>996</v>
      </c>
      <c r="F684" s="94" t="s">
        <v>316</v>
      </c>
      <c r="G684" s="94" t="s">
        <v>249</v>
      </c>
      <c r="H684" s="94" t="s">
        <v>21</v>
      </c>
      <c r="I684" s="94" t="s">
        <v>219</v>
      </c>
      <c r="J684" s="94"/>
      <c r="K684" s="96">
        <v>7.2</v>
      </c>
      <c r="L684" s="96">
        <f>K684*VLOOKUP(H684,dagsoorttabel1,2,FALSE)</f>
        <v>0.36000000000000004</v>
      </c>
      <c r="M684" s="97">
        <f>prodnorm45</f>
        <v>0</v>
      </c>
      <c r="N684" s="41">
        <f>dagwerk45</f>
        <v>0</v>
      </c>
      <c r="O684" s="94" t="s">
        <v>106</v>
      </c>
      <c r="P684" s="26">
        <f>uurtarief45</f>
        <v>0</v>
      </c>
      <c r="Q684" s="96" t="e">
        <f>IF(ISBLANK(M684),0,L684/M684)</f>
        <v>#DIV/0!</v>
      </c>
      <c r="R684" s="96" t="e">
        <f>IF(ISBLANK(M684),0,Q684*N684)</f>
        <v>#DIV/0!</v>
      </c>
      <c r="S684" s="26" t="e">
        <f>P684*Q684</f>
        <v>#DIV/0!</v>
      </c>
      <c r="T684" s="96" t="e">
        <f>Q684*dagenperjaar1</f>
        <v>#DIV/0!</v>
      </c>
      <c r="U684" s="27" t="e">
        <f>T684*P684</f>
        <v>#DIV/0!</v>
      </c>
    </row>
    <row r="685" spans="1:21" x14ac:dyDescent="0.3">
      <c r="A685" s="93" t="s">
        <v>986</v>
      </c>
      <c r="B685" s="94" t="s">
        <v>40</v>
      </c>
      <c r="C685" s="94" t="s">
        <v>290</v>
      </c>
      <c r="D685" s="94" t="s">
        <v>551</v>
      </c>
      <c r="E685" s="95" t="s">
        <v>1001</v>
      </c>
      <c r="F685" s="94" t="s">
        <v>316</v>
      </c>
      <c r="G685" s="94" t="s">
        <v>239</v>
      </c>
      <c r="H685" s="94" t="s">
        <v>11</v>
      </c>
      <c r="I685" s="94" t="s">
        <v>219</v>
      </c>
      <c r="J685" s="94"/>
      <c r="K685" s="96">
        <v>4.75</v>
      </c>
      <c r="L685" s="96">
        <f>K685*VLOOKUP(H685,dagsoorttabel1,2,FALSE)</f>
        <v>4.75</v>
      </c>
      <c r="M685" s="97">
        <f>prodnorm36</f>
        <v>0</v>
      </c>
      <c r="N685" s="41">
        <f>dagwerk36</f>
        <v>0</v>
      </c>
      <c r="O685" s="94" t="s">
        <v>106</v>
      </c>
      <c r="P685" s="26">
        <f>uurtarief36</f>
        <v>0</v>
      </c>
      <c r="Q685" s="96" t="e">
        <f>IF(ISBLANK(M685),0,L685/M685)</f>
        <v>#DIV/0!</v>
      </c>
      <c r="R685" s="96" t="e">
        <f>IF(ISBLANK(M685),0,Q685*N685)</f>
        <v>#DIV/0!</v>
      </c>
      <c r="S685" s="26" t="e">
        <f>P685*Q685</f>
        <v>#DIV/0!</v>
      </c>
      <c r="T685" s="96" t="e">
        <f>Q685*dagenperjaar1</f>
        <v>#DIV/0!</v>
      </c>
      <c r="U685" s="27" t="e">
        <f>T685*P685</f>
        <v>#DIV/0!</v>
      </c>
    </row>
    <row r="686" spans="1:21" x14ac:dyDescent="0.3">
      <c r="A686" s="93" t="s">
        <v>986</v>
      </c>
      <c r="B686" s="94" t="s">
        <v>40</v>
      </c>
      <c r="C686" s="94" t="s">
        <v>290</v>
      </c>
      <c r="D686" s="94" t="s">
        <v>552</v>
      </c>
      <c r="E686" s="95" t="s">
        <v>315</v>
      </c>
      <c r="F686" s="94" t="s">
        <v>316</v>
      </c>
      <c r="G686" s="94" t="s">
        <v>261</v>
      </c>
      <c r="H686" s="94" t="s">
        <v>11</v>
      </c>
      <c r="I686" s="94" t="s">
        <v>219</v>
      </c>
      <c r="J686" s="94"/>
      <c r="K686" s="96">
        <v>1</v>
      </c>
      <c r="L686" s="96">
        <f>K686*VLOOKUP(H686,dagsoorttabel1,2,FALSE)</f>
        <v>1</v>
      </c>
      <c r="M686" s="97">
        <f>prodnorm56</f>
        <v>0</v>
      </c>
      <c r="N686" s="41">
        <f>dagwerk56</f>
        <v>0</v>
      </c>
      <c r="O686" s="94" t="s">
        <v>106</v>
      </c>
      <c r="P686" s="26">
        <f>uurtarief56</f>
        <v>0</v>
      </c>
      <c r="Q686" s="96" t="e">
        <f>IF(ISBLANK(M686),0,L686/M686)</f>
        <v>#DIV/0!</v>
      </c>
      <c r="R686" s="96" t="e">
        <f>IF(ISBLANK(M686),0,Q686*N686)</f>
        <v>#DIV/0!</v>
      </c>
      <c r="S686" s="26" t="e">
        <f>P686*Q686</f>
        <v>#DIV/0!</v>
      </c>
      <c r="T686" s="96" t="e">
        <f>Q686*dagenperjaar1</f>
        <v>#DIV/0!</v>
      </c>
      <c r="U686" s="27" t="e">
        <f>T686*P686</f>
        <v>#DIV/0!</v>
      </c>
    </row>
    <row r="687" spans="1:21" x14ac:dyDescent="0.3">
      <c r="A687" s="93" t="s">
        <v>986</v>
      </c>
      <c r="B687" s="94" t="s">
        <v>40</v>
      </c>
      <c r="C687" s="94" t="s">
        <v>290</v>
      </c>
      <c r="D687" s="94" t="s">
        <v>553</v>
      </c>
      <c r="E687" s="95" t="s">
        <v>1001</v>
      </c>
      <c r="F687" s="94" t="s">
        <v>316</v>
      </c>
      <c r="G687" s="94" t="s">
        <v>239</v>
      </c>
      <c r="H687" s="94" t="s">
        <v>11</v>
      </c>
      <c r="I687" s="94" t="s">
        <v>219</v>
      </c>
      <c r="J687" s="94"/>
      <c r="K687" s="96">
        <v>4</v>
      </c>
      <c r="L687" s="96">
        <f>K687*VLOOKUP(H687,dagsoorttabel1,2,FALSE)</f>
        <v>4</v>
      </c>
      <c r="M687" s="97">
        <f>prodnorm36</f>
        <v>0</v>
      </c>
      <c r="N687" s="41">
        <f>dagwerk36</f>
        <v>0</v>
      </c>
      <c r="O687" s="94" t="s">
        <v>106</v>
      </c>
      <c r="P687" s="26">
        <f>uurtarief36</f>
        <v>0</v>
      </c>
      <c r="Q687" s="96" t="e">
        <f>IF(ISBLANK(M687),0,L687/M687)</f>
        <v>#DIV/0!</v>
      </c>
      <c r="R687" s="96" t="e">
        <f>IF(ISBLANK(M687),0,Q687*N687)</f>
        <v>#DIV/0!</v>
      </c>
      <c r="S687" s="26" t="e">
        <f>P687*Q687</f>
        <v>#DIV/0!</v>
      </c>
      <c r="T687" s="96" t="e">
        <f>Q687*dagenperjaar1</f>
        <v>#DIV/0!</v>
      </c>
      <c r="U687" s="27" t="e">
        <f>T687*P687</f>
        <v>#DIV/0!</v>
      </c>
    </row>
    <row r="688" spans="1:21" x14ac:dyDescent="0.3">
      <c r="A688" s="93" t="s">
        <v>986</v>
      </c>
      <c r="B688" s="94" t="s">
        <v>40</v>
      </c>
      <c r="C688" s="94" t="s">
        <v>290</v>
      </c>
      <c r="D688" s="94" t="s">
        <v>555</v>
      </c>
      <c r="E688" s="95" t="s">
        <v>315</v>
      </c>
      <c r="F688" s="94" t="s">
        <v>316</v>
      </c>
      <c r="G688" s="94" t="s">
        <v>261</v>
      </c>
      <c r="H688" s="94" t="s">
        <v>11</v>
      </c>
      <c r="I688" s="94" t="s">
        <v>219</v>
      </c>
      <c r="J688" s="94"/>
      <c r="K688" s="96">
        <v>1</v>
      </c>
      <c r="L688" s="96">
        <f>K688*VLOOKUP(H688,dagsoorttabel1,2,FALSE)</f>
        <v>1</v>
      </c>
      <c r="M688" s="97">
        <f>prodnorm56</f>
        <v>0</v>
      </c>
      <c r="N688" s="41">
        <f>dagwerk56</f>
        <v>0</v>
      </c>
      <c r="O688" s="94" t="s">
        <v>106</v>
      </c>
      <c r="P688" s="26">
        <f>uurtarief56</f>
        <v>0</v>
      </c>
      <c r="Q688" s="96" t="e">
        <f>IF(ISBLANK(M688),0,L688/M688)</f>
        <v>#DIV/0!</v>
      </c>
      <c r="R688" s="96" t="e">
        <f>IF(ISBLANK(M688),0,Q688*N688)</f>
        <v>#DIV/0!</v>
      </c>
      <c r="S688" s="26" t="e">
        <f>P688*Q688</f>
        <v>#DIV/0!</v>
      </c>
      <c r="T688" s="96" t="e">
        <f>Q688*dagenperjaar1</f>
        <v>#DIV/0!</v>
      </c>
      <c r="U688" s="27" t="e">
        <f>T688*P688</f>
        <v>#DIV/0!</v>
      </c>
    </row>
    <row r="689" spans="1:21" ht="28.8" x14ac:dyDescent="0.3">
      <c r="A689" s="93" t="s">
        <v>986</v>
      </c>
      <c r="B689" s="94" t="s">
        <v>40</v>
      </c>
      <c r="C689" s="94" t="s">
        <v>290</v>
      </c>
      <c r="D689" s="94" t="s">
        <v>556</v>
      </c>
      <c r="E689" s="95" t="s">
        <v>1017</v>
      </c>
      <c r="F689" s="94" t="s">
        <v>993</v>
      </c>
      <c r="G689" s="94" t="s">
        <v>253</v>
      </c>
      <c r="H689" s="94" t="s">
        <v>11</v>
      </c>
      <c r="I689" s="94" t="s">
        <v>219</v>
      </c>
      <c r="J689" s="94"/>
      <c r="K689" s="96">
        <v>84</v>
      </c>
      <c r="L689" s="96">
        <f>K689*VLOOKUP(H689,dagsoorttabel1,2,FALSE)</f>
        <v>84</v>
      </c>
      <c r="M689" s="97">
        <f>prodnorm49</f>
        <v>0</v>
      </c>
      <c r="N689" s="41">
        <f>dagwerk49</f>
        <v>0</v>
      </c>
      <c r="O689" s="94" t="s">
        <v>106</v>
      </c>
      <c r="P689" s="26">
        <f>uurtarief49</f>
        <v>0</v>
      </c>
      <c r="Q689" s="96" t="e">
        <f>IF(ISBLANK(M689),0,L689/M689)</f>
        <v>#DIV/0!</v>
      </c>
      <c r="R689" s="96" t="e">
        <f>IF(ISBLANK(M689),0,Q689*N689)</f>
        <v>#DIV/0!</v>
      </c>
      <c r="S689" s="26" t="e">
        <f>P689*Q689</f>
        <v>#DIV/0!</v>
      </c>
      <c r="T689" s="96" t="e">
        <f>Q689*dagenperjaar1</f>
        <v>#DIV/0!</v>
      </c>
      <c r="U689" s="27" t="e">
        <f>T689*P689</f>
        <v>#DIV/0!</v>
      </c>
    </row>
    <row r="690" spans="1:21" x14ac:dyDescent="0.3">
      <c r="A690" s="93" t="s">
        <v>986</v>
      </c>
      <c r="B690" s="94" t="s">
        <v>40</v>
      </c>
      <c r="C690" s="94" t="s">
        <v>290</v>
      </c>
      <c r="D690" s="94" t="s">
        <v>557</v>
      </c>
      <c r="E690" s="95" t="s">
        <v>315</v>
      </c>
      <c r="F690" s="94" t="s">
        <v>316</v>
      </c>
      <c r="G690" s="94" t="s">
        <v>261</v>
      </c>
      <c r="H690" s="94" t="s">
        <v>11</v>
      </c>
      <c r="I690" s="94" t="s">
        <v>219</v>
      </c>
      <c r="J690" s="94"/>
      <c r="K690" s="96">
        <v>2.2000000000000002</v>
      </c>
      <c r="L690" s="96">
        <f>K690*VLOOKUP(H690,dagsoorttabel1,2,FALSE)</f>
        <v>2.2000000000000002</v>
      </c>
      <c r="M690" s="97">
        <f>prodnorm56</f>
        <v>0</v>
      </c>
      <c r="N690" s="41">
        <f>dagwerk56</f>
        <v>0</v>
      </c>
      <c r="O690" s="94" t="s">
        <v>106</v>
      </c>
      <c r="P690" s="26">
        <f>uurtarief56</f>
        <v>0</v>
      </c>
      <c r="Q690" s="96" t="e">
        <f>IF(ISBLANK(M690),0,L690/M690)</f>
        <v>#DIV/0!</v>
      </c>
      <c r="R690" s="96" t="e">
        <f>IF(ISBLANK(M690),0,Q690*N690)</f>
        <v>#DIV/0!</v>
      </c>
      <c r="S690" s="26" t="e">
        <f>P690*Q690</f>
        <v>#DIV/0!</v>
      </c>
      <c r="T690" s="96" t="e">
        <f>Q690*dagenperjaar1</f>
        <v>#DIV/0!</v>
      </c>
      <c r="U690" s="27" t="e">
        <f>T690*P690</f>
        <v>#DIV/0!</v>
      </c>
    </row>
    <row r="691" spans="1:21" x14ac:dyDescent="0.3">
      <c r="A691" s="93" t="s">
        <v>986</v>
      </c>
      <c r="B691" s="94" t="s">
        <v>40</v>
      </c>
      <c r="C691" s="94" t="s">
        <v>290</v>
      </c>
      <c r="D691" s="94" t="s">
        <v>1018</v>
      </c>
      <c r="E691" s="95" t="s">
        <v>303</v>
      </c>
      <c r="F691" s="94" t="s">
        <v>638</v>
      </c>
      <c r="G691" s="94" t="s">
        <v>265</v>
      </c>
      <c r="H691" s="94" t="s">
        <v>11</v>
      </c>
      <c r="I691" s="94" t="s">
        <v>219</v>
      </c>
      <c r="J691" s="94"/>
      <c r="K691" s="96">
        <v>10</v>
      </c>
      <c r="L691" s="96">
        <f>K691*VLOOKUP(H691,dagsoorttabel1,2,FALSE)</f>
        <v>10</v>
      </c>
      <c r="M691" s="97">
        <f>prodnorm61</f>
        <v>0</v>
      </c>
      <c r="N691" s="41">
        <f>dagwerk61</f>
        <v>0</v>
      </c>
      <c r="O691" s="94" t="s">
        <v>106</v>
      </c>
      <c r="P691" s="26">
        <f>uurtarief61</f>
        <v>0</v>
      </c>
      <c r="Q691" s="96" t="e">
        <f>IF(ISBLANK(M691),0,L691/M691)</f>
        <v>#DIV/0!</v>
      </c>
      <c r="R691" s="96" t="e">
        <f>IF(ISBLANK(M691),0,Q691*N691)</f>
        <v>#DIV/0!</v>
      </c>
      <c r="S691" s="26" t="e">
        <f>P691*Q691</f>
        <v>#DIV/0!</v>
      </c>
      <c r="T691" s="96" t="e">
        <f>Q691*dagenperjaar1</f>
        <v>#DIV/0!</v>
      </c>
      <c r="U691" s="27" t="e">
        <f>T691*P691</f>
        <v>#DIV/0!</v>
      </c>
    </row>
    <row r="692" spans="1:21" x14ac:dyDescent="0.3">
      <c r="A692" s="93" t="s">
        <v>986</v>
      </c>
      <c r="B692" s="94" t="s">
        <v>40</v>
      </c>
      <c r="C692" s="94" t="s">
        <v>290</v>
      </c>
      <c r="D692" s="94" t="s">
        <v>558</v>
      </c>
      <c r="E692" s="95" t="s">
        <v>1019</v>
      </c>
      <c r="F692" s="94" t="s">
        <v>330</v>
      </c>
      <c r="G692" s="94" t="s">
        <v>255</v>
      </c>
      <c r="H692" s="94" t="s">
        <v>11</v>
      </c>
      <c r="I692" s="94" t="s">
        <v>219</v>
      </c>
      <c r="J692" s="94"/>
      <c r="K692" s="96">
        <v>29</v>
      </c>
      <c r="L692" s="96">
        <f>K692*VLOOKUP(H692,dagsoorttabel1,2,FALSE)</f>
        <v>29</v>
      </c>
      <c r="M692" s="97">
        <f>prodnorm51</f>
        <v>0</v>
      </c>
      <c r="N692" s="41">
        <f>dagwerk51</f>
        <v>0</v>
      </c>
      <c r="O692" s="94" t="s">
        <v>106</v>
      </c>
      <c r="P692" s="26">
        <f>uurtarief51</f>
        <v>0</v>
      </c>
      <c r="Q692" s="96" t="e">
        <f>IF(ISBLANK(M692),0,L692/M692)</f>
        <v>#DIV/0!</v>
      </c>
      <c r="R692" s="96" t="e">
        <f>IF(ISBLANK(M692),0,Q692*N692)</f>
        <v>#DIV/0!</v>
      </c>
      <c r="S692" s="26" t="e">
        <f>P692*Q692</f>
        <v>#DIV/0!</v>
      </c>
      <c r="T692" s="96" t="e">
        <f>Q692*dagenperjaar1</f>
        <v>#DIV/0!</v>
      </c>
      <c r="U692" s="27" t="e">
        <f>T692*P692</f>
        <v>#DIV/0!</v>
      </c>
    </row>
    <row r="693" spans="1:21" x14ac:dyDescent="0.3">
      <c r="A693" s="93" t="s">
        <v>986</v>
      </c>
      <c r="B693" s="94" t="s">
        <v>40</v>
      </c>
      <c r="C693" s="94" t="s">
        <v>290</v>
      </c>
      <c r="D693" s="94" t="s">
        <v>1020</v>
      </c>
      <c r="E693" s="95" t="s">
        <v>315</v>
      </c>
      <c r="F693" s="94" t="s">
        <v>995</v>
      </c>
      <c r="G693" s="94" t="s">
        <v>261</v>
      </c>
      <c r="H693" s="94" t="s">
        <v>11</v>
      </c>
      <c r="I693" s="94" t="s">
        <v>219</v>
      </c>
      <c r="J693" s="94"/>
      <c r="K693" s="96">
        <v>1</v>
      </c>
      <c r="L693" s="96">
        <f>K693*VLOOKUP(H693,dagsoorttabel1,2,FALSE)</f>
        <v>1</v>
      </c>
      <c r="M693" s="97">
        <f>prodnorm56</f>
        <v>0</v>
      </c>
      <c r="N693" s="41">
        <f>dagwerk56</f>
        <v>0</v>
      </c>
      <c r="O693" s="94" t="s">
        <v>106</v>
      </c>
      <c r="P693" s="26">
        <f>uurtarief56</f>
        <v>0</v>
      </c>
      <c r="Q693" s="96" t="e">
        <f>IF(ISBLANK(M693),0,L693/M693)</f>
        <v>#DIV/0!</v>
      </c>
      <c r="R693" s="96" t="e">
        <f>IF(ISBLANK(M693),0,Q693*N693)</f>
        <v>#DIV/0!</v>
      </c>
      <c r="S693" s="26" t="e">
        <f>P693*Q693</f>
        <v>#DIV/0!</v>
      </c>
      <c r="T693" s="96" t="e">
        <f>Q693*dagenperjaar1</f>
        <v>#DIV/0!</v>
      </c>
      <c r="U693" s="27" t="e">
        <f>T693*P693</f>
        <v>#DIV/0!</v>
      </c>
    </row>
    <row r="694" spans="1:21" x14ac:dyDescent="0.3">
      <c r="A694" s="93" t="s">
        <v>986</v>
      </c>
      <c r="B694" s="94" t="s">
        <v>40</v>
      </c>
      <c r="C694" s="94" t="s">
        <v>290</v>
      </c>
      <c r="D694" s="94" t="s">
        <v>559</v>
      </c>
      <c r="E694" s="95" t="s">
        <v>737</v>
      </c>
      <c r="F694" s="94" t="s">
        <v>995</v>
      </c>
      <c r="G694" s="94" t="s">
        <v>251</v>
      </c>
      <c r="H694" s="94" t="s">
        <v>11</v>
      </c>
      <c r="I694" s="94" t="s">
        <v>219</v>
      </c>
      <c r="J694" s="94"/>
      <c r="K694" s="96">
        <v>6.35</v>
      </c>
      <c r="L694" s="96">
        <f>K694*VLOOKUP(H694,dagsoorttabel1,2,FALSE)</f>
        <v>6.35</v>
      </c>
      <c r="M694" s="97">
        <f>prodnorm48</f>
        <v>0</v>
      </c>
      <c r="N694" s="41">
        <f>dagwerk48</f>
        <v>0</v>
      </c>
      <c r="O694" s="94" t="s">
        <v>106</v>
      </c>
      <c r="P694" s="26">
        <f>uurtarief48</f>
        <v>0</v>
      </c>
      <c r="Q694" s="96" t="e">
        <f>IF(ISBLANK(M694),0,L694/M694)</f>
        <v>#DIV/0!</v>
      </c>
      <c r="R694" s="96" t="e">
        <f>IF(ISBLANK(M694),0,Q694*N694)</f>
        <v>#DIV/0!</v>
      </c>
      <c r="S694" s="26" t="e">
        <f>P694*Q694</f>
        <v>#DIV/0!</v>
      </c>
      <c r="T694" s="96" t="e">
        <f>Q694*dagenperjaar1</f>
        <v>#DIV/0!</v>
      </c>
      <c r="U694" s="27" t="e">
        <f>T694*P694</f>
        <v>#DIV/0!</v>
      </c>
    </row>
    <row r="695" spans="1:21" x14ac:dyDescent="0.3">
      <c r="A695" s="93" t="s">
        <v>986</v>
      </c>
      <c r="B695" s="94" t="s">
        <v>40</v>
      </c>
      <c r="C695" s="94" t="s">
        <v>290</v>
      </c>
      <c r="D695" s="94" t="s">
        <v>560</v>
      </c>
      <c r="E695" s="95" t="s">
        <v>462</v>
      </c>
      <c r="F695" s="94" t="s">
        <v>988</v>
      </c>
      <c r="G695" s="94" t="s">
        <v>223</v>
      </c>
      <c r="H695" s="94" t="s">
        <v>11</v>
      </c>
      <c r="I695" s="94" t="s">
        <v>219</v>
      </c>
      <c r="J695" s="94"/>
      <c r="K695" s="96">
        <v>8.15</v>
      </c>
      <c r="L695" s="96">
        <f>K695*VLOOKUP(H695,dagsoorttabel1,2,FALSE)</f>
        <v>8.15</v>
      </c>
      <c r="M695" s="97">
        <f>prodnorm18</f>
        <v>0</v>
      </c>
      <c r="N695" s="41">
        <f>dagwerk18</f>
        <v>0</v>
      </c>
      <c r="O695" s="94" t="s">
        <v>106</v>
      </c>
      <c r="P695" s="26">
        <f>uurtarief18</f>
        <v>0</v>
      </c>
      <c r="Q695" s="96" t="e">
        <f>IF(ISBLANK(M695),0,L695/M695)</f>
        <v>#DIV/0!</v>
      </c>
      <c r="R695" s="96" t="e">
        <f>IF(ISBLANK(M695),0,Q695*N695)</f>
        <v>#DIV/0!</v>
      </c>
      <c r="S695" s="26" t="e">
        <f>P695*Q695</f>
        <v>#DIV/0!</v>
      </c>
      <c r="T695" s="96" t="e">
        <f>Q695*dagenperjaar1</f>
        <v>#DIV/0!</v>
      </c>
      <c r="U695" s="27" t="e">
        <f>T695*P695</f>
        <v>#DIV/0!</v>
      </c>
    </row>
    <row r="696" spans="1:21" x14ac:dyDescent="0.3">
      <c r="A696" s="93" t="s">
        <v>986</v>
      </c>
      <c r="B696" s="94" t="s">
        <v>40</v>
      </c>
      <c r="C696" s="94" t="s">
        <v>290</v>
      </c>
      <c r="D696" s="94" t="s">
        <v>561</v>
      </c>
      <c r="E696" s="95" t="s">
        <v>1021</v>
      </c>
      <c r="F696" s="94" t="s">
        <v>988</v>
      </c>
      <c r="G696" s="94" t="s">
        <v>223</v>
      </c>
      <c r="H696" s="94" t="s">
        <v>11</v>
      </c>
      <c r="I696" s="94" t="s">
        <v>219</v>
      </c>
      <c r="J696" s="94"/>
      <c r="K696" s="96">
        <v>29.5</v>
      </c>
      <c r="L696" s="96">
        <f>K696*VLOOKUP(H696,dagsoorttabel1,2,FALSE)</f>
        <v>29.5</v>
      </c>
      <c r="M696" s="97">
        <f>prodnorm18</f>
        <v>0</v>
      </c>
      <c r="N696" s="41">
        <f>dagwerk18</f>
        <v>0</v>
      </c>
      <c r="O696" s="94" t="s">
        <v>106</v>
      </c>
      <c r="P696" s="26">
        <f>uurtarief18</f>
        <v>0</v>
      </c>
      <c r="Q696" s="96" t="e">
        <f>IF(ISBLANK(M696),0,L696/M696)</f>
        <v>#DIV/0!</v>
      </c>
      <c r="R696" s="96" t="e">
        <f>IF(ISBLANK(M696),0,Q696*N696)</f>
        <v>#DIV/0!</v>
      </c>
      <c r="S696" s="26" t="e">
        <f>P696*Q696</f>
        <v>#DIV/0!</v>
      </c>
      <c r="T696" s="96" t="e">
        <f>Q696*dagenperjaar1</f>
        <v>#DIV/0!</v>
      </c>
      <c r="U696" s="27" t="e">
        <f>T696*P696</f>
        <v>#DIV/0!</v>
      </c>
    </row>
    <row r="697" spans="1:21" x14ac:dyDescent="0.3">
      <c r="A697" s="93" t="s">
        <v>986</v>
      </c>
      <c r="B697" s="94" t="s">
        <v>40</v>
      </c>
      <c r="C697" s="94" t="s">
        <v>290</v>
      </c>
      <c r="D697" s="94" t="s">
        <v>1022</v>
      </c>
      <c r="E697" s="95" t="s">
        <v>1023</v>
      </c>
      <c r="F697" s="94" t="s">
        <v>988</v>
      </c>
      <c r="G697" s="94" t="s">
        <v>223</v>
      </c>
      <c r="H697" s="94" t="s">
        <v>11</v>
      </c>
      <c r="I697" s="94" t="s">
        <v>219</v>
      </c>
      <c r="J697" s="94"/>
      <c r="K697" s="96">
        <v>12.75</v>
      </c>
      <c r="L697" s="96">
        <f>K697*VLOOKUP(H697,dagsoorttabel1,2,FALSE)</f>
        <v>12.75</v>
      </c>
      <c r="M697" s="97">
        <f>prodnorm18</f>
        <v>0</v>
      </c>
      <c r="N697" s="41">
        <f>dagwerk18</f>
        <v>0</v>
      </c>
      <c r="O697" s="94" t="s">
        <v>106</v>
      </c>
      <c r="P697" s="26">
        <f>uurtarief18</f>
        <v>0</v>
      </c>
      <c r="Q697" s="96" t="e">
        <f>IF(ISBLANK(M697),0,L697/M697)</f>
        <v>#DIV/0!</v>
      </c>
      <c r="R697" s="96" t="e">
        <f>IF(ISBLANK(M697),0,Q697*N697)</f>
        <v>#DIV/0!</v>
      </c>
      <c r="S697" s="26" t="e">
        <f>P697*Q697</f>
        <v>#DIV/0!</v>
      </c>
      <c r="T697" s="96" t="e">
        <f>Q697*dagenperjaar1</f>
        <v>#DIV/0!</v>
      </c>
      <c r="U697" s="27" t="e">
        <f>T697*P697</f>
        <v>#DIV/0!</v>
      </c>
    </row>
    <row r="698" spans="1:21" x14ac:dyDescent="0.3">
      <c r="A698" s="93" t="s">
        <v>986</v>
      </c>
      <c r="B698" s="94" t="s">
        <v>40</v>
      </c>
      <c r="C698" s="94" t="s">
        <v>290</v>
      </c>
      <c r="D698" s="94" t="s">
        <v>1024</v>
      </c>
      <c r="E698" s="95" t="s">
        <v>1025</v>
      </c>
      <c r="F698" s="94" t="s">
        <v>988</v>
      </c>
      <c r="G698" s="94" t="s">
        <v>223</v>
      </c>
      <c r="H698" s="94" t="s">
        <v>11</v>
      </c>
      <c r="I698" s="94" t="s">
        <v>219</v>
      </c>
      <c r="J698" s="94"/>
      <c r="K698" s="96">
        <v>19.75</v>
      </c>
      <c r="L698" s="96">
        <f>K698*VLOOKUP(H698,dagsoorttabel1,2,FALSE)</f>
        <v>19.75</v>
      </c>
      <c r="M698" s="97">
        <f>prodnorm18</f>
        <v>0</v>
      </c>
      <c r="N698" s="41">
        <f>dagwerk18</f>
        <v>0</v>
      </c>
      <c r="O698" s="94" t="s">
        <v>106</v>
      </c>
      <c r="P698" s="26">
        <f>uurtarief18</f>
        <v>0</v>
      </c>
      <c r="Q698" s="96" t="e">
        <f>IF(ISBLANK(M698),0,L698/M698)</f>
        <v>#DIV/0!</v>
      </c>
      <c r="R698" s="96" t="e">
        <f>IF(ISBLANK(M698),0,Q698*N698)</f>
        <v>#DIV/0!</v>
      </c>
      <c r="S698" s="26" t="e">
        <f>P698*Q698</f>
        <v>#DIV/0!</v>
      </c>
      <c r="T698" s="96" t="e">
        <f>Q698*dagenperjaar1</f>
        <v>#DIV/0!</v>
      </c>
      <c r="U698" s="27" t="e">
        <f>T698*P698</f>
        <v>#DIV/0!</v>
      </c>
    </row>
    <row r="699" spans="1:21" x14ac:dyDescent="0.3">
      <c r="A699" s="93" t="s">
        <v>986</v>
      </c>
      <c r="B699" s="94" t="s">
        <v>40</v>
      </c>
      <c r="C699" s="94" t="s">
        <v>290</v>
      </c>
      <c r="D699" s="94" t="s">
        <v>1026</v>
      </c>
      <c r="E699" s="95" t="s">
        <v>301</v>
      </c>
      <c r="F699" s="94" t="s">
        <v>988</v>
      </c>
      <c r="G699" s="94" t="s">
        <v>241</v>
      </c>
      <c r="H699" s="94" t="s">
        <v>11</v>
      </c>
      <c r="I699" s="94" t="s">
        <v>219</v>
      </c>
      <c r="J699" s="94"/>
      <c r="K699" s="96">
        <v>43.5</v>
      </c>
      <c r="L699" s="96">
        <f>K699*VLOOKUP(H699,dagsoorttabel1,2,FALSE)</f>
        <v>43.5</v>
      </c>
      <c r="M699" s="97">
        <f>prodnorm38</f>
        <v>0</v>
      </c>
      <c r="N699" s="41">
        <f>dagwerk38</f>
        <v>0</v>
      </c>
      <c r="O699" s="94" t="s">
        <v>106</v>
      </c>
      <c r="P699" s="26">
        <f>uurtarief38</f>
        <v>0</v>
      </c>
      <c r="Q699" s="96" t="e">
        <f>IF(ISBLANK(M699),0,L699/M699)</f>
        <v>#DIV/0!</v>
      </c>
      <c r="R699" s="96" t="e">
        <f>IF(ISBLANK(M699),0,Q699*N699)</f>
        <v>#DIV/0!</v>
      </c>
      <c r="S699" s="26" t="e">
        <f>P699*Q699</f>
        <v>#DIV/0!</v>
      </c>
      <c r="T699" s="96" t="e">
        <f>Q699*dagenperjaar1</f>
        <v>#DIV/0!</v>
      </c>
      <c r="U699" s="27" t="e">
        <f>T699*P699</f>
        <v>#DIV/0!</v>
      </c>
    </row>
    <row r="700" spans="1:21" x14ac:dyDescent="0.3">
      <c r="A700" s="93" t="s">
        <v>986</v>
      </c>
      <c r="B700" s="94" t="s">
        <v>40</v>
      </c>
      <c r="C700" s="94" t="s">
        <v>290</v>
      </c>
      <c r="D700" s="94" t="s">
        <v>1027</v>
      </c>
      <c r="E700" s="95" t="s">
        <v>996</v>
      </c>
      <c r="F700" s="94" t="s">
        <v>988</v>
      </c>
      <c r="G700" s="94" t="s">
        <v>249</v>
      </c>
      <c r="H700" s="94" t="s">
        <v>21</v>
      </c>
      <c r="I700" s="94" t="s">
        <v>219</v>
      </c>
      <c r="J700" s="94"/>
      <c r="K700" s="96">
        <v>13</v>
      </c>
      <c r="L700" s="96">
        <f>K700*VLOOKUP(H700,dagsoorttabel1,2,FALSE)</f>
        <v>0.65</v>
      </c>
      <c r="M700" s="97">
        <f>prodnorm45</f>
        <v>0</v>
      </c>
      <c r="N700" s="41">
        <f>dagwerk45</f>
        <v>0</v>
      </c>
      <c r="O700" s="94" t="s">
        <v>106</v>
      </c>
      <c r="P700" s="26">
        <f>uurtarief45</f>
        <v>0</v>
      </c>
      <c r="Q700" s="96" t="e">
        <f>IF(ISBLANK(M700),0,L700/M700)</f>
        <v>#DIV/0!</v>
      </c>
      <c r="R700" s="96" t="e">
        <f>IF(ISBLANK(M700),0,Q700*N700)</f>
        <v>#DIV/0!</v>
      </c>
      <c r="S700" s="26" t="e">
        <f>P700*Q700</f>
        <v>#DIV/0!</v>
      </c>
      <c r="T700" s="96" t="e">
        <f>Q700*dagenperjaar1</f>
        <v>#DIV/0!</v>
      </c>
      <c r="U700" s="27" t="e">
        <f>T700*P700</f>
        <v>#DIV/0!</v>
      </c>
    </row>
    <row r="701" spans="1:21" x14ac:dyDescent="0.3">
      <c r="A701" s="93" t="s">
        <v>986</v>
      </c>
      <c r="B701" s="94" t="s">
        <v>40</v>
      </c>
      <c r="C701" s="94" t="s">
        <v>290</v>
      </c>
      <c r="D701" s="94" t="s">
        <v>1028</v>
      </c>
      <c r="E701" s="95" t="s">
        <v>1029</v>
      </c>
      <c r="F701" s="94" t="s">
        <v>1030</v>
      </c>
      <c r="G701" s="94" t="s">
        <v>255</v>
      </c>
      <c r="H701" s="94" t="s">
        <v>11</v>
      </c>
      <c r="I701" s="94" t="s">
        <v>219</v>
      </c>
      <c r="J701" s="94"/>
      <c r="K701" s="96">
        <v>240</v>
      </c>
      <c r="L701" s="96">
        <f>K701*VLOOKUP(H701,dagsoorttabel1,2,FALSE)</f>
        <v>240</v>
      </c>
      <c r="M701" s="97">
        <f>prodnorm51</f>
        <v>0</v>
      </c>
      <c r="N701" s="41">
        <f>dagwerk51</f>
        <v>0</v>
      </c>
      <c r="O701" s="94" t="s">
        <v>106</v>
      </c>
      <c r="P701" s="26">
        <f>uurtarief51</f>
        <v>0</v>
      </c>
      <c r="Q701" s="96" t="e">
        <f>IF(ISBLANK(M701),0,L701/M701)</f>
        <v>#DIV/0!</v>
      </c>
      <c r="R701" s="96" t="e">
        <f>IF(ISBLANK(M701),0,Q701*N701)</f>
        <v>#DIV/0!</v>
      </c>
      <c r="S701" s="26" t="e">
        <f>P701*Q701</f>
        <v>#DIV/0!</v>
      </c>
      <c r="T701" s="96" t="e">
        <f>Q701*dagenperjaar1</f>
        <v>#DIV/0!</v>
      </c>
      <c r="U701" s="27" t="e">
        <f>T701*P701</f>
        <v>#DIV/0!</v>
      </c>
    </row>
    <row r="702" spans="1:21" x14ac:dyDescent="0.3">
      <c r="A702" s="93" t="s">
        <v>986</v>
      </c>
      <c r="B702" s="94" t="s">
        <v>40</v>
      </c>
      <c r="C702" s="94" t="s">
        <v>290</v>
      </c>
      <c r="D702" s="94" t="s">
        <v>1031</v>
      </c>
      <c r="E702" s="95" t="s">
        <v>996</v>
      </c>
      <c r="F702" s="94" t="s">
        <v>657</v>
      </c>
      <c r="G702" s="94" t="s">
        <v>249</v>
      </c>
      <c r="H702" s="94" t="s">
        <v>21</v>
      </c>
      <c r="I702" s="94" t="s">
        <v>219</v>
      </c>
      <c r="J702" s="94"/>
      <c r="K702" s="96">
        <v>11</v>
      </c>
      <c r="L702" s="96">
        <f>K702*VLOOKUP(H702,dagsoorttabel1,2,FALSE)</f>
        <v>0.55000000000000004</v>
      </c>
      <c r="M702" s="97">
        <f>prodnorm45</f>
        <v>0</v>
      </c>
      <c r="N702" s="41">
        <f>dagwerk45</f>
        <v>0</v>
      </c>
      <c r="O702" s="94" t="s">
        <v>106</v>
      </c>
      <c r="P702" s="26">
        <f>uurtarief45</f>
        <v>0</v>
      </c>
      <c r="Q702" s="96" t="e">
        <f>IF(ISBLANK(M702),0,L702/M702)</f>
        <v>#DIV/0!</v>
      </c>
      <c r="R702" s="96" t="e">
        <f>IF(ISBLANK(M702),0,Q702*N702)</f>
        <v>#DIV/0!</v>
      </c>
      <c r="S702" s="26" t="e">
        <f>P702*Q702</f>
        <v>#DIV/0!</v>
      </c>
      <c r="T702" s="96" t="e">
        <f>Q702*dagenperjaar1</f>
        <v>#DIV/0!</v>
      </c>
      <c r="U702" s="27" t="e">
        <f>T702*P702</f>
        <v>#DIV/0!</v>
      </c>
    </row>
    <row r="703" spans="1:21" x14ac:dyDescent="0.3">
      <c r="A703" s="93" t="s">
        <v>986</v>
      </c>
      <c r="B703" s="94" t="s">
        <v>40</v>
      </c>
      <c r="C703" s="94" t="s">
        <v>290</v>
      </c>
      <c r="D703" s="94" t="s">
        <v>1032</v>
      </c>
      <c r="E703" s="95" t="s">
        <v>301</v>
      </c>
      <c r="F703" s="94" t="s">
        <v>1033</v>
      </c>
      <c r="G703" s="94" t="s">
        <v>241</v>
      </c>
      <c r="H703" s="94" t="s">
        <v>11</v>
      </c>
      <c r="I703" s="94" t="s">
        <v>219</v>
      </c>
      <c r="J703" s="94"/>
      <c r="K703" s="96">
        <v>165</v>
      </c>
      <c r="L703" s="96">
        <f>K703*VLOOKUP(H703,dagsoorttabel1,2,FALSE)</f>
        <v>165</v>
      </c>
      <c r="M703" s="97">
        <f>prodnorm38</f>
        <v>0</v>
      </c>
      <c r="N703" s="41">
        <f>dagwerk38</f>
        <v>0</v>
      </c>
      <c r="O703" s="94" t="s">
        <v>106</v>
      </c>
      <c r="P703" s="26">
        <f>uurtarief38</f>
        <v>0</v>
      </c>
      <c r="Q703" s="96" t="e">
        <f>IF(ISBLANK(M703),0,L703/M703)</f>
        <v>#DIV/0!</v>
      </c>
      <c r="R703" s="96" t="e">
        <f>IF(ISBLANK(M703),0,Q703*N703)</f>
        <v>#DIV/0!</v>
      </c>
      <c r="S703" s="26" t="e">
        <f>P703*Q703</f>
        <v>#DIV/0!</v>
      </c>
      <c r="T703" s="96" t="e">
        <f>Q703*dagenperjaar1</f>
        <v>#DIV/0!</v>
      </c>
      <c r="U703" s="27" t="e">
        <f>T703*P703</f>
        <v>#DIV/0!</v>
      </c>
    </row>
    <row r="704" spans="1:21" x14ac:dyDescent="0.3">
      <c r="A704" s="93" t="s">
        <v>986</v>
      </c>
      <c r="B704" s="94" t="s">
        <v>40</v>
      </c>
      <c r="C704" s="94" t="s">
        <v>290</v>
      </c>
      <c r="D704" s="94" t="s">
        <v>1034</v>
      </c>
      <c r="E704" s="95" t="s">
        <v>301</v>
      </c>
      <c r="F704" s="94" t="s">
        <v>657</v>
      </c>
      <c r="G704" s="94" t="s">
        <v>241</v>
      </c>
      <c r="H704" s="94" t="s">
        <v>11</v>
      </c>
      <c r="I704" s="94" t="s">
        <v>219</v>
      </c>
      <c r="J704" s="94"/>
      <c r="K704" s="96">
        <v>11.2</v>
      </c>
      <c r="L704" s="96">
        <f>K704*VLOOKUP(H704,dagsoorttabel1,2,FALSE)</f>
        <v>11.2</v>
      </c>
      <c r="M704" s="97">
        <f>prodnorm38</f>
        <v>0</v>
      </c>
      <c r="N704" s="41">
        <f>dagwerk38</f>
        <v>0</v>
      </c>
      <c r="O704" s="94" t="s">
        <v>106</v>
      </c>
      <c r="P704" s="26">
        <f>uurtarief38</f>
        <v>0</v>
      </c>
      <c r="Q704" s="96" t="e">
        <f>IF(ISBLANK(M704),0,L704/M704)</f>
        <v>#DIV/0!</v>
      </c>
      <c r="R704" s="96" t="e">
        <f>IF(ISBLANK(M704),0,Q704*N704)</f>
        <v>#DIV/0!</v>
      </c>
      <c r="S704" s="26" t="e">
        <f>P704*Q704</f>
        <v>#DIV/0!</v>
      </c>
      <c r="T704" s="96" t="e">
        <f>Q704*dagenperjaar1</f>
        <v>#DIV/0!</v>
      </c>
      <c r="U704" s="27" t="e">
        <f>T704*P704</f>
        <v>#DIV/0!</v>
      </c>
    </row>
    <row r="705" spans="1:21" x14ac:dyDescent="0.3">
      <c r="A705" s="93" t="s">
        <v>986</v>
      </c>
      <c r="B705" s="94" t="s">
        <v>40</v>
      </c>
      <c r="C705" s="94" t="s">
        <v>290</v>
      </c>
      <c r="D705" s="94" t="s">
        <v>784</v>
      </c>
      <c r="E705" s="95" t="s">
        <v>315</v>
      </c>
      <c r="F705" s="94" t="s">
        <v>316</v>
      </c>
      <c r="G705" s="94" t="s">
        <v>261</v>
      </c>
      <c r="H705" s="94" t="s">
        <v>11</v>
      </c>
      <c r="I705" s="94" t="s">
        <v>219</v>
      </c>
      <c r="J705" s="94"/>
      <c r="K705" s="96">
        <v>1.85</v>
      </c>
      <c r="L705" s="96">
        <f>K705*VLOOKUP(H705,dagsoorttabel1,2,FALSE)</f>
        <v>1.85</v>
      </c>
      <c r="M705" s="97">
        <f>prodnorm56</f>
        <v>0</v>
      </c>
      <c r="N705" s="41">
        <f>dagwerk56</f>
        <v>0</v>
      </c>
      <c r="O705" s="94" t="s">
        <v>106</v>
      </c>
      <c r="P705" s="26">
        <f>uurtarief56</f>
        <v>0</v>
      </c>
      <c r="Q705" s="96" t="e">
        <f>IF(ISBLANK(M705),0,L705/M705)</f>
        <v>#DIV/0!</v>
      </c>
      <c r="R705" s="96" t="e">
        <f>IF(ISBLANK(M705),0,Q705*N705)</f>
        <v>#DIV/0!</v>
      </c>
      <c r="S705" s="26" t="e">
        <f>P705*Q705</f>
        <v>#DIV/0!</v>
      </c>
      <c r="T705" s="96" t="e">
        <f>Q705*dagenperjaar1</f>
        <v>#DIV/0!</v>
      </c>
      <c r="U705" s="27" t="e">
        <f>T705*P705</f>
        <v>#DIV/0!</v>
      </c>
    </row>
    <row r="706" spans="1:21" x14ac:dyDescent="0.3">
      <c r="A706" s="93" t="s">
        <v>986</v>
      </c>
      <c r="B706" s="94" t="s">
        <v>40</v>
      </c>
      <c r="C706" s="94" t="s">
        <v>290</v>
      </c>
      <c r="D706" s="94" t="s">
        <v>786</v>
      </c>
      <c r="E706" s="95" t="s">
        <v>1035</v>
      </c>
      <c r="F706" s="94" t="s">
        <v>330</v>
      </c>
      <c r="G706" s="94" t="s">
        <v>255</v>
      </c>
      <c r="H706" s="94" t="s">
        <v>11</v>
      </c>
      <c r="I706" s="94" t="s">
        <v>219</v>
      </c>
      <c r="J706" s="94"/>
      <c r="K706" s="96">
        <v>67</v>
      </c>
      <c r="L706" s="96">
        <f>K706*VLOOKUP(H706,dagsoorttabel1,2,FALSE)</f>
        <v>67</v>
      </c>
      <c r="M706" s="97">
        <f>prodnorm51</f>
        <v>0</v>
      </c>
      <c r="N706" s="41">
        <f>dagwerk51</f>
        <v>0</v>
      </c>
      <c r="O706" s="94" t="s">
        <v>106</v>
      </c>
      <c r="P706" s="26">
        <f>uurtarief51</f>
        <v>0</v>
      </c>
      <c r="Q706" s="96" t="e">
        <f>IF(ISBLANK(M706),0,L706/M706)</f>
        <v>#DIV/0!</v>
      </c>
      <c r="R706" s="96" t="e">
        <f>IF(ISBLANK(M706),0,Q706*N706)</f>
        <v>#DIV/0!</v>
      </c>
      <c r="S706" s="26" t="e">
        <f>P706*Q706</f>
        <v>#DIV/0!</v>
      </c>
      <c r="T706" s="96" t="e">
        <f>Q706*dagenperjaar1</f>
        <v>#DIV/0!</v>
      </c>
      <c r="U706" s="27" t="e">
        <f>T706*P706</f>
        <v>#DIV/0!</v>
      </c>
    </row>
    <row r="707" spans="1:21" x14ac:dyDescent="0.3">
      <c r="A707" s="93" t="s">
        <v>986</v>
      </c>
      <c r="B707" s="94" t="s">
        <v>40</v>
      </c>
      <c r="C707" s="94" t="s">
        <v>290</v>
      </c>
      <c r="D707" s="94" t="s">
        <v>787</v>
      </c>
      <c r="E707" s="95" t="s">
        <v>1002</v>
      </c>
      <c r="F707" s="94" t="s">
        <v>330</v>
      </c>
      <c r="G707" s="94" t="s">
        <v>249</v>
      </c>
      <c r="H707" s="94" t="s">
        <v>11</v>
      </c>
      <c r="I707" s="94" t="s">
        <v>219</v>
      </c>
      <c r="J707" s="94"/>
      <c r="K707" s="96">
        <v>2.9</v>
      </c>
      <c r="L707" s="96">
        <f>K707*VLOOKUP(H707,dagsoorttabel1,2,FALSE)</f>
        <v>2.9</v>
      </c>
      <c r="M707" s="97">
        <f>prodnorm46</f>
        <v>0</v>
      </c>
      <c r="N707" s="41">
        <f>dagwerk46</f>
        <v>0</v>
      </c>
      <c r="O707" s="94" t="s">
        <v>106</v>
      </c>
      <c r="P707" s="26">
        <f>uurtarief46</f>
        <v>0</v>
      </c>
      <c r="Q707" s="96" t="e">
        <f>IF(ISBLANK(M707),0,L707/M707)</f>
        <v>#DIV/0!</v>
      </c>
      <c r="R707" s="96" t="e">
        <f>IF(ISBLANK(M707),0,Q707*N707)</f>
        <v>#DIV/0!</v>
      </c>
      <c r="S707" s="26" t="e">
        <f>P707*Q707</f>
        <v>#DIV/0!</v>
      </c>
      <c r="T707" s="96" t="e">
        <f>Q707*dagenperjaar1</f>
        <v>#DIV/0!</v>
      </c>
      <c r="U707" s="27" t="e">
        <f>T707*P707</f>
        <v>#DIV/0!</v>
      </c>
    </row>
    <row r="708" spans="1:21" x14ac:dyDescent="0.3">
      <c r="A708" s="93" t="s">
        <v>986</v>
      </c>
      <c r="B708" s="94" t="s">
        <v>40</v>
      </c>
      <c r="C708" s="94" t="s">
        <v>290</v>
      </c>
      <c r="D708" s="94" t="s">
        <v>788</v>
      </c>
      <c r="E708" s="95" t="s">
        <v>1035</v>
      </c>
      <c r="F708" s="94" t="s">
        <v>993</v>
      </c>
      <c r="G708" s="94" t="s">
        <v>255</v>
      </c>
      <c r="H708" s="94" t="s">
        <v>11</v>
      </c>
      <c r="I708" s="94" t="s">
        <v>219</v>
      </c>
      <c r="J708" s="94"/>
      <c r="K708" s="96">
        <v>56</v>
      </c>
      <c r="L708" s="96">
        <f>K708*VLOOKUP(H708,dagsoorttabel1,2,FALSE)</f>
        <v>56</v>
      </c>
      <c r="M708" s="97">
        <f>prodnorm51</f>
        <v>0</v>
      </c>
      <c r="N708" s="41">
        <f>dagwerk51</f>
        <v>0</v>
      </c>
      <c r="O708" s="94" t="s">
        <v>106</v>
      </c>
      <c r="P708" s="26">
        <f>uurtarief51</f>
        <v>0</v>
      </c>
      <c r="Q708" s="96" t="e">
        <f>IF(ISBLANK(M708),0,L708/M708)</f>
        <v>#DIV/0!</v>
      </c>
      <c r="R708" s="96" t="e">
        <f>IF(ISBLANK(M708),0,Q708*N708)</f>
        <v>#DIV/0!</v>
      </c>
      <c r="S708" s="26" t="e">
        <f>P708*Q708</f>
        <v>#DIV/0!</v>
      </c>
      <c r="T708" s="96" t="e">
        <f>Q708*dagenperjaar1</f>
        <v>#DIV/0!</v>
      </c>
      <c r="U708" s="27" t="e">
        <f>T708*P708</f>
        <v>#DIV/0!</v>
      </c>
    </row>
    <row r="709" spans="1:21" x14ac:dyDescent="0.3">
      <c r="A709" s="93" t="s">
        <v>986</v>
      </c>
      <c r="B709" s="94" t="s">
        <v>40</v>
      </c>
      <c r="C709" s="94" t="s">
        <v>290</v>
      </c>
      <c r="D709" s="94" t="s">
        <v>789</v>
      </c>
      <c r="E709" s="95" t="s">
        <v>303</v>
      </c>
      <c r="F709" s="94" t="s">
        <v>1036</v>
      </c>
      <c r="G709" s="94" t="s">
        <v>265</v>
      </c>
      <c r="H709" s="94" t="s">
        <v>11</v>
      </c>
      <c r="I709" s="94" t="s">
        <v>219</v>
      </c>
      <c r="J709" s="94"/>
      <c r="K709" s="96">
        <v>8</v>
      </c>
      <c r="L709" s="96">
        <f>K709*VLOOKUP(H709,dagsoorttabel1,2,FALSE)</f>
        <v>8</v>
      </c>
      <c r="M709" s="97">
        <f>prodnorm61</f>
        <v>0</v>
      </c>
      <c r="N709" s="41">
        <f>dagwerk61</f>
        <v>0</v>
      </c>
      <c r="O709" s="94" t="s">
        <v>106</v>
      </c>
      <c r="P709" s="26">
        <f>uurtarief61</f>
        <v>0</v>
      </c>
      <c r="Q709" s="96" t="e">
        <f>IF(ISBLANK(M709),0,L709/M709)</f>
        <v>#DIV/0!</v>
      </c>
      <c r="R709" s="96" t="e">
        <f>IF(ISBLANK(M709),0,Q709*N709)</f>
        <v>#DIV/0!</v>
      </c>
      <c r="S709" s="26" t="e">
        <f>P709*Q709</f>
        <v>#DIV/0!</v>
      </c>
      <c r="T709" s="96" t="e">
        <f>Q709*dagenperjaar1</f>
        <v>#DIV/0!</v>
      </c>
      <c r="U709" s="27" t="e">
        <f>T709*P709</f>
        <v>#DIV/0!</v>
      </c>
    </row>
    <row r="710" spans="1:21" x14ac:dyDescent="0.3">
      <c r="A710" s="93" t="s">
        <v>986</v>
      </c>
      <c r="B710" s="94" t="s">
        <v>40</v>
      </c>
      <c r="C710" s="94" t="s">
        <v>290</v>
      </c>
      <c r="D710" s="94" t="s">
        <v>1037</v>
      </c>
      <c r="E710" s="95" t="s">
        <v>303</v>
      </c>
      <c r="F710" s="94" t="s">
        <v>1038</v>
      </c>
      <c r="G710" s="94" t="s">
        <v>265</v>
      </c>
      <c r="H710" s="94" t="s">
        <v>11</v>
      </c>
      <c r="I710" s="94" t="s">
        <v>219</v>
      </c>
      <c r="J710" s="94"/>
      <c r="K710" s="96">
        <v>3.9</v>
      </c>
      <c r="L710" s="96">
        <f>K710*VLOOKUP(H710,dagsoorttabel1,2,FALSE)</f>
        <v>3.9</v>
      </c>
      <c r="M710" s="97">
        <f>prodnorm61</f>
        <v>0</v>
      </c>
      <c r="N710" s="41">
        <f>dagwerk61</f>
        <v>0</v>
      </c>
      <c r="O710" s="94" t="s">
        <v>106</v>
      </c>
      <c r="P710" s="26">
        <f>uurtarief61</f>
        <v>0</v>
      </c>
      <c r="Q710" s="96" t="e">
        <f>IF(ISBLANK(M710),0,L710/M710)</f>
        <v>#DIV/0!</v>
      </c>
      <c r="R710" s="96" t="e">
        <f>IF(ISBLANK(M710),0,Q710*N710)</f>
        <v>#DIV/0!</v>
      </c>
      <c r="S710" s="26" t="e">
        <f>P710*Q710</f>
        <v>#DIV/0!</v>
      </c>
      <c r="T710" s="96" t="e">
        <f>Q710*dagenperjaar1</f>
        <v>#DIV/0!</v>
      </c>
      <c r="U710" s="27" t="e">
        <f>T710*P710</f>
        <v>#DIV/0!</v>
      </c>
    </row>
    <row r="711" spans="1:21" x14ac:dyDescent="0.3">
      <c r="A711" s="93" t="s">
        <v>986</v>
      </c>
      <c r="B711" s="94" t="s">
        <v>40</v>
      </c>
      <c r="C711" s="94" t="s">
        <v>290</v>
      </c>
      <c r="D711" s="94" t="s">
        <v>790</v>
      </c>
      <c r="E711" s="95" t="s">
        <v>338</v>
      </c>
      <c r="F711" s="94" t="s">
        <v>995</v>
      </c>
      <c r="G711" s="94" t="s">
        <v>267</v>
      </c>
      <c r="H711" s="94" t="s">
        <v>11</v>
      </c>
      <c r="I711" s="94" t="s">
        <v>219</v>
      </c>
      <c r="J711" s="94"/>
      <c r="K711" s="96">
        <v>3.3</v>
      </c>
      <c r="L711" s="96">
        <f>K711*VLOOKUP(H711,dagsoorttabel1,2,FALSE)</f>
        <v>3.3</v>
      </c>
      <c r="M711" s="97">
        <f>prodnorm63</f>
        <v>0</v>
      </c>
      <c r="N711" s="41">
        <f>dagwerk63</f>
        <v>0</v>
      </c>
      <c r="O711" s="94" t="s">
        <v>106</v>
      </c>
      <c r="P711" s="26">
        <f>uurtarief63</f>
        <v>0</v>
      </c>
      <c r="Q711" s="96" t="e">
        <f>IF(ISBLANK(M711),0,L711/M711)</f>
        <v>#DIV/0!</v>
      </c>
      <c r="R711" s="96" t="e">
        <f>IF(ISBLANK(M711),0,Q711*N711)</f>
        <v>#DIV/0!</v>
      </c>
      <c r="S711" s="26" t="e">
        <f>P711*Q711</f>
        <v>#DIV/0!</v>
      </c>
      <c r="T711" s="96" t="e">
        <f>Q711*dagenperjaar1</f>
        <v>#DIV/0!</v>
      </c>
      <c r="U711" s="27" t="e">
        <f>T711*P711</f>
        <v>#DIV/0!</v>
      </c>
    </row>
    <row r="712" spans="1:21" x14ac:dyDescent="0.3">
      <c r="A712" s="93" t="s">
        <v>986</v>
      </c>
      <c r="B712" s="94" t="s">
        <v>40</v>
      </c>
      <c r="C712" s="94" t="s">
        <v>290</v>
      </c>
      <c r="D712" s="94" t="s">
        <v>791</v>
      </c>
      <c r="E712" s="95" t="s">
        <v>315</v>
      </c>
      <c r="F712" s="94" t="s">
        <v>316</v>
      </c>
      <c r="G712" s="94" t="s">
        <v>261</v>
      </c>
      <c r="H712" s="94" t="s">
        <v>11</v>
      </c>
      <c r="I712" s="94" t="s">
        <v>219</v>
      </c>
      <c r="J712" s="94"/>
      <c r="K712" s="96">
        <v>1.3</v>
      </c>
      <c r="L712" s="96">
        <f>K712*VLOOKUP(H712,dagsoorttabel1,2,FALSE)</f>
        <v>1.3</v>
      </c>
      <c r="M712" s="97">
        <f>prodnorm56</f>
        <v>0</v>
      </c>
      <c r="N712" s="41">
        <f>dagwerk56</f>
        <v>0</v>
      </c>
      <c r="O712" s="94" t="s">
        <v>106</v>
      </c>
      <c r="P712" s="26">
        <f>uurtarief56</f>
        <v>0</v>
      </c>
      <c r="Q712" s="96" t="e">
        <f>IF(ISBLANK(M712),0,L712/M712)</f>
        <v>#DIV/0!</v>
      </c>
      <c r="R712" s="96" t="e">
        <f>IF(ISBLANK(M712),0,Q712*N712)</f>
        <v>#DIV/0!</v>
      </c>
      <c r="S712" s="26" t="e">
        <f>P712*Q712</f>
        <v>#DIV/0!</v>
      </c>
      <c r="T712" s="96" t="e">
        <f>Q712*dagenperjaar1</f>
        <v>#DIV/0!</v>
      </c>
      <c r="U712" s="27" t="e">
        <f>T712*P712</f>
        <v>#DIV/0!</v>
      </c>
    </row>
    <row r="713" spans="1:21" x14ac:dyDescent="0.3">
      <c r="A713" s="93" t="s">
        <v>986</v>
      </c>
      <c r="B713" s="94" t="s">
        <v>40</v>
      </c>
      <c r="C713" s="94" t="s">
        <v>290</v>
      </c>
      <c r="D713" s="94" t="s">
        <v>792</v>
      </c>
      <c r="E713" s="95" t="s">
        <v>303</v>
      </c>
      <c r="F713" s="94" t="s">
        <v>638</v>
      </c>
      <c r="G713" s="94" t="s">
        <v>265</v>
      </c>
      <c r="H713" s="94" t="s">
        <v>11</v>
      </c>
      <c r="I713" s="94" t="s">
        <v>219</v>
      </c>
      <c r="J713" s="94"/>
      <c r="K713" s="96">
        <v>7.8</v>
      </c>
      <c r="L713" s="96">
        <f>K713*VLOOKUP(H713,dagsoorttabel1,2,FALSE)</f>
        <v>7.8</v>
      </c>
      <c r="M713" s="97">
        <f>prodnorm61</f>
        <v>0</v>
      </c>
      <c r="N713" s="41">
        <f>dagwerk61</f>
        <v>0</v>
      </c>
      <c r="O713" s="94" t="s">
        <v>106</v>
      </c>
      <c r="P713" s="26">
        <f>uurtarief61</f>
        <v>0</v>
      </c>
      <c r="Q713" s="96" t="e">
        <f>IF(ISBLANK(M713),0,L713/M713)</f>
        <v>#DIV/0!</v>
      </c>
      <c r="R713" s="96" t="e">
        <f>IF(ISBLANK(M713),0,Q713*N713)</f>
        <v>#DIV/0!</v>
      </c>
      <c r="S713" s="26" t="e">
        <f>P713*Q713</f>
        <v>#DIV/0!</v>
      </c>
      <c r="T713" s="96" t="e">
        <f>Q713*dagenperjaar1</f>
        <v>#DIV/0!</v>
      </c>
      <c r="U713" s="27" t="e">
        <f>T713*P713</f>
        <v>#DIV/0!</v>
      </c>
    </row>
    <row r="714" spans="1:21" x14ac:dyDescent="0.3">
      <c r="A714" s="93" t="s">
        <v>986</v>
      </c>
      <c r="B714" s="94" t="s">
        <v>40</v>
      </c>
      <c r="C714" s="94" t="s">
        <v>290</v>
      </c>
      <c r="D714" s="94" t="s">
        <v>793</v>
      </c>
      <c r="E714" s="95" t="s">
        <v>1011</v>
      </c>
      <c r="F714" s="94" t="s">
        <v>988</v>
      </c>
      <c r="G714" s="94" t="s">
        <v>223</v>
      </c>
      <c r="H714" s="94" t="s">
        <v>11</v>
      </c>
      <c r="I714" s="94" t="s">
        <v>219</v>
      </c>
      <c r="J714" s="94"/>
      <c r="K714" s="96">
        <v>5.0999999999999996</v>
      </c>
      <c r="L714" s="96">
        <f>K714*VLOOKUP(H714,dagsoorttabel1,2,FALSE)</f>
        <v>5.0999999999999996</v>
      </c>
      <c r="M714" s="97">
        <f>prodnorm18</f>
        <v>0</v>
      </c>
      <c r="N714" s="41">
        <f>dagwerk18</f>
        <v>0</v>
      </c>
      <c r="O714" s="94" t="s">
        <v>106</v>
      </c>
      <c r="P714" s="26">
        <f>uurtarief18</f>
        <v>0</v>
      </c>
      <c r="Q714" s="96" t="e">
        <f>IF(ISBLANK(M714),0,L714/M714)</f>
        <v>#DIV/0!</v>
      </c>
      <c r="R714" s="96" t="e">
        <f>IF(ISBLANK(M714),0,Q714*N714)</f>
        <v>#DIV/0!</v>
      </c>
      <c r="S714" s="26" t="e">
        <f>P714*Q714</f>
        <v>#DIV/0!</v>
      </c>
      <c r="T714" s="96" t="e">
        <f>Q714*dagenperjaar1</f>
        <v>#DIV/0!</v>
      </c>
      <c r="U714" s="27" t="e">
        <f>T714*P714</f>
        <v>#DIV/0!</v>
      </c>
    </row>
    <row r="715" spans="1:21" x14ac:dyDescent="0.3">
      <c r="A715" s="93" t="s">
        <v>986</v>
      </c>
      <c r="B715" s="94" t="s">
        <v>40</v>
      </c>
      <c r="C715" s="94" t="s">
        <v>290</v>
      </c>
      <c r="D715" s="94" t="s">
        <v>794</v>
      </c>
      <c r="E715" s="95" t="s">
        <v>997</v>
      </c>
      <c r="F715" s="94" t="s">
        <v>316</v>
      </c>
      <c r="G715" s="94" t="s">
        <v>261</v>
      </c>
      <c r="H715" s="94" t="s">
        <v>11</v>
      </c>
      <c r="I715" s="94" t="s">
        <v>219</v>
      </c>
      <c r="J715" s="94"/>
      <c r="K715" s="96">
        <v>3.6</v>
      </c>
      <c r="L715" s="96">
        <f>K715*VLOOKUP(H715,dagsoorttabel1,2,FALSE)</f>
        <v>3.6</v>
      </c>
      <c r="M715" s="97">
        <f>prodnorm56</f>
        <v>0</v>
      </c>
      <c r="N715" s="41">
        <f>dagwerk56</f>
        <v>0</v>
      </c>
      <c r="O715" s="94" t="s">
        <v>106</v>
      </c>
      <c r="P715" s="26">
        <f>uurtarief56</f>
        <v>0</v>
      </c>
      <c r="Q715" s="96" t="e">
        <f>IF(ISBLANK(M715),0,L715/M715)</f>
        <v>#DIV/0!</v>
      </c>
      <c r="R715" s="96" t="e">
        <f>IF(ISBLANK(M715),0,Q715*N715)</f>
        <v>#DIV/0!</v>
      </c>
      <c r="S715" s="26" t="e">
        <f>P715*Q715</f>
        <v>#DIV/0!</v>
      </c>
      <c r="T715" s="96" t="e">
        <f>Q715*dagenperjaar1</f>
        <v>#DIV/0!</v>
      </c>
      <c r="U715" s="27" t="e">
        <f>T715*P715</f>
        <v>#DIV/0!</v>
      </c>
    </row>
    <row r="716" spans="1:21" x14ac:dyDescent="0.3">
      <c r="A716" s="93" t="s">
        <v>986</v>
      </c>
      <c r="B716" s="94" t="s">
        <v>40</v>
      </c>
      <c r="C716" s="94" t="s">
        <v>290</v>
      </c>
      <c r="D716" s="94" t="s">
        <v>795</v>
      </c>
      <c r="E716" s="95" t="s">
        <v>315</v>
      </c>
      <c r="F716" s="94" t="s">
        <v>316</v>
      </c>
      <c r="G716" s="94" t="s">
        <v>261</v>
      </c>
      <c r="H716" s="94" t="s">
        <v>11</v>
      </c>
      <c r="I716" s="94" t="s">
        <v>219</v>
      </c>
      <c r="J716" s="94"/>
      <c r="K716" s="96">
        <v>4.3</v>
      </c>
      <c r="L716" s="96">
        <f>K716*VLOOKUP(H716,dagsoorttabel1,2,FALSE)</f>
        <v>4.3</v>
      </c>
      <c r="M716" s="97">
        <f>prodnorm56</f>
        <v>0</v>
      </c>
      <c r="N716" s="41">
        <f>dagwerk56</f>
        <v>0</v>
      </c>
      <c r="O716" s="94" t="s">
        <v>106</v>
      </c>
      <c r="P716" s="26">
        <f>uurtarief56</f>
        <v>0</v>
      </c>
      <c r="Q716" s="96" t="e">
        <f>IF(ISBLANK(M716),0,L716/M716)</f>
        <v>#DIV/0!</v>
      </c>
      <c r="R716" s="96" t="e">
        <f>IF(ISBLANK(M716),0,Q716*N716)</f>
        <v>#DIV/0!</v>
      </c>
      <c r="S716" s="26" t="e">
        <f>P716*Q716</f>
        <v>#DIV/0!</v>
      </c>
      <c r="T716" s="96" t="e">
        <f>Q716*dagenperjaar1</f>
        <v>#DIV/0!</v>
      </c>
      <c r="U716" s="27" t="e">
        <f>T716*P716</f>
        <v>#DIV/0!</v>
      </c>
    </row>
    <row r="717" spans="1:21" x14ac:dyDescent="0.3">
      <c r="A717" s="93" t="s">
        <v>986</v>
      </c>
      <c r="B717" s="94" t="s">
        <v>40</v>
      </c>
      <c r="C717" s="94" t="s">
        <v>290</v>
      </c>
      <c r="D717" s="94" t="s">
        <v>796</v>
      </c>
      <c r="E717" s="95" t="s">
        <v>338</v>
      </c>
      <c r="F717" s="94" t="s">
        <v>1039</v>
      </c>
      <c r="G717" s="94" t="s">
        <v>267</v>
      </c>
      <c r="H717" s="94" t="s">
        <v>11</v>
      </c>
      <c r="I717" s="94" t="s">
        <v>219</v>
      </c>
      <c r="J717" s="94"/>
      <c r="K717" s="96">
        <v>49.4</v>
      </c>
      <c r="L717" s="96">
        <f>K717*VLOOKUP(H717,dagsoorttabel1,2,FALSE)</f>
        <v>49.4</v>
      </c>
      <c r="M717" s="97">
        <f>prodnorm63</f>
        <v>0</v>
      </c>
      <c r="N717" s="41">
        <f>dagwerk63</f>
        <v>0</v>
      </c>
      <c r="O717" s="94" t="s">
        <v>106</v>
      </c>
      <c r="P717" s="26">
        <f>uurtarief63</f>
        <v>0</v>
      </c>
      <c r="Q717" s="96" t="e">
        <f>IF(ISBLANK(M717),0,L717/M717)</f>
        <v>#DIV/0!</v>
      </c>
      <c r="R717" s="96" t="e">
        <f>IF(ISBLANK(M717),0,Q717*N717)</f>
        <v>#DIV/0!</v>
      </c>
      <c r="S717" s="26" t="e">
        <f>P717*Q717</f>
        <v>#DIV/0!</v>
      </c>
      <c r="T717" s="96" t="e">
        <f>Q717*dagenperjaar1</f>
        <v>#DIV/0!</v>
      </c>
      <c r="U717" s="27" t="e">
        <f>T717*P717</f>
        <v>#DIV/0!</v>
      </c>
    </row>
    <row r="718" spans="1:21" x14ac:dyDescent="0.3">
      <c r="A718" s="93" t="s">
        <v>986</v>
      </c>
      <c r="B718" s="94" t="s">
        <v>40</v>
      </c>
      <c r="C718" s="94" t="s">
        <v>419</v>
      </c>
      <c r="D718" s="94" t="s">
        <v>563</v>
      </c>
      <c r="E718" s="95" t="s">
        <v>1035</v>
      </c>
      <c r="F718" s="94" t="s">
        <v>993</v>
      </c>
      <c r="G718" s="94" t="s">
        <v>255</v>
      </c>
      <c r="H718" s="94" t="s">
        <v>11</v>
      </c>
      <c r="I718" s="94" t="s">
        <v>219</v>
      </c>
      <c r="J718" s="94"/>
      <c r="K718" s="96">
        <v>39</v>
      </c>
      <c r="L718" s="96">
        <f>K718*VLOOKUP(H718,dagsoorttabel1,2,FALSE)</f>
        <v>39</v>
      </c>
      <c r="M718" s="97">
        <f>prodnorm51</f>
        <v>0</v>
      </c>
      <c r="N718" s="41">
        <f>dagwerk51</f>
        <v>0</v>
      </c>
      <c r="O718" s="94" t="s">
        <v>106</v>
      </c>
      <c r="P718" s="26">
        <f>uurtarief51</f>
        <v>0</v>
      </c>
      <c r="Q718" s="96" t="e">
        <f>IF(ISBLANK(M718),0,L718/M718)</f>
        <v>#DIV/0!</v>
      </c>
      <c r="R718" s="96" t="e">
        <f>IF(ISBLANK(M718),0,Q718*N718)</f>
        <v>#DIV/0!</v>
      </c>
      <c r="S718" s="26" t="e">
        <f>P718*Q718</f>
        <v>#DIV/0!</v>
      </c>
      <c r="T718" s="96" t="e">
        <f>Q718*dagenperjaar1</f>
        <v>#DIV/0!</v>
      </c>
      <c r="U718" s="27" t="e">
        <f>T718*P718</f>
        <v>#DIV/0!</v>
      </c>
    </row>
    <row r="719" spans="1:21" x14ac:dyDescent="0.3">
      <c r="A719" s="93" t="s">
        <v>986</v>
      </c>
      <c r="B719" s="94" t="s">
        <v>40</v>
      </c>
      <c r="C719" s="94" t="s">
        <v>419</v>
      </c>
      <c r="D719" s="94" t="s">
        <v>565</v>
      </c>
      <c r="E719" s="95" t="s">
        <v>1035</v>
      </c>
      <c r="F719" s="94" t="s">
        <v>993</v>
      </c>
      <c r="G719" s="94" t="s">
        <v>255</v>
      </c>
      <c r="H719" s="94" t="s">
        <v>11</v>
      </c>
      <c r="I719" s="94" t="s">
        <v>219</v>
      </c>
      <c r="J719" s="94"/>
      <c r="K719" s="96">
        <v>22</v>
      </c>
      <c r="L719" s="96">
        <f>K719*VLOOKUP(H719,dagsoorttabel1,2,FALSE)</f>
        <v>22</v>
      </c>
      <c r="M719" s="97">
        <f>prodnorm51</f>
        <v>0</v>
      </c>
      <c r="N719" s="41">
        <f>dagwerk51</f>
        <v>0</v>
      </c>
      <c r="O719" s="94" t="s">
        <v>106</v>
      </c>
      <c r="P719" s="26">
        <f>uurtarief51</f>
        <v>0</v>
      </c>
      <c r="Q719" s="96" t="e">
        <f>IF(ISBLANK(M719),0,L719/M719)</f>
        <v>#DIV/0!</v>
      </c>
      <c r="R719" s="96" t="e">
        <f>IF(ISBLANK(M719),0,Q719*N719)</f>
        <v>#DIV/0!</v>
      </c>
      <c r="S719" s="26" t="e">
        <f>P719*Q719</f>
        <v>#DIV/0!</v>
      </c>
      <c r="T719" s="96" t="e">
        <f>Q719*dagenperjaar1</f>
        <v>#DIV/0!</v>
      </c>
      <c r="U719" s="27" t="e">
        <f>T719*P719</f>
        <v>#DIV/0!</v>
      </c>
    </row>
    <row r="720" spans="1:21" x14ac:dyDescent="0.3">
      <c r="A720" s="93" t="s">
        <v>986</v>
      </c>
      <c r="B720" s="94" t="s">
        <v>40</v>
      </c>
      <c r="C720" s="94" t="s">
        <v>419</v>
      </c>
      <c r="D720" s="94" t="s">
        <v>566</v>
      </c>
      <c r="E720" s="95" t="s">
        <v>996</v>
      </c>
      <c r="F720" s="94" t="s">
        <v>993</v>
      </c>
      <c r="G720" s="94" t="s">
        <v>249</v>
      </c>
      <c r="H720" s="94" t="s">
        <v>21</v>
      </c>
      <c r="I720" s="94" t="s">
        <v>219</v>
      </c>
      <c r="J720" s="94"/>
      <c r="K720" s="96">
        <v>2.75</v>
      </c>
      <c r="L720" s="96">
        <f>K720*VLOOKUP(H720,dagsoorttabel1,2,FALSE)</f>
        <v>0.13750000000000001</v>
      </c>
      <c r="M720" s="97">
        <f>prodnorm45</f>
        <v>0</v>
      </c>
      <c r="N720" s="41">
        <f>dagwerk45</f>
        <v>0</v>
      </c>
      <c r="O720" s="94" t="s">
        <v>106</v>
      </c>
      <c r="P720" s="26">
        <f>uurtarief45</f>
        <v>0</v>
      </c>
      <c r="Q720" s="96" t="e">
        <f>IF(ISBLANK(M720),0,L720/M720)</f>
        <v>#DIV/0!</v>
      </c>
      <c r="R720" s="96" t="e">
        <f>IF(ISBLANK(M720),0,Q720*N720)</f>
        <v>#DIV/0!</v>
      </c>
      <c r="S720" s="26" t="e">
        <f>P720*Q720</f>
        <v>#DIV/0!</v>
      </c>
      <c r="T720" s="96" t="e">
        <f>Q720*dagenperjaar1</f>
        <v>#DIV/0!</v>
      </c>
      <c r="U720" s="27" t="e">
        <f>T720*P720</f>
        <v>#DIV/0!</v>
      </c>
    </row>
    <row r="721" spans="1:21" x14ac:dyDescent="0.3">
      <c r="A721" s="93" t="s">
        <v>986</v>
      </c>
      <c r="B721" s="94" t="s">
        <v>40</v>
      </c>
      <c r="C721" s="94" t="s">
        <v>419</v>
      </c>
      <c r="D721" s="94" t="s">
        <v>567</v>
      </c>
      <c r="E721" s="95" t="s">
        <v>1040</v>
      </c>
      <c r="F721" s="94" t="s">
        <v>293</v>
      </c>
      <c r="G721" s="94" t="s">
        <v>218</v>
      </c>
      <c r="H721" s="94" t="s">
        <v>11</v>
      </c>
      <c r="I721" s="94" t="s">
        <v>219</v>
      </c>
      <c r="J721" s="94"/>
      <c r="K721" s="96">
        <v>41</v>
      </c>
      <c r="L721" s="96">
        <f>K721*VLOOKUP(H721,dagsoorttabel1,2,FALSE)</f>
        <v>41</v>
      </c>
      <c r="M721" s="97">
        <f>prodnorm16</f>
        <v>0</v>
      </c>
      <c r="N721" s="41">
        <f>dagwerk16</f>
        <v>0</v>
      </c>
      <c r="O721" s="94" t="s">
        <v>106</v>
      </c>
      <c r="P721" s="26">
        <f>uurtarief16</f>
        <v>0</v>
      </c>
      <c r="Q721" s="96" t="e">
        <f>IF(ISBLANK(M721),0,L721/M721)</f>
        <v>#DIV/0!</v>
      </c>
      <c r="R721" s="96" t="e">
        <f>IF(ISBLANK(M721),0,Q721*N721)</f>
        <v>#DIV/0!</v>
      </c>
      <c r="S721" s="26" t="e">
        <f>P721*Q721</f>
        <v>#DIV/0!</v>
      </c>
      <c r="T721" s="96" t="e">
        <f>Q721*dagenperjaar1</f>
        <v>#DIV/0!</v>
      </c>
      <c r="U721" s="27" t="e">
        <f>T721*P721</f>
        <v>#DIV/0!</v>
      </c>
    </row>
    <row r="722" spans="1:21" x14ac:dyDescent="0.3">
      <c r="A722" s="93" t="s">
        <v>986</v>
      </c>
      <c r="B722" s="94" t="s">
        <v>40</v>
      </c>
      <c r="C722" s="94" t="s">
        <v>419</v>
      </c>
      <c r="D722" s="94" t="s">
        <v>568</v>
      </c>
      <c r="E722" s="95" t="s">
        <v>1041</v>
      </c>
      <c r="F722" s="94" t="s">
        <v>988</v>
      </c>
      <c r="G722" s="94" t="s">
        <v>241</v>
      </c>
      <c r="H722" s="94" t="s">
        <v>11</v>
      </c>
      <c r="I722" s="94" t="s">
        <v>219</v>
      </c>
      <c r="J722" s="94"/>
      <c r="K722" s="96">
        <v>51</v>
      </c>
      <c r="L722" s="96">
        <f>K722*VLOOKUP(H722,dagsoorttabel1,2,FALSE)</f>
        <v>51</v>
      </c>
      <c r="M722" s="97">
        <f>prodnorm38</f>
        <v>0</v>
      </c>
      <c r="N722" s="41">
        <f>dagwerk38</f>
        <v>0</v>
      </c>
      <c r="O722" s="94" t="s">
        <v>106</v>
      </c>
      <c r="P722" s="26">
        <f>uurtarief38</f>
        <v>0</v>
      </c>
      <c r="Q722" s="96" t="e">
        <f>IF(ISBLANK(M722),0,L722/M722)</f>
        <v>#DIV/0!</v>
      </c>
      <c r="R722" s="96" t="e">
        <f>IF(ISBLANK(M722),0,Q722*N722)</f>
        <v>#DIV/0!</v>
      </c>
      <c r="S722" s="26" t="e">
        <f>P722*Q722</f>
        <v>#DIV/0!</v>
      </c>
      <c r="T722" s="96" t="e">
        <f>Q722*dagenperjaar1</f>
        <v>#DIV/0!</v>
      </c>
      <c r="U722" s="27" t="e">
        <f>T722*P722</f>
        <v>#DIV/0!</v>
      </c>
    </row>
    <row r="723" spans="1:21" x14ac:dyDescent="0.3">
      <c r="A723" s="93" t="s">
        <v>986</v>
      </c>
      <c r="B723" s="94" t="s">
        <v>40</v>
      </c>
      <c r="C723" s="94" t="s">
        <v>419</v>
      </c>
      <c r="D723" s="94" t="s">
        <v>569</v>
      </c>
      <c r="E723" s="95" t="s">
        <v>315</v>
      </c>
      <c r="F723" s="94" t="s">
        <v>316</v>
      </c>
      <c r="G723" s="94" t="s">
        <v>261</v>
      </c>
      <c r="H723" s="94" t="s">
        <v>11</v>
      </c>
      <c r="I723" s="94" t="s">
        <v>219</v>
      </c>
      <c r="J723" s="94"/>
      <c r="K723" s="96">
        <v>2.4</v>
      </c>
      <c r="L723" s="96">
        <f>K723*VLOOKUP(H723,dagsoorttabel1,2,FALSE)</f>
        <v>2.4</v>
      </c>
      <c r="M723" s="97">
        <f>prodnorm56</f>
        <v>0</v>
      </c>
      <c r="N723" s="41">
        <f>dagwerk56</f>
        <v>0</v>
      </c>
      <c r="O723" s="94" t="s">
        <v>106</v>
      </c>
      <c r="P723" s="26">
        <f>uurtarief56</f>
        <v>0</v>
      </c>
      <c r="Q723" s="96" t="e">
        <f>IF(ISBLANK(M723),0,L723/M723)</f>
        <v>#DIV/0!</v>
      </c>
      <c r="R723" s="96" t="e">
        <f>IF(ISBLANK(M723),0,Q723*N723)</f>
        <v>#DIV/0!</v>
      </c>
      <c r="S723" s="26" t="e">
        <f>P723*Q723</f>
        <v>#DIV/0!</v>
      </c>
      <c r="T723" s="96" t="e">
        <f>Q723*dagenperjaar1</f>
        <v>#DIV/0!</v>
      </c>
      <c r="U723" s="27" t="e">
        <f>T723*P723</f>
        <v>#DIV/0!</v>
      </c>
    </row>
    <row r="724" spans="1:21" x14ac:dyDescent="0.3">
      <c r="A724" s="93" t="s">
        <v>986</v>
      </c>
      <c r="B724" s="94" t="s">
        <v>40</v>
      </c>
      <c r="C724" s="94" t="s">
        <v>419</v>
      </c>
      <c r="D724" s="94" t="s">
        <v>570</v>
      </c>
      <c r="E724" s="95" t="s">
        <v>338</v>
      </c>
      <c r="F724" s="94" t="s">
        <v>988</v>
      </c>
      <c r="G724" s="94" t="s">
        <v>267</v>
      </c>
      <c r="H724" s="94" t="s">
        <v>11</v>
      </c>
      <c r="I724" s="94" t="s">
        <v>219</v>
      </c>
      <c r="J724" s="94"/>
      <c r="K724" s="96">
        <v>10</v>
      </c>
      <c r="L724" s="96">
        <f>K724*VLOOKUP(H724,dagsoorttabel1,2,FALSE)</f>
        <v>10</v>
      </c>
      <c r="M724" s="97">
        <f>prodnorm63</f>
        <v>0</v>
      </c>
      <c r="N724" s="41">
        <f>dagwerk63</f>
        <v>0</v>
      </c>
      <c r="O724" s="94" t="s">
        <v>106</v>
      </c>
      <c r="P724" s="26">
        <f>uurtarief63</f>
        <v>0</v>
      </c>
      <c r="Q724" s="96" t="e">
        <f>IF(ISBLANK(M724),0,L724/M724)</f>
        <v>#DIV/0!</v>
      </c>
      <c r="R724" s="96" t="e">
        <f>IF(ISBLANK(M724),0,Q724*N724)</f>
        <v>#DIV/0!</v>
      </c>
      <c r="S724" s="26" t="e">
        <f>P724*Q724</f>
        <v>#DIV/0!</v>
      </c>
      <c r="T724" s="96" t="e">
        <f>Q724*dagenperjaar1</f>
        <v>#DIV/0!</v>
      </c>
      <c r="U724" s="27" t="e">
        <f>T724*P724</f>
        <v>#DIV/0!</v>
      </c>
    </row>
    <row r="725" spans="1:21" x14ac:dyDescent="0.3">
      <c r="A725" s="93" t="s">
        <v>986</v>
      </c>
      <c r="B725" s="94" t="s">
        <v>40</v>
      </c>
      <c r="C725" s="94" t="s">
        <v>419</v>
      </c>
      <c r="D725" s="94" t="s">
        <v>571</v>
      </c>
      <c r="E725" s="95" t="s">
        <v>338</v>
      </c>
      <c r="F725" s="94" t="s">
        <v>988</v>
      </c>
      <c r="G725" s="94" t="s">
        <v>267</v>
      </c>
      <c r="H725" s="94" t="s">
        <v>11</v>
      </c>
      <c r="I725" s="94" t="s">
        <v>219</v>
      </c>
      <c r="J725" s="94"/>
      <c r="K725" s="96">
        <v>14</v>
      </c>
      <c r="L725" s="96">
        <f>K725*VLOOKUP(H725,dagsoorttabel1,2,FALSE)</f>
        <v>14</v>
      </c>
      <c r="M725" s="97">
        <f>prodnorm63</f>
        <v>0</v>
      </c>
      <c r="N725" s="41">
        <f>dagwerk63</f>
        <v>0</v>
      </c>
      <c r="O725" s="94" t="s">
        <v>106</v>
      </c>
      <c r="P725" s="26">
        <f>uurtarief63</f>
        <v>0</v>
      </c>
      <c r="Q725" s="96" t="e">
        <f>IF(ISBLANK(M725),0,L725/M725)</f>
        <v>#DIV/0!</v>
      </c>
      <c r="R725" s="96" t="e">
        <f>IF(ISBLANK(M725),0,Q725*N725)</f>
        <v>#DIV/0!</v>
      </c>
      <c r="S725" s="26" t="e">
        <f>P725*Q725</f>
        <v>#DIV/0!</v>
      </c>
      <c r="T725" s="96" t="e">
        <f>Q725*dagenperjaar1</f>
        <v>#DIV/0!</v>
      </c>
      <c r="U725" s="27" t="e">
        <f>T725*P725</f>
        <v>#DIV/0!</v>
      </c>
    </row>
    <row r="726" spans="1:21" x14ac:dyDescent="0.3">
      <c r="A726" s="93" t="s">
        <v>986</v>
      </c>
      <c r="B726" s="94" t="s">
        <v>40</v>
      </c>
      <c r="C726" s="94" t="s">
        <v>419</v>
      </c>
      <c r="D726" s="94" t="s">
        <v>627</v>
      </c>
      <c r="E726" s="95" t="s">
        <v>1042</v>
      </c>
      <c r="F726" s="94" t="s">
        <v>988</v>
      </c>
      <c r="G726" s="94" t="s">
        <v>241</v>
      </c>
      <c r="H726" s="94" t="s">
        <v>11</v>
      </c>
      <c r="I726" s="94" t="s">
        <v>219</v>
      </c>
      <c r="J726" s="94"/>
      <c r="K726" s="96">
        <v>63</v>
      </c>
      <c r="L726" s="96">
        <f>K726*VLOOKUP(H726,dagsoorttabel1,2,FALSE)</f>
        <v>63</v>
      </c>
      <c r="M726" s="97">
        <f>prodnorm38</f>
        <v>0</v>
      </c>
      <c r="N726" s="41">
        <f>dagwerk38</f>
        <v>0</v>
      </c>
      <c r="O726" s="94" t="s">
        <v>106</v>
      </c>
      <c r="P726" s="26">
        <f>uurtarief38</f>
        <v>0</v>
      </c>
      <c r="Q726" s="96" t="e">
        <f>IF(ISBLANK(M726),0,L726/M726)</f>
        <v>#DIV/0!</v>
      </c>
      <c r="R726" s="96" t="e">
        <f>IF(ISBLANK(M726),0,Q726*N726)</f>
        <v>#DIV/0!</v>
      </c>
      <c r="S726" s="26" t="e">
        <f>P726*Q726</f>
        <v>#DIV/0!</v>
      </c>
      <c r="T726" s="96" t="e">
        <f>Q726*dagenperjaar1</f>
        <v>#DIV/0!</v>
      </c>
      <c r="U726" s="27" t="e">
        <f>T726*P726</f>
        <v>#DIV/0!</v>
      </c>
    </row>
    <row r="727" spans="1:21" x14ac:dyDescent="0.3">
      <c r="A727" s="93" t="s">
        <v>986</v>
      </c>
      <c r="B727" s="94" t="s">
        <v>40</v>
      </c>
      <c r="C727" s="94" t="s">
        <v>419</v>
      </c>
      <c r="D727" s="94" t="s">
        <v>572</v>
      </c>
      <c r="E727" s="95" t="s">
        <v>1043</v>
      </c>
      <c r="F727" s="94" t="s">
        <v>988</v>
      </c>
      <c r="G727" s="94" t="s">
        <v>241</v>
      </c>
      <c r="H727" s="94" t="s">
        <v>11</v>
      </c>
      <c r="I727" s="94" t="s">
        <v>219</v>
      </c>
      <c r="J727" s="94"/>
      <c r="K727" s="96">
        <v>88</v>
      </c>
      <c r="L727" s="96">
        <f>K727*VLOOKUP(H727,dagsoorttabel1,2,FALSE)</f>
        <v>88</v>
      </c>
      <c r="M727" s="97">
        <f>prodnorm38</f>
        <v>0</v>
      </c>
      <c r="N727" s="41">
        <f>dagwerk38</f>
        <v>0</v>
      </c>
      <c r="O727" s="94" t="s">
        <v>106</v>
      </c>
      <c r="P727" s="26">
        <f>uurtarief38</f>
        <v>0</v>
      </c>
      <c r="Q727" s="96" t="e">
        <f>IF(ISBLANK(M727),0,L727/M727)</f>
        <v>#DIV/0!</v>
      </c>
      <c r="R727" s="96" t="e">
        <f>IF(ISBLANK(M727),0,Q727*N727)</f>
        <v>#DIV/0!</v>
      </c>
      <c r="S727" s="26" t="e">
        <f>P727*Q727</f>
        <v>#DIV/0!</v>
      </c>
      <c r="T727" s="96" t="e">
        <f>Q727*dagenperjaar1</f>
        <v>#DIV/0!</v>
      </c>
      <c r="U727" s="27" t="e">
        <f>T727*P727</f>
        <v>#DIV/0!</v>
      </c>
    </row>
    <row r="728" spans="1:21" x14ac:dyDescent="0.3">
      <c r="A728" s="93" t="s">
        <v>986</v>
      </c>
      <c r="B728" s="94" t="s">
        <v>40</v>
      </c>
      <c r="C728" s="94" t="s">
        <v>419</v>
      </c>
      <c r="D728" s="94" t="s">
        <v>573</v>
      </c>
      <c r="E728" s="95" t="s">
        <v>338</v>
      </c>
      <c r="F728" s="94" t="s">
        <v>330</v>
      </c>
      <c r="G728" s="94" t="s">
        <v>267</v>
      </c>
      <c r="H728" s="94" t="s">
        <v>11</v>
      </c>
      <c r="I728" s="94" t="s">
        <v>219</v>
      </c>
      <c r="J728" s="94"/>
      <c r="K728" s="96">
        <v>5.9</v>
      </c>
      <c r="L728" s="96">
        <f>K728*VLOOKUP(H728,dagsoorttabel1,2,FALSE)</f>
        <v>5.9</v>
      </c>
      <c r="M728" s="97">
        <f>prodnorm63</f>
        <v>0</v>
      </c>
      <c r="N728" s="41">
        <f>dagwerk63</f>
        <v>0</v>
      </c>
      <c r="O728" s="94" t="s">
        <v>106</v>
      </c>
      <c r="P728" s="26">
        <f>uurtarief63</f>
        <v>0</v>
      </c>
      <c r="Q728" s="96" t="e">
        <f>IF(ISBLANK(M728),0,L728/M728)</f>
        <v>#DIV/0!</v>
      </c>
      <c r="R728" s="96" t="e">
        <f>IF(ISBLANK(M728),0,Q728*N728)</f>
        <v>#DIV/0!</v>
      </c>
      <c r="S728" s="26" t="e">
        <f>P728*Q728</f>
        <v>#DIV/0!</v>
      </c>
      <c r="T728" s="96" t="e">
        <f>Q728*dagenperjaar1</f>
        <v>#DIV/0!</v>
      </c>
      <c r="U728" s="27" t="e">
        <f>T728*P728</f>
        <v>#DIV/0!</v>
      </c>
    </row>
    <row r="729" spans="1:21" x14ac:dyDescent="0.3">
      <c r="A729" s="93" t="s">
        <v>986</v>
      </c>
      <c r="B729" s="94" t="s">
        <v>40</v>
      </c>
      <c r="C729" s="94" t="s">
        <v>419</v>
      </c>
      <c r="D729" s="94" t="s">
        <v>575</v>
      </c>
      <c r="E729" s="95" t="s">
        <v>1044</v>
      </c>
      <c r="F729" s="94" t="s">
        <v>330</v>
      </c>
      <c r="G729" s="94" t="s">
        <v>241</v>
      </c>
      <c r="H729" s="94" t="s">
        <v>11</v>
      </c>
      <c r="I729" s="94" t="s">
        <v>219</v>
      </c>
      <c r="J729" s="94"/>
      <c r="K729" s="96">
        <v>50</v>
      </c>
      <c r="L729" s="96">
        <f>K729*VLOOKUP(H729,dagsoorttabel1,2,FALSE)</f>
        <v>50</v>
      </c>
      <c r="M729" s="97">
        <f>prodnorm38</f>
        <v>0</v>
      </c>
      <c r="N729" s="41">
        <f>dagwerk38</f>
        <v>0</v>
      </c>
      <c r="O729" s="94" t="s">
        <v>106</v>
      </c>
      <c r="P729" s="26">
        <f>uurtarief38</f>
        <v>0</v>
      </c>
      <c r="Q729" s="96" t="e">
        <f>IF(ISBLANK(M729),0,L729/M729)</f>
        <v>#DIV/0!</v>
      </c>
      <c r="R729" s="96" t="e">
        <f>IF(ISBLANK(M729),0,Q729*N729)</f>
        <v>#DIV/0!</v>
      </c>
      <c r="S729" s="26" t="e">
        <f>P729*Q729</f>
        <v>#DIV/0!</v>
      </c>
      <c r="T729" s="96" t="e">
        <f>Q729*dagenperjaar1</f>
        <v>#DIV/0!</v>
      </c>
      <c r="U729" s="27" t="e">
        <f>T729*P729</f>
        <v>#DIV/0!</v>
      </c>
    </row>
    <row r="730" spans="1:21" x14ac:dyDescent="0.3">
      <c r="A730" s="93" t="s">
        <v>986</v>
      </c>
      <c r="B730" s="94" t="s">
        <v>40</v>
      </c>
      <c r="C730" s="94" t="s">
        <v>419</v>
      </c>
      <c r="D730" s="94" t="s">
        <v>576</v>
      </c>
      <c r="E730" s="95" t="s">
        <v>1045</v>
      </c>
      <c r="F730" s="94" t="s">
        <v>330</v>
      </c>
      <c r="G730" s="94" t="s">
        <v>253</v>
      </c>
      <c r="H730" s="94" t="s">
        <v>11</v>
      </c>
      <c r="I730" s="94" t="s">
        <v>219</v>
      </c>
      <c r="J730" s="94"/>
      <c r="K730" s="96">
        <v>89</v>
      </c>
      <c r="L730" s="96">
        <f>K730*VLOOKUP(H730,dagsoorttabel1,2,FALSE)</f>
        <v>89</v>
      </c>
      <c r="M730" s="97">
        <f>prodnorm49</f>
        <v>0</v>
      </c>
      <c r="N730" s="41">
        <f>dagwerk49</f>
        <v>0</v>
      </c>
      <c r="O730" s="94" t="s">
        <v>106</v>
      </c>
      <c r="P730" s="26">
        <f>uurtarief49</f>
        <v>0</v>
      </c>
      <c r="Q730" s="96" t="e">
        <f>IF(ISBLANK(M730),0,L730/M730)</f>
        <v>#DIV/0!</v>
      </c>
      <c r="R730" s="96" t="e">
        <f>IF(ISBLANK(M730),0,Q730*N730)</f>
        <v>#DIV/0!</v>
      </c>
      <c r="S730" s="26" t="e">
        <f>P730*Q730</f>
        <v>#DIV/0!</v>
      </c>
      <c r="T730" s="96" t="e">
        <f>Q730*dagenperjaar1</f>
        <v>#DIV/0!</v>
      </c>
      <c r="U730" s="27" t="e">
        <f>T730*P730</f>
        <v>#DIV/0!</v>
      </c>
    </row>
    <row r="731" spans="1:21" x14ac:dyDescent="0.3">
      <c r="A731" s="93" t="s">
        <v>986</v>
      </c>
      <c r="B731" s="94" t="s">
        <v>40</v>
      </c>
      <c r="C731" s="94" t="s">
        <v>419</v>
      </c>
      <c r="D731" s="94" t="s">
        <v>577</v>
      </c>
      <c r="E731" s="95" t="s">
        <v>1046</v>
      </c>
      <c r="F731" s="94" t="s">
        <v>330</v>
      </c>
      <c r="G731" s="94" t="s">
        <v>241</v>
      </c>
      <c r="H731" s="94" t="s">
        <v>11</v>
      </c>
      <c r="I731" s="94" t="s">
        <v>219</v>
      </c>
      <c r="J731" s="94"/>
      <c r="K731" s="96">
        <v>89</v>
      </c>
      <c r="L731" s="96">
        <f>K731*VLOOKUP(H731,dagsoorttabel1,2,FALSE)</f>
        <v>89</v>
      </c>
      <c r="M731" s="97">
        <f>prodnorm38</f>
        <v>0</v>
      </c>
      <c r="N731" s="41">
        <f>dagwerk38</f>
        <v>0</v>
      </c>
      <c r="O731" s="94" t="s">
        <v>106</v>
      </c>
      <c r="P731" s="26">
        <f>uurtarief38</f>
        <v>0</v>
      </c>
      <c r="Q731" s="96" t="e">
        <f>IF(ISBLANK(M731),0,L731/M731)</f>
        <v>#DIV/0!</v>
      </c>
      <c r="R731" s="96" t="e">
        <f>IF(ISBLANK(M731),0,Q731*N731)</f>
        <v>#DIV/0!</v>
      </c>
      <c r="S731" s="26" t="e">
        <f>P731*Q731</f>
        <v>#DIV/0!</v>
      </c>
      <c r="T731" s="96" t="e">
        <f>Q731*dagenperjaar1</f>
        <v>#DIV/0!</v>
      </c>
      <c r="U731" s="27" t="e">
        <f>T731*P731</f>
        <v>#DIV/0!</v>
      </c>
    </row>
    <row r="732" spans="1:21" x14ac:dyDescent="0.3">
      <c r="A732" s="93" t="s">
        <v>986</v>
      </c>
      <c r="B732" s="94" t="s">
        <v>40</v>
      </c>
      <c r="C732" s="94" t="s">
        <v>419</v>
      </c>
      <c r="D732" s="94" t="s">
        <v>827</v>
      </c>
      <c r="E732" s="95" t="s">
        <v>1047</v>
      </c>
      <c r="F732" s="94" t="s">
        <v>330</v>
      </c>
      <c r="G732" s="94" t="s">
        <v>253</v>
      </c>
      <c r="H732" s="94" t="s">
        <v>11</v>
      </c>
      <c r="I732" s="94" t="s">
        <v>219</v>
      </c>
      <c r="J732" s="94"/>
      <c r="K732" s="96">
        <v>50</v>
      </c>
      <c r="L732" s="96">
        <f>K732*VLOOKUP(H732,dagsoorttabel1,2,FALSE)</f>
        <v>50</v>
      </c>
      <c r="M732" s="97">
        <f>prodnorm49</f>
        <v>0</v>
      </c>
      <c r="N732" s="41">
        <f>dagwerk49</f>
        <v>0</v>
      </c>
      <c r="O732" s="94" t="s">
        <v>106</v>
      </c>
      <c r="P732" s="26">
        <f>uurtarief49</f>
        <v>0</v>
      </c>
      <c r="Q732" s="96" t="e">
        <f>IF(ISBLANK(M732),0,L732/M732)</f>
        <v>#DIV/0!</v>
      </c>
      <c r="R732" s="96" t="e">
        <f>IF(ISBLANK(M732),0,Q732*N732)</f>
        <v>#DIV/0!</v>
      </c>
      <c r="S732" s="26" t="e">
        <f>P732*Q732</f>
        <v>#DIV/0!</v>
      </c>
      <c r="T732" s="96" t="e">
        <f>Q732*dagenperjaar1</f>
        <v>#DIV/0!</v>
      </c>
      <c r="U732" s="27" t="e">
        <f>T732*P732</f>
        <v>#DIV/0!</v>
      </c>
    </row>
    <row r="733" spans="1:21" x14ac:dyDescent="0.3">
      <c r="A733" s="98" t="s">
        <v>986</v>
      </c>
      <c r="B733" s="99" t="s">
        <v>40</v>
      </c>
      <c r="C733" s="99" t="s">
        <v>419</v>
      </c>
      <c r="D733" s="99" t="s">
        <v>578</v>
      </c>
      <c r="E733" s="100" t="s">
        <v>338</v>
      </c>
      <c r="F733" s="99" t="s">
        <v>330</v>
      </c>
      <c r="G733" s="99" t="s">
        <v>267</v>
      </c>
      <c r="H733" s="99" t="s">
        <v>11</v>
      </c>
      <c r="I733" s="99" t="s">
        <v>219</v>
      </c>
      <c r="J733" s="99"/>
      <c r="K733" s="101">
        <v>5.9</v>
      </c>
      <c r="L733" s="101">
        <f>K733*VLOOKUP(H733,dagsoorttabel1,2,FALSE)</f>
        <v>5.9</v>
      </c>
      <c r="M733" s="102">
        <f>prodnorm63</f>
        <v>0</v>
      </c>
      <c r="N733" s="103">
        <f>dagwerk63</f>
        <v>0</v>
      </c>
      <c r="O733" s="99" t="s">
        <v>106</v>
      </c>
      <c r="P733" s="36">
        <f>uurtarief63</f>
        <v>0</v>
      </c>
      <c r="Q733" s="101" t="e">
        <f>IF(ISBLANK(M733),0,L733/M733)</f>
        <v>#DIV/0!</v>
      </c>
      <c r="R733" s="101" t="e">
        <f>IF(ISBLANK(M733),0,Q733*N733)</f>
        <v>#DIV/0!</v>
      </c>
      <c r="S733" s="36" t="e">
        <f>P733*Q733</f>
        <v>#DIV/0!</v>
      </c>
      <c r="T733" s="101" t="e">
        <f>Q733*dagenperjaar1</f>
        <v>#DIV/0!</v>
      </c>
      <c r="U733" s="37" t="e">
        <f>T733*P733</f>
        <v>#DIV/0!</v>
      </c>
    </row>
    <row r="734" spans="1:21" x14ac:dyDescent="0.3">
      <c r="A734" s="75" t="s">
        <v>510</v>
      </c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8" t="e">
        <f>IF(_xlfn.SINGLE(object7_urenjaar1)&gt;0,_xlfn.SINGLE(object7_prijsjaar1)/_xlfn.SINGLE(object7_urenjaar1),0)</f>
        <v>#DIV/0!</v>
      </c>
      <c r="Q734" s="77" t="e">
        <f>SUM(Q643:Q733)</f>
        <v>#DIV/0!</v>
      </c>
      <c r="R734" s="77" t="e">
        <f>SUM(R643:R733)</f>
        <v>#DIV/0!</v>
      </c>
      <c r="S734" s="78" t="e">
        <f>SUM(S643:S733)</f>
        <v>#DIV/0!</v>
      </c>
      <c r="T734" s="77" t="e">
        <f>SUM(T643:T733)</f>
        <v>#DIV/0!</v>
      </c>
      <c r="U734" s="78" t="e">
        <f>SUM(U643:U733)</f>
        <v>#DIV/0!</v>
      </c>
    </row>
  </sheetData>
  <sheetProtection algorithmName="SHA-512" hashValue="uAzlPgVbGTtvD8VHfmL0lSzZkGuMvV7XjwGKmV+zEUTsmrSrzYXiUH65wDtP9RlKgOCy3KotDQmR/sxhtqy+PQ==" saltValue="W3CvrXpnbNJ9Tzm88nx17A==" spinCount="100000" sheet="1" objects="1" scenarios="1" autoFilter="0"/>
  <autoFilter ref="A3:U734" xr:uid="{14BE9329-BE07-4CED-B322-BF884A2A8C83}"/>
  <pageMargins left="0.7" right="0.7" top="0.75" bottom="0.75" header="0.3" footer="0.3"/>
  <pageSetup paperSize="9" scale="61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BAB1-98D6-4F46-A3C0-15EB8A844B2B}">
  <dimension ref="A1:P55"/>
  <sheetViews>
    <sheetView workbookViewId="0"/>
  </sheetViews>
  <sheetFormatPr defaultRowHeight="14.4" x14ac:dyDescent="0.3"/>
  <cols>
    <col min="1" max="1" width="5.77734375" customWidth="1"/>
    <col min="2" max="2" width="6.33203125" customWidth="1"/>
    <col min="3" max="3" width="11.77734375" customWidth="1"/>
    <col min="4" max="16" width="12.77734375" customWidth="1"/>
  </cols>
  <sheetData>
    <row r="1" spans="1:16" x14ac:dyDescent="0.3">
      <c r="A1" s="1" t="s">
        <v>1048</v>
      </c>
    </row>
    <row r="3" spans="1:16" ht="28.8" x14ac:dyDescent="0.3">
      <c r="A3" s="105" t="s">
        <v>210</v>
      </c>
      <c r="B3" s="105" t="s">
        <v>7</v>
      </c>
      <c r="C3" s="106" t="s">
        <v>1049</v>
      </c>
      <c r="D3" s="106" t="s">
        <v>1050</v>
      </c>
      <c r="E3" s="106" t="s">
        <v>1051</v>
      </c>
      <c r="F3" s="106" t="s">
        <v>1052</v>
      </c>
      <c r="G3" s="106" t="s">
        <v>1053</v>
      </c>
      <c r="H3" s="106" t="s">
        <v>1054</v>
      </c>
      <c r="I3" s="105" t="s">
        <v>1055</v>
      </c>
      <c r="J3" s="105" t="s">
        <v>1056</v>
      </c>
      <c r="K3" s="105" t="s">
        <v>1057</v>
      </c>
      <c r="L3" s="105" t="s">
        <v>1058</v>
      </c>
      <c r="M3" s="105" t="s">
        <v>1059</v>
      </c>
      <c r="N3" s="105" t="s">
        <v>1060</v>
      </c>
      <c r="O3" s="105" t="s">
        <v>1061</v>
      </c>
      <c r="P3" s="105" t="s">
        <v>1062</v>
      </c>
    </row>
    <row r="4" spans="1:16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8" t="s">
        <v>212</v>
      </c>
      <c r="K4" s="108" t="s">
        <v>212</v>
      </c>
      <c r="L4" s="108" t="s">
        <v>212</v>
      </c>
      <c r="M4" s="108" t="s">
        <v>212</v>
      </c>
      <c r="N4" s="108" t="s">
        <v>212</v>
      </c>
      <c r="O4" s="108" t="s">
        <v>212</v>
      </c>
      <c r="P4" s="108" t="s">
        <v>212</v>
      </c>
    </row>
    <row r="5" spans="1:16" x14ac:dyDescent="0.3">
      <c r="A5" s="51" t="s">
        <v>218</v>
      </c>
      <c r="B5" s="51" t="s">
        <v>11</v>
      </c>
      <c r="C5" s="51" t="s">
        <v>1063</v>
      </c>
      <c r="D5" s="51" t="s">
        <v>219</v>
      </c>
      <c r="E5" s="66">
        <f>IF(B5="","",VLOOKUP(B5,dagsoorttabel1,2,FALSE))</f>
        <v>1</v>
      </c>
      <c r="F5" s="66">
        <v>1</v>
      </c>
      <c r="G5" s="66">
        <f>IF(prodnorm16&gt;0,1/prodnorm16,0)</f>
        <v>0</v>
      </c>
      <c r="H5" s="68">
        <f>dagwerk16</f>
        <v>0</v>
      </c>
      <c r="I5" s="55">
        <f>uurtarief16</f>
        <v>0</v>
      </c>
      <c r="J5" s="66">
        <v>597.49</v>
      </c>
      <c r="K5" s="66">
        <v>293</v>
      </c>
      <c r="L5" s="66">
        <v>106</v>
      </c>
      <c r="M5" s="66">
        <v>468</v>
      </c>
      <c r="N5" s="66">
        <v>0</v>
      </c>
      <c r="O5" s="66">
        <v>1063.9000000000001</v>
      </c>
      <c r="P5" s="66">
        <v>287</v>
      </c>
    </row>
    <row r="6" spans="1:16" x14ac:dyDescent="0.3">
      <c r="A6" s="56" t="s">
        <v>221</v>
      </c>
      <c r="B6" s="56" t="s">
        <v>11</v>
      </c>
      <c r="C6" s="56" t="s">
        <v>1063</v>
      </c>
      <c r="D6" s="56" t="s">
        <v>219</v>
      </c>
      <c r="E6" s="69">
        <f>IF(B6="","",VLOOKUP(B6,dagsoorttabel1,2,FALSE))</f>
        <v>1</v>
      </c>
      <c r="F6" s="69">
        <v>1</v>
      </c>
      <c r="G6" s="69">
        <f>IF(prodnorm17&gt;0,1/prodnorm17,0)</f>
        <v>0</v>
      </c>
      <c r="H6" s="71">
        <f>dagwerk17</f>
        <v>0</v>
      </c>
      <c r="I6" s="60">
        <f>uurtarief17</f>
        <v>0</v>
      </c>
      <c r="J6" s="69">
        <v>135</v>
      </c>
      <c r="K6" s="69">
        <v>65.7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</row>
    <row r="7" spans="1:16" x14ac:dyDescent="0.3">
      <c r="A7" s="56" t="s">
        <v>223</v>
      </c>
      <c r="B7" s="56" t="s">
        <v>11</v>
      </c>
      <c r="C7" s="56" t="s">
        <v>1063</v>
      </c>
      <c r="D7" s="56" t="s">
        <v>219</v>
      </c>
      <c r="E7" s="69">
        <f>IF(B7="","",VLOOKUP(B7,dagsoorttabel1,2,FALSE))</f>
        <v>1</v>
      </c>
      <c r="F7" s="69">
        <v>1</v>
      </c>
      <c r="G7" s="69">
        <f>IF(prodnorm18&gt;0,1/prodnorm18,0)</f>
        <v>0</v>
      </c>
      <c r="H7" s="71">
        <f>dagwerk18</f>
        <v>0</v>
      </c>
      <c r="I7" s="60">
        <f>uurtarief18</f>
        <v>0</v>
      </c>
      <c r="J7" s="69">
        <v>0</v>
      </c>
      <c r="K7" s="69">
        <v>135.1</v>
      </c>
      <c r="L7" s="69">
        <v>0</v>
      </c>
      <c r="M7" s="69">
        <v>82</v>
      </c>
      <c r="N7" s="69">
        <v>0</v>
      </c>
      <c r="O7" s="69">
        <v>0</v>
      </c>
      <c r="P7" s="69">
        <v>146.15</v>
      </c>
    </row>
    <row r="8" spans="1:16" x14ac:dyDescent="0.3">
      <c r="A8" s="56" t="s">
        <v>223</v>
      </c>
      <c r="B8" s="56" t="s">
        <v>18</v>
      </c>
      <c r="C8" s="56" t="s">
        <v>1063</v>
      </c>
      <c r="D8" s="56" t="s">
        <v>219</v>
      </c>
      <c r="E8" s="69">
        <f>IF(B8="","",VLOOKUP(B8,dagsoorttabel1,2,FALSE))</f>
        <v>0.2</v>
      </c>
      <c r="F8" s="69">
        <v>1</v>
      </c>
      <c r="G8" s="69">
        <f>IF(prodnorm19&gt;0,1/prodnorm19,0)</f>
        <v>0</v>
      </c>
      <c r="H8" s="71">
        <f>dagwerk19</f>
        <v>0</v>
      </c>
      <c r="I8" s="60">
        <f>uurtarief19</f>
        <v>0</v>
      </c>
      <c r="J8" s="69">
        <v>495.38</v>
      </c>
      <c r="K8" s="69">
        <v>0</v>
      </c>
      <c r="L8" s="69">
        <v>0</v>
      </c>
      <c r="M8" s="69">
        <v>85</v>
      </c>
      <c r="N8" s="69">
        <v>0</v>
      </c>
      <c r="O8" s="69">
        <v>60.55</v>
      </c>
      <c r="P8" s="69">
        <v>0</v>
      </c>
    </row>
    <row r="9" spans="1:16" x14ac:dyDescent="0.3">
      <c r="A9" s="56" t="s">
        <v>223</v>
      </c>
      <c r="B9" s="56" t="s">
        <v>16</v>
      </c>
      <c r="C9" s="56" t="s">
        <v>1063</v>
      </c>
      <c r="D9" s="56" t="s">
        <v>219</v>
      </c>
      <c r="E9" s="69">
        <f>IF(B9="","",VLOOKUP(B9,dagsoorttabel1,2,FALSE))</f>
        <v>0.4</v>
      </c>
      <c r="F9" s="69">
        <v>1</v>
      </c>
      <c r="G9" s="69">
        <f>IF(prodnorm20&gt;0,1/prodnorm20,0)</f>
        <v>0</v>
      </c>
      <c r="H9" s="71">
        <f>dagwerk20</f>
        <v>0</v>
      </c>
      <c r="I9" s="60">
        <f>uurtarief20</f>
        <v>0</v>
      </c>
      <c r="J9" s="69">
        <v>0</v>
      </c>
      <c r="K9" s="69">
        <v>0</v>
      </c>
      <c r="L9" s="69">
        <v>48</v>
      </c>
      <c r="M9" s="69">
        <v>138</v>
      </c>
      <c r="N9" s="69">
        <v>0</v>
      </c>
      <c r="O9" s="69">
        <v>236.03</v>
      </c>
      <c r="P9" s="69">
        <v>0</v>
      </c>
    </row>
    <row r="10" spans="1:16" x14ac:dyDescent="0.3">
      <c r="A10" s="56" t="s">
        <v>225</v>
      </c>
      <c r="B10" s="56" t="s">
        <v>13</v>
      </c>
      <c r="C10" s="56" t="s">
        <v>1063</v>
      </c>
      <c r="D10" s="56" t="s">
        <v>219</v>
      </c>
      <c r="E10" s="69">
        <f>IF(B10="","",VLOOKUP(B10,dagsoorttabel1,2,FALSE))</f>
        <v>0.63</v>
      </c>
      <c r="F10" s="69">
        <v>1</v>
      </c>
      <c r="G10" s="69">
        <f>IF(prodnorm21&gt;0,1/prodnorm21,0)</f>
        <v>0</v>
      </c>
      <c r="H10" s="71">
        <f>dagwerk21</f>
        <v>0</v>
      </c>
      <c r="I10" s="60">
        <f>uurtarief21</f>
        <v>0</v>
      </c>
      <c r="J10" s="69">
        <v>0</v>
      </c>
      <c r="K10" s="69">
        <v>0</v>
      </c>
      <c r="L10" s="69">
        <v>0</v>
      </c>
      <c r="M10" s="69">
        <v>0</v>
      </c>
      <c r="N10" s="69">
        <v>451.3</v>
      </c>
      <c r="O10" s="69">
        <v>0</v>
      </c>
      <c r="P10" s="69">
        <v>0</v>
      </c>
    </row>
    <row r="11" spans="1:16" x14ac:dyDescent="0.3">
      <c r="A11" s="56" t="s">
        <v>225</v>
      </c>
      <c r="B11" s="56" t="s">
        <v>11</v>
      </c>
      <c r="C11" s="56" t="s">
        <v>1063</v>
      </c>
      <c r="D11" s="56" t="s">
        <v>219</v>
      </c>
      <c r="E11" s="69">
        <f>IF(B11="","",VLOOKUP(B11,dagsoorttabel1,2,FALSE))</f>
        <v>1</v>
      </c>
      <c r="F11" s="69">
        <v>1</v>
      </c>
      <c r="G11" s="69">
        <f>IF(prodnorm22&gt;0,1/prodnorm22,0)</f>
        <v>0</v>
      </c>
      <c r="H11" s="71">
        <f>dagwerk22</f>
        <v>0</v>
      </c>
      <c r="I11" s="60">
        <f>uurtarief22</f>
        <v>0</v>
      </c>
      <c r="J11" s="69">
        <v>22</v>
      </c>
      <c r="K11" s="69">
        <v>104.8</v>
      </c>
      <c r="L11" s="69">
        <v>42</v>
      </c>
      <c r="M11" s="69">
        <v>0</v>
      </c>
      <c r="N11" s="69">
        <v>0</v>
      </c>
      <c r="O11" s="69">
        <v>0</v>
      </c>
      <c r="P11" s="69">
        <v>0</v>
      </c>
    </row>
    <row r="12" spans="1:16" x14ac:dyDescent="0.3">
      <c r="A12" s="56" t="s">
        <v>225</v>
      </c>
      <c r="B12" s="56" t="s">
        <v>18</v>
      </c>
      <c r="C12" s="56" t="s">
        <v>1063</v>
      </c>
      <c r="D12" s="56" t="s">
        <v>219</v>
      </c>
      <c r="E12" s="69">
        <f>IF(B12="","",VLOOKUP(B12,dagsoorttabel1,2,FALSE))</f>
        <v>0.2</v>
      </c>
      <c r="F12" s="69">
        <v>1</v>
      </c>
      <c r="G12" s="69">
        <f>IF(prodnorm23&gt;0,1/prodnorm23,0)</f>
        <v>0</v>
      </c>
      <c r="H12" s="71">
        <f>dagwerk23</f>
        <v>0</v>
      </c>
      <c r="I12" s="60">
        <f>uurtarief23</f>
        <v>0</v>
      </c>
      <c r="J12" s="69">
        <v>168.56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</row>
    <row r="13" spans="1:16" x14ac:dyDescent="0.3">
      <c r="A13" s="56" t="s">
        <v>225</v>
      </c>
      <c r="B13" s="56" t="s">
        <v>16</v>
      </c>
      <c r="C13" s="56" t="s">
        <v>1063</v>
      </c>
      <c r="D13" s="56" t="s">
        <v>219</v>
      </c>
      <c r="E13" s="69">
        <f>IF(B13="","",VLOOKUP(B13,dagsoorttabel1,2,FALSE))</f>
        <v>0.4</v>
      </c>
      <c r="F13" s="69">
        <v>1</v>
      </c>
      <c r="G13" s="69">
        <f>IF(prodnorm24&gt;0,1/prodnorm24,0)</f>
        <v>0</v>
      </c>
      <c r="H13" s="71">
        <f>dagwerk24</f>
        <v>0</v>
      </c>
      <c r="I13" s="60">
        <f>uurtarief24</f>
        <v>0</v>
      </c>
      <c r="J13" s="69">
        <v>0</v>
      </c>
      <c r="K13" s="69">
        <v>0</v>
      </c>
      <c r="L13" s="69">
        <v>42</v>
      </c>
      <c r="M13" s="69">
        <v>53</v>
      </c>
      <c r="N13" s="69">
        <v>0</v>
      </c>
      <c r="O13" s="69">
        <v>622.60000000000014</v>
      </c>
      <c r="P13" s="69">
        <v>0</v>
      </c>
    </row>
    <row r="14" spans="1:16" x14ac:dyDescent="0.3">
      <c r="A14" s="56" t="s">
        <v>227</v>
      </c>
      <c r="B14" s="56" t="s">
        <v>11</v>
      </c>
      <c r="C14" s="56" t="s">
        <v>1063</v>
      </c>
      <c r="D14" s="56" t="s">
        <v>219</v>
      </c>
      <c r="E14" s="69">
        <f>IF(B14="","",VLOOKUP(B14,dagsoorttabel1,2,FALSE))</f>
        <v>1</v>
      </c>
      <c r="F14" s="69">
        <v>1</v>
      </c>
      <c r="G14" s="69">
        <f>IF(prodnorm25&gt;0,1/prodnorm25,0)</f>
        <v>0</v>
      </c>
      <c r="H14" s="71">
        <f>dagwerk25</f>
        <v>0</v>
      </c>
      <c r="I14" s="60">
        <f>uurtarief25</f>
        <v>0</v>
      </c>
      <c r="J14" s="69">
        <v>0</v>
      </c>
      <c r="K14" s="69">
        <v>8</v>
      </c>
      <c r="L14" s="69">
        <v>0</v>
      </c>
      <c r="M14" s="69">
        <v>0</v>
      </c>
      <c r="N14" s="69">
        <v>0</v>
      </c>
      <c r="O14" s="69">
        <v>83.6</v>
      </c>
      <c r="P14" s="69">
        <v>0</v>
      </c>
    </row>
    <row r="15" spans="1:16" x14ac:dyDescent="0.3">
      <c r="A15" s="56" t="s">
        <v>227</v>
      </c>
      <c r="B15" s="56" t="s">
        <v>18</v>
      </c>
      <c r="C15" s="56" t="s">
        <v>1063</v>
      </c>
      <c r="D15" s="56" t="s">
        <v>219</v>
      </c>
      <c r="E15" s="69">
        <f>IF(B15="","",VLOOKUP(B15,dagsoorttabel1,2,FALSE))</f>
        <v>0.2</v>
      </c>
      <c r="F15" s="69">
        <v>1</v>
      </c>
      <c r="G15" s="69">
        <f>IF(prodnorm26&gt;0,1/prodnorm26,0)</f>
        <v>0</v>
      </c>
      <c r="H15" s="71">
        <f>dagwerk26</f>
        <v>0</v>
      </c>
      <c r="I15" s="60">
        <f>uurtarief26</f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7</v>
      </c>
      <c r="P15" s="69">
        <v>0</v>
      </c>
    </row>
    <row r="16" spans="1:16" x14ac:dyDescent="0.3">
      <c r="A16" s="56" t="s">
        <v>229</v>
      </c>
      <c r="B16" s="56" t="s">
        <v>11</v>
      </c>
      <c r="C16" s="56" t="s">
        <v>1063</v>
      </c>
      <c r="D16" s="56" t="s">
        <v>219</v>
      </c>
      <c r="E16" s="69">
        <f>IF(B16="","",VLOOKUP(B16,dagsoorttabel1,2,FALSE))</f>
        <v>1</v>
      </c>
      <c r="F16" s="69">
        <v>1</v>
      </c>
      <c r="G16" s="69">
        <f>IF(prodnorm27&gt;0,1/prodnorm27,0)</f>
        <v>0</v>
      </c>
      <c r="H16" s="71">
        <f>dagwerk27</f>
        <v>0</v>
      </c>
      <c r="I16" s="60">
        <f>uurtarief27</f>
        <v>0</v>
      </c>
      <c r="J16" s="69">
        <v>0</v>
      </c>
      <c r="K16" s="69">
        <v>24</v>
      </c>
      <c r="L16" s="69">
        <v>0</v>
      </c>
      <c r="M16" s="69">
        <v>0</v>
      </c>
      <c r="N16" s="69">
        <v>0</v>
      </c>
      <c r="O16" s="69">
        <v>46.6</v>
      </c>
      <c r="P16" s="69">
        <v>0</v>
      </c>
    </row>
    <row r="17" spans="1:16" x14ac:dyDescent="0.3">
      <c r="A17" s="56" t="s">
        <v>231</v>
      </c>
      <c r="B17" s="56" t="s">
        <v>13</v>
      </c>
      <c r="C17" s="56" t="s">
        <v>1063</v>
      </c>
      <c r="D17" s="56" t="s">
        <v>219</v>
      </c>
      <c r="E17" s="69">
        <f>IF(B17="","",VLOOKUP(B17,dagsoorttabel1,2,FALSE))</f>
        <v>0.63</v>
      </c>
      <c r="F17" s="69">
        <v>1</v>
      </c>
      <c r="G17" s="69">
        <f>IF(prodnorm28&gt;0,1/prodnorm28,0)</f>
        <v>0</v>
      </c>
      <c r="H17" s="71">
        <f>dagwerk28</f>
        <v>0</v>
      </c>
      <c r="I17" s="60">
        <f>uurtarief28</f>
        <v>0</v>
      </c>
      <c r="J17" s="69">
        <v>0</v>
      </c>
      <c r="K17" s="69">
        <v>0</v>
      </c>
      <c r="L17" s="69">
        <v>0</v>
      </c>
      <c r="M17" s="69">
        <v>0</v>
      </c>
      <c r="N17" s="69">
        <v>10.8</v>
      </c>
      <c r="O17" s="69">
        <v>0</v>
      </c>
      <c r="P17" s="69">
        <v>0</v>
      </c>
    </row>
    <row r="18" spans="1:16" x14ac:dyDescent="0.3">
      <c r="A18" s="56" t="s">
        <v>231</v>
      </c>
      <c r="B18" s="56" t="s">
        <v>11</v>
      </c>
      <c r="C18" s="56" t="s">
        <v>1063</v>
      </c>
      <c r="D18" s="56" t="s">
        <v>219</v>
      </c>
      <c r="E18" s="69">
        <f>IF(B18="","",VLOOKUP(B18,dagsoorttabel1,2,FALSE))</f>
        <v>1</v>
      </c>
      <c r="F18" s="69">
        <v>1</v>
      </c>
      <c r="G18" s="69">
        <f>IF(prodnorm29&gt;0,1/prodnorm29,0)</f>
        <v>0</v>
      </c>
      <c r="H18" s="71">
        <f>dagwerk29</f>
        <v>0</v>
      </c>
      <c r="I18" s="60">
        <f>uurtarief29</f>
        <v>0</v>
      </c>
      <c r="J18" s="69">
        <v>10</v>
      </c>
      <c r="K18" s="69">
        <v>0</v>
      </c>
      <c r="L18" s="69">
        <v>24.8</v>
      </c>
      <c r="M18" s="69">
        <v>13</v>
      </c>
      <c r="N18" s="69">
        <v>0</v>
      </c>
      <c r="O18" s="69">
        <v>0</v>
      </c>
      <c r="P18" s="69">
        <v>0</v>
      </c>
    </row>
    <row r="19" spans="1:16" x14ac:dyDescent="0.3">
      <c r="A19" s="56" t="s">
        <v>231</v>
      </c>
      <c r="B19" s="56" t="s">
        <v>18</v>
      </c>
      <c r="C19" s="56" t="s">
        <v>1063</v>
      </c>
      <c r="D19" s="56" t="s">
        <v>219</v>
      </c>
      <c r="E19" s="69">
        <f>IF(B19="","",VLOOKUP(B19,dagsoorttabel1,2,FALSE))</f>
        <v>0.2</v>
      </c>
      <c r="F19" s="69">
        <v>1</v>
      </c>
      <c r="G19" s="69">
        <f>IF(prodnorm30&gt;0,1/prodnorm30,0)</f>
        <v>0</v>
      </c>
      <c r="H19" s="71">
        <f>dagwerk30</f>
        <v>0</v>
      </c>
      <c r="I19" s="60">
        <f>uurtarief30</f>
        <v>0</v>
      </c>
      <c r="J19" s="69">
        <v>0</v>
      </c>
      <c r="K19" s="69">
        <v>0</v>
      </c>
      <c r="L19" s="69">
        <v>0</v>
      </c>
      <c r="M19" s="69">
        <v>13</v>
      </c>
      <c r="N19" s="69">
        <v>0</v>
      </c>
      <c r="O19" s="69">
        <v>0</v>
      </c>
      <c r="P19" s="69">
        <v>0</v>
      </c>
    </row>
    <row r="20" spans="1:16" x14ac:dyDescent="0.3">
      <c r="A20" s="56" t="s">
        <v>233</v>
      </c>
      <c r="B20" s="56" t="s">
        <v>11</v>
      </c>
      <c r="C20" s="56" t="s">
        <v>1063</v>
      </c>
      <c r="D20" s="56" t="s">
        <v>219</v>
      </c>
      <c r="E20" s="69">
        <f>IF(B20="","",VLOOKUP(B20,dagsoorttabel1,2,FALSE))</f>
        <v>1</v>
      </c>
      <c r="F20" s="69">
        <v>1</v>
      </c>
      <c r="G20" s="69">
        <f>IF(prodnorm31&gt;0,1/prodnorm31,0)</f>
        <v>0</v>
      </c>
      <c r="H20" s="71">
        <f>dagwerk31</f>
        <v>0</v>
      </c>
      <c r="I20" s="60">
        <f>uurtarief31</f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3</v>
      </c>
      <c r="P20" s="69">
        <v>0</v>
      </c>
    </row>
    <row r="21" spans="1:16" x14ac:dyDescent="0.3">
      <c r="A21" s="56" t="s">
        <v>235</v>
      </c>
      <c r="B21" s="56" t="s">
        <v>26</v>
      </c>
      <c r="C21" s="56" t="s">
        <v>1063</v>
      </c>
      <c r="D21" s="56" t="s">
        <v>219</v>
      </c>
      <c r="E21" s="69">
        <f>IF(B21="","",VLOOKUP(B21,dagsoorttabel1,2,FALSE))</f>
        <v>5.0000000000000001E-3</v>
      </c>
      <c r="F21" s="69">
        <v>1</v>
      </c>
      <c r="G21" s="69">
        <f>IF(prodnorm32&gt;0,1/prodnorm32,0)</f>
        <v>0</v>
      </c>
      <c r="H21" s="71">
        <f>dagwerk32</f>
        <v>0</v>
      </c>
      <c r="I21" s="60">
        <f>uurtarief32</f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148.69999999999999</v>
      </c>
      <c r="P21" s="69">
        <v>0</v>
      </c>
    </row>
    <row r="22" spans="1:16" x14ac:dyDescent="0.3">
      <c r="A22" s="56" t="s">
        <v>235</v>
      </c>
      <c r="B22" s="56" t="s">
        <v>11</v>
      </c>
      <c r="C22" s="56" t="s">
        <v>1063</v>
      </c>
      <c r="D22" s="56" t="s">
        <v>219</v>
      </c>
      <c r="E22" s="69">
        <f>IF(B22="","",VLOOKUP(B22,dagsoorttabel1,2,FALSE))</f>
        <v>1</v>
      </c>
      <c r="F22" s="69">
        <v>1</v>
      </c>
      <c r="G22" s="69">
        <f>IF(prodnorm33&gt;0,1/prodnorm33,0)</f>
        <v>0</v>
      </c>
      <c r="H22" s="71">
        <f>dagwerk33</f>
        <v>0</v>
      </c>
      <c r="I22" s="60">
        <f>uurtarief33</f>
        <v>0</v>
      </c>
      <c r="J22" s="69">
        <v>504</v>
      </c>
      <c r="K22" s="69">
        <v>282</v>
      </c>
      <c r="L22" s="69">
        <v>0</v>
      </c>
      <c r="M22" s="69">
        <v>252</v>
      </c>
      <c r="N22" s="69">
        <v>0</v>
      </c>
      <c r="O22" s="69">
        <v>1080.5999999999999</v>
      </c>
      <c r="P22" s="69">
        <v>280</v>
      </c>
    </row>
    <row r="23" spans="1:16" x14ac:dyDescent="0.3">
      <c r="A23" s="56" t="s">
        <v>235</v>
      </c>
      <c r="B23" s="56" t="s">
        <v>18</v>
      </c>
      <c r="C23" s="56" t="s">
        <v>1063</v>
      </c>
      <c r="D23" s="56" t="s">
        <v>219</v>
      </c>
      <c r="E23" s="69">
        <f>IF(B23="","",VLOOKUP(B23,dagsoorttabel1,2,FALSE))</f>
        <v>0.2</v>
      </c>
      <c r="F23" s="69">
        <v>1</v>
      </c>
      <c r="G23" s="69">
        <f>IF(prodnorm34&gt;0,1/prodnorm34,0)</f>
        <v>0</v>
      </c>
      <c r="H23" s="71">
        <f>dagwerk34</f>
        <v>0</v>
      </c>
      <c r="I23" s="60">
        <f>uurtarief34</f>
        <v>0</v>
      </c>
      <c r="J23" s="69">
        <v>32</v>
      </c>
      <c r="K23" s="69">
        <v>26</v>
      </c>
      <c r="L23" s="69">
        <v>0</v>
      </c>
      <c r="M23" s="69">
        <v>321</v>
      </c>
      <c r="N23" s="69">
        <v>0</v>
      </c>
      <c r="O23" s="69">
        <v>0</v>
      </c>
      <c r="P23" s="69">
        <v>20</v>
      </c>
    </row>
    <row r="24" spans="1:16" x14ac:dyDescent="0.3">
      <c r="A24" s="56" t="s">
        <v>237</v>
      </c>
      <c r="B24" s="56" t="s">
        <v>11</v>
      </c>
      <c r="C24" s="56" t="s">
        <v>1063</v>
      </c>
      <c r="D24" s="56" t="s">
        <v>219</v>
      </c>
      <c r="E24" s="69">
        <f>IF(B24="","",VLOOKUP(B24,dagsoorttabel1,2,FALSE))</f>
        <v>1</v>
      </c>
      <c r="F24" s="69">
        <v>1</v>
      </c>
      <c r="G24" s="69">
        <f>IF(prodnorm35&gt;0,1/prodnorm35,0)</f>
        <v>0</v>
      </c>
      <c r="H24" s="71">
        <f>dagwerk35</f>
        <v>0</v>
      </c>
      <c r="I24" s="60">
        <f>uurtarief35</f>
        <v>0</v>
      </c>
      <c r="J24" s="69">
        <v>2</v>
      </c>
      <c r="K24" s="69">
        <v>4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</row>
    <row r="25" spans="1:16" x14ac:dyDescent="0.3">
      <c r="A25" s="56" t="s">
        <v>239</v>
      </c>
      <c r="B25" s="56" t="s">
        <v>11</v>
      </c>
      <c r="C25" s="56" t="s">
        <v>1063</v>
      </c>
      <c r="D25" s="56" t="s">
        <v>219</v>
      </c>
      <c r="E25" s="69">
        <f>IF(B25="","",VLOOKUP(B25,dagsoorttabel1,2,FALSE))</f>
        <v>1</v>
      </c>
      <c r="F25" s="69">
        <v>1</v>
      </c>
      <c r="G25" s="69">
        <f>IF(prodnorm36&gt;0,1/prodnorm36,0)</f>
        <v>0</v>
      </c>
      <c r="H25" s="71">
        <f>dagwerk36</f>
        <v>0</v>
      </c>
      <c r="I25" s="60">
        <f>uurtarief36</f>
        <v>0</v>
      </c>
      <c r="J25" s="69">
        <v>124</v>
      </c>
      <c r="K25" s="69">
        <v>70</v>
      </c>
      <c r="L25" s="69">
        <v>0</v>
      </c>
      <c r="M25" s="69">
        <v>46</v>
      </c>
      <c r="N25" s="69">
        <v>0</v>
      </c>
      <c r="O25" s="69">
        <v>152.9</v>
      </c>
      <c r="P25" s="69">
        <v>50.75</v>
      </c>
    </row>
    <row r="26" spans="1:16" x14ac:dyDescent="0.3">
      <c r="A26" s="56" t="s">
        <v>239</v>
      </c>
      <c r="B26" s="56" t="s">
        <v>18</v>
      </c>
      <c r="C26" s="56" t="s">
        <v>1063</v>
      </c>
      <c r="D26" s="56" t="s">
        <v>219</v>
      </c>
      <c r="E26" s="69">
        <f>IF(B26="","",VLOOKUP(B26,dagsoorttabel1,2,FALSE))</f>
        <v>0.2</v>
      </c>
      <c r="F26" s="69">
        <v>1</v>
      </c>
      <c r="G26" s="69">
        <f>IF(prodnorm37&gt;0,1/prodnorm37,0)</f>
        <v>0</v>
      </c>
      <c r="H26" s="71">
        <f>dagwerk37</f>
        <v>0</v>
      </c>
      <c r="I26" s="60">
        <f>uurtarief37</f>
        <v>0</v>
      </c>
      <c r="J26" s="69">
        <v>0</v>
      </c>
      <c r="K26" s="69">
        <v>0</v>
      </c>
      <c r="L26" s="69">
        <v>0</v>
      </c>
      <c r="M26" s="69">
        <v>49</v>
      </c>
      <c r="N26" s="69">
        <v>0</v>
      </c>
      <c r="O26" s="69">
        <v>0</v>
      </c>
      <c r="P26" s="69">
        <v>0</v>
      </c>
    </row>
    <row r="27" spans="1:16" x14ac:dyDescent="0.3">
      <c r="A27" s="56" t="s">
        <v>241</v>
      </c>
      <c r="B27" s="56" t="s">
        <v>11</v>
      </c>
      <c r="C27" s="56" t="s">
        <v>1063</v>
      </c>
      <c r="D27" s="56" t="s">
        <v>219</v>
      </c>
      <c r="E27" s="69">
        <f>IF(B27="","",VLOOKUP(B27,dagsoorttabel1,2,FALSE))</f>
        <v>1</v>
      </c>
      <c r="F27" s="69">
        <v>1</v>
      </c>
      <c r="G27" s="69">
        <f>IF(prodnorm38&gt;0,1/prodnorm38,0)</f>
        <v>0</v>
      </c>
      <c r="H27" s="71">
        <f>dagwerk38</f>
        <v>0</v>
      </c>
      <c r="I27" s="60">
        <f>uurtarief38</f>
        <v>0</v>
      </c>
      <c r="J27" s="69">
        <v>2054.4</v>
      </c>
      <c r="K27" s="69">
        <v>759.4</v>
      </c>
      <c r="L27" s="69">
        <v>513</v>
      </c>
      <c r="M27" s="69">
        <v>693</v>
      </c>
      <c r="N27" s="69">
        <v>0</v>
      </c>
      <c r="O27" s="69">
        <v>3118.0899999999997</v>
      </c>
      <c r="P27" s="69">
        <v>846.09999999999991</v>
      </c>
    </row>
    <row r="28" spans="1:16" x14ac:dyDescent="0.3">
      <c r="A28" s="56" t="s">
        <v>241</v>
      </c>
      <c r="B28" s="56" t="s">
        <v>18</v>
      </c>
      <c r="C28" s="56" t="s">
        <v>1063</v>
      </c>
      <c r="D28" s="56" t="s">
        <v>219</v>
      </c>
      <c r="E28" s="69">
        <f>IF(B28="","",VLOOKUP(B28,dagsoorttabel1,2,FALSE))</f>
        <v>0.2</v>
      </c>
      <c r="F28" s="69">
        <v>1</v>
      </c>
      <c r="G28" s="69">
        <f>IF(prodnorm39&gt;0,1/prodnorm39,0)</f>
        <v>0</v>
      </c>
      <c r="H28" s="71">
        <f>dagwerk39</f>
        <v>0</v>
      </c>
      <c r="I28" s="60">
        <f>uurtarief39</f>
        <v>0</v>
      </c>
      <c r="J28" s="69">
        <v>0</v>
      </c>
      <c r="K28" s="69">
        <v>0</v>
      </c>
      <c r="L28" s="69">
        <v>0</v>
      </c>
      <c r="M28" s="69">
        <v>160</v>
      </c>
      <c r="N28" s="69">
        <v>0</v>
      </c>
      <c r="O28" s="69">
        <v>0</v>
      </c>
      <c r="P28" s="69">
        <v>0</v>
      </c>
    </row>
    <row r="29" spans="1:16" x14ac:dyDescent="0.3">
      <c r="A29" s="56" t="s">
        <v>243</v>
      </c>
      <c r="B29" s="56" t="s">
        <v>11</v>
      </c>
      <c r="C29" s="56" t="s">
        <v>1063</v>
      </c>
      <c r="D29" s="56" t="s">
        <v>219</v>
      </c>
      <c r="E29" s="69">
        <f>IF(B29="","",VLOOKUP(B29,dagsoorttabel1,2,FALSE))</f>
        <v>1</v>
      </c>
      <c r="F29" s="69">
        <v>1</v>
      </c>
      <c r="G29" s="69">
        <f>IF(prodnorm40&gt;0,1/prodnorm40,0)</f>
        <v>0</v>
      </c>
      <c r="H29" s="71">
        <f>dagwerk40</f>
        <v>0</v>
      </c>
      <c r="I29" s="60">
        <f>uurtarief40</f>
        <v>0</v>
      </c>
      <c r="J29" s="69">
        <v>322</v>
      </c>
      <c r="K29" s="69">
        <v>99.8</v>
      </c>
      <c r="L29" s="69">
        <v>133</v>
      </c>
      <c r="M29" s="69">
        <v>0</v>
      </c>
      <c r="N29" s="69">
        <v>0</v>
      </c>
      <c r="O29" s="69">
        <v>54.2</v>
      </c>
      <c r="P29" s="69">
        <v>0</v>
      </c>
    </row>
    <row r="30" spans="1:16" x14ac:dyDescent="0.3">
      <c r="A30" s="56" t="s">
        <v>243</v>
      </c>
      <c r="B30" s="56" t="s">
        <v>16</v>
      </c>
      <c r="C30" s="56" t="s">
        <v>1063</v>
      </c>
      <c r="D30" s="56" t="s">
        <v>219</v>
      </c>
      <c r="E30" s="69">
        <f>IF(B30="","",VLOOKUP(B30,dagsoorttabel1,2,FALSE))</f>
        <v>0.4</v>
      </c>
      <c r="F30" s="69">
        <v>1</v>
      </c>
      <c r="G30" s="69">
        <f>IF(prodnorm41&gt;0,1/prodnorm41,0)</f>
        <v>0</v>
      </c>
      <c r="H30" s="71">
        <f>dagwerk41</f>
        <v>0</v>
      </c>
      <c r="I30" s="60">
        <f>uurtarief41</f>
        <v>0</v>
      </c>
      <c r="J30" s="69">
        <v>0</v>
      </c>
      <c r="K30" s="69">
        <v>0</v>
      </c>
      <c r="L30" s="69">
        <v>0</v>
      </c>
      <c r="M30" s="69">
        <v>53</v>
      </c>
      <c r="N30" s="69">
        <v>0</v>
      </c>
      <c r="O30" s="69">
        <v>0</v>
      </c>
      <c r="P30" s="69">
        <v>0</v>
      </c>
    </row>
    <row r="31" spans="1:16" x14ac:dyDescent="0.3">
      <c r="A31" s="56" t="s">
        <v>245</v>
      </c>
      <c r="B31" s="56" t="s">
        <v>11</v>
      </c>
      <c r="C31" s="56" t="s">
        <v>1063</v>
      </c>
      <c r="D31" s="56" t="s">
        <v>219</v>
      </c>
      <c r="E31" s="69">
        <f>IF(B31="","",VLOOKUP(B31,dagsoorttabel1,2,FALSE))</f>
        <v>1</v>
      </c>
      <c r="F31" s="69">
        <v>1</v>
      </c>
      <c r="G31" s="69">
        <f>IF(prodnorm42&gt;0,1/prodnorm42,0)</f>
        <v>0</v>
      </c>
      <c r="H31" s="71">
        <f>dagwerk42</f>
        <v>0</v>
      </c>
      <c r="I31" s="60">
        <f>uurtarief42</f>
        <v>0</v>
      </c>
      <c r="J31" s="69">
        <v>0</v>
      </c>
      <c r="K31" s="69">
        <v>241.2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</row>
    <row r="32" spans="1:16" x14ac:dyDescent="0.3">
      <c r="A32" s="56" t="s">
        <v>247</v>
      </c>
      <c r="B32" s="56" t="s">
        <v>11</v>
      </c>
      <c r="C32" s="56" t="s">
        <v>1063</v>
      </c>
      <c r="D32" s="56" t="s">
        <v>219</v>
      </c>
      <c r="E32" s="69">
        <f>IF(B32="","",VLOOKUP(B32,dagsoorttabel1,2,FALSE))</f>
        <v>1</v>
      </c>
      <c r="F32" s="69">
        <v>1</v>
      </c>
      <c r="G32" s="69">
        <f>IF(prodnorm43&gt;0,1/prodnorm43,0)</f>
        <v>0</v>
      </c>
      <c r="H32" s="71">
        <f>dagwerk43</f>
        <v>0</v>
      </c>
      <c r="I32" s="60">
        <f>uurtarief43</f>
        <v>0</v>
      </c>
      <c r="J32" s="69">
        <v>337</v>
      </c>
      <c r="K32" s="69">
        <v>113.4</v>
      </c>
      <c r="L32" s="69">
        <v>23</v>
      </c>
      <c r="M32" s="69">
        <v>0</v>
      </c>
      <c r="N32" s="69">
        <v>0</v>
      </c>
      <c r="O32" s="69">
        <v>0</v>
      </c>
      <c r="P32" s="69">
        <v>0</v>
      </c>
    </row>
    <row r="33" spans="1:16" x14ac:dyDescent="0.3">
      <c r="A33" s="56" t="s">
        <v>247</v>
      </c>
      <c r="B33" s="56" t="s">
        <v>18</v>
      </c>
      <c r="C33" s="56" t="s">
        <v>1063</v>
      </c>
      <c r="D33" s="56" t="s">
        <v>219</v>
      </c>
      <c r="E33" s="69">
        <f>IF(B33="","",VLOOKUP(B33,dagsoorttabel1,2,FALSE))</f>
        <v>0.2</v>
      </c>
      <c r="F33" s="69">
        <v>1</v>
      </c>
      <c r="G33" s="69">
        <f>IF(prodnorm44&gt;0,1/prodnorm44,0)</f>
        <v>0</v>
      </c>
      <c r="H33" s="71">
        <f>dagwerk44</f>
        <v>0</v>
      </c>
      <c r="I33" s="60">
        <f>uurtarief44</f>
        <v>0</v>
      </c>
      <c r="J33" s="69">
        <v>0</v>
      </c>
      <c r="K33" s="69">
        <v>0</v>
      </c>
      <c r="L33" s="69">
        <v>0</v>
      </c>
      <c r="M33" s="69">
        <v>54</v>
      </c>
      <c r="N33" s="69">
        <v>0</v>
      </c>
      <c r="O33" s="69">
        <v>0</v>
      </c>
      <c r="P33" s="69">
        <v>0</v>
      </c>
    </row>
    <row r="34" spans="1:16" x14ac:dyDescent="0.3">
      <c r="A34" s="56" t="s">
        <v>249</v>
      </c>
      <c r="B34" s="56" t="s">
        <v>21</v>
      </c>
      <c r="C34" s="56" t="s">
        <v>1063</v>
      </c>
      <c r="D34" s="56" t="s">
        <v>219</v>
      </c>
      <c r="E34" s="69">
        <f>IF(B34="","",VLOOKUP(B34,dagsoorttabel1,2,FALSE))</f>
        <v>0.05</v>
      </c>
      <c r="F34" s="69">
        <v>1</v>
      </c>
      <c r="G34" s="69">
        <f>IF(prodnorm45&gt;0,1/prodnorm45,0)</f>
        <v>0</v>
      </c>
      <c r="H34" s="71">
        <f>dagwerk45</f>
        <v>0</v>
      </c>
      <c r="I34" s="60">
        <f>uurtarief45</f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37.950000000000003</v>
      </c>
    </row>
    <row r="35" spans="1:16" x14ac:dyDescent="0.3">
      <c r="A35" s="56" t="s">
        <v>249</v>
      </c>
      <c r="B35" s="56" t="s">
        <v>11</v>
      </c>
      <c r="C35" s="56" t="s">
        <v>1063</v>
      </c>
      <c r="D35" s="56" t="s">
        <v>219</v>
      </c>
      <c r="E35" s="69">
        <f>IF(B35="","",VLOOKUP(B35,dagsoorttabel1,2,FALSE))</f>
        <v>1</v>
      </c>
      <c r="F35" s="69">
        <v>1</v>
      </c>
      <c r="G35" s="69">
        <f>IF(prodnorm46&gt;0,1/prodnorm46,0)</f>
        <v>0</v>
      </c>
      <c r="H35" s="71">
        <f>dagwerk46</f>
        <v>0</v>
      </c>
      <c r="I35" s="60">
        <f>uurtarief46</f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  <c r="O35" s="69">
        <v>0</v>
      </c>
      <c r="P35" s="69">
        <v>2.9</v>
      </c>
    </row>
    <row r="36" spans="1:16" x14ac:dyDescent="0.3">
      <c r="A36" s="56" t="s">
        <v>251</v>
      </c>
      <c r="B36" s="56" t="s">
        <v>13</v>
      </c>
      <c r="C36" s="56" t="s">
        <v>1063</v>
      </c>
      <c r="D36" s="56" t="s">
        <v>219</v>
      </c>
      <c r="E36" s="69">
        <f>IF(B36="","",VLOOKUP(B36,dagsoorttabel1,2,FALSE))</f>
        <v>0.63</v>
      </c>
      <c r="F36" s="69">
        <v>1</v>
      </c>
      <c r="G36" s="69">
        <f>IF(prodnorm47&gt;0,1/prodnorm47,0)</f>
        <v>0</v>
      </c>
      <c r="H36" s="71">
        <f>dagwerk47</f>
        <v>0</v>
      </c>
      <c r="I36" s="60">
        <f>uurtarief47</f>
        <v>0</v>
      </c>
      <c r="J36" s="69">
        <v>0</v>
      </c>
      <c r="K36" s="69">
        <v>0</v>
      </c>
      <c r="L36" s="69">
        <v>0</v>
      </c>
      <c r="M36" s="69">
        <v>0</v>
      </c>
      <c r="N36" s="69">
        <v>5</v>
      </c>
      <c r="O36" s="69">
        <v>0</v>
      </c>
      <c r="P36" s="69">
        <v>0</v>
      </c>
    </row>
    <row r="37" spans="1:16" x14ac:dyDescent="0.3">
      <c r="A37" s="56" t="s">
        <v>251</v>
      </c>
      <c r="B37" s="56" t="s">
        <v>11</v>
      </c>
      <c r="C37" s="56" t="s">
        <v>1063</v>
      </c>
      <c r="D37" s="56" t="s">
        <v>219</v>
      </c>
      <c r="E37" s="69">
        <f>IF(B37="","",VLOOKUP(B37,dagsoorttabel1,2,FALSE))</f>
        <v>1</v>
      </c>
      <c r="F37" s="69">
        <v>1</v>
      </c>
      <c r="G37" s="69">
        <f>IF(prodnorm48&gt;0,1/prodnorm48,0)</f>
        <v>0</v>
      </c>
      <c r="H37" s="71">
        <f>dagwerk48</f>
        <v>0</v>
      </c>
      <c r="I37" s="60">
        <f>uurtarief48</f>
        <v>0</v>
      </c>
      <c r="J37" s="69">
        <v>0</v>
      </c>
      <c r="K37" s="69">
        <v>20</v>
      </c>
      <c r="L37" s="69">
        <v>0</v>
      </c>
      <c r="M37" s="69">
        <v>0</v>
      </c>
      <c r="N37" s="69">
        <v>0</v>
      </c>
      <c r="O37" s="69">
        <v>26.5</v>
      </c>
      <c r="P37" s="69">
        <v>22.15</v>
      </c>
    </row>
    <row r="38" spans="1:16" x14ac:dyDescent="0.3">
      <c r="A38" s="56" t="s">
        <v>253</v>
      </c>
      <c r="B38" s="56" t="s">
        <v>11</v>
      </c>
      <c r="C38" s="56" t="s">
        <v>1063</v>
      </c>
      <c r="D38" s="56" t="s">
        <v>219</v>
      </c>
      <c r="E38" s="69">
        <f>IF(B38="","",VLOOKUP(B38,dagsoorttabel1,2,FALSE))</f>
        <v>1</v>
      </c>
      <c r="F38" s="69">
        <v>1</v>
      </c>
      <c r="G38" s="69">
        <f>IF(prodnorm49&gt;0,1/prodnorm49,0)</f>
        <v>0</v>
      </c>
      <c r="H38" s="71">
        <f>dagwerk49</f>
        <v>0</v>
      </c>
      <c r="I38" s="60">
        <f>uurtarief49</f>
        <v>0</v>
      </c>
      <c r="J38" s="69">
        <v>341.35</v>
      </c>
      <c r="K38" s="69">
        <v>133.6</v>
      </c>
      <c r="L38" s="69">
        <v>0</v>
      </c>
      <c r="M38" s="69">
        <v>0</v>
      </c>
      <c r="N38" s="69">
        <v>0</v>
      </c>
      <c r="O38" s="69">
        <v>480.4</v>
      </c>
      <c r="P38" s="69">
        <v>223</v>
      </c>
    </row>
    <row r="39" spans="1:16" x14ac:dyDescent="0.3">
      <c r="A39" s="56" t="s">
        <v>253</v>
      </c>
      <c r="B39" s="56" t="s">
        <v>18</v>
      </c>
      <c r="C39" s="56" t="s">
        <v>1063</v>
      </c>
      <c r="D39" s="56" t="s">
        <v>219</v>
      </c>
      <c r="E39" s="69">
        <f>IF(B39="","",VLOOKUP(B39,dagsoorttabel1,2,FALSE))</f>
        <v>0.2</v>
      </c>
      <c r="F39" s="69">
        <v>1</v>
      </c>
      <c r="G39" s="69">
        <f>IF(prodnorm50&gt;0,1/prodnorm50,0)</f>
        <v>0</v>
      </c>
      <c r="H39" s="71">
        <f>dagwerk50</f>
        <v>0</v>
      </c>
      <c r="I39" s="60">
        <f>uurtarief50</f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  <c r="O39" s="69">
        <v>1028.7</v>
      </c>
      <c r="P39" s="69">
        <v>0</v>
      </c>
    </row>
    <row r="40" spans="1:16" x14ac:dyDescent="0.3">
      <c r="A40" s="56" t="s">
        <v>255</v>
      </c>
      <c r="B40" s="56" t="s">
        <v>11</v>
      </c>
      <c r="C40" s="56" t="s">
        <v>1063</v>
      </c>
      <c r="D40" s="56" t="s">
        <v>219</v>
      </c>
      <c r="E40" s="69">
        <f>IF(B40="","",VLOOKUP(B40,dagsoorttabel1,2,FALSE))</f>
        <v>1</v>
      </c>
      <c r="F40" s="69">
        <v>1</v>
      </c>
      <c r="G40" s="69">
        <f>IF(prodnorm51&gt;0,1/prodnorm51,0)</f>
        <v>0</v>
      </c>
      <c r="H40" s="71">
        <f>dagwerk51</f>
        <v>0</v>
      </c>
      <c r="I40" s="60">
        <f>uurtarief51</f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598</v>
      </c>
    </row>
    <row r="41" spans="1:16" x14ac:dyDescent="0.3">
      <c r="A41" s="56" t="s">
        <v>257</v>
      </c>
      <c r="B41" s="56" t="s">
        <v>11</v>
      </c>
      <c r="C41" s="56" t="s">
        <v>1063</v>
      </c>
      <c r="D41" s="56" t="s">
        <v>219</v>
      </c>
      <c r="E41" s="69">
        <f>IF(B41="","",VLOOKUP(B41,dagsoorttabel1,2,FALSE))</f>
        <v>1</v>
      </c>
      <c r="F41" s="69">
        <v>1</v>
      </c>
      <c r="G41" s="69">
        <f>IF(prodnorm52&gt;0,1/prodnorm52,0)</f>
        <v>0</v>
      </c>
      <c r="H41" s="71">
        <f>dagwerk52</f>
        <v>0</v>
      </c>
      <c r="I41" s="60">
        <f>uurtarief52</f>
        <v>0</v>
      </c>
      <c r="J41" s="69">
        <v>130.30000000000001</v>
      </c>
      <c r="K41" s="69">
        <v>416</v>
      </c>
      <c r="L41" s="69">
        <v>63</v>
      </c>
      <c r="M41" s="69">
        <v>162</v>
      </c>
      <c r="N41" s="69">
        <v>0</v>
      </c>
      <c r="O41" s="69">
        <v>224.79999999999998</v>
      </c>
      <c r="P41" s="69">
        <v>176.5</v>
      </c>
    </row>
    <row r="42" spans="1:16" x14ac:dyDescent="0.3">
      <c r="A42" s="56" t="s">
        <v>257</v>
      </c>
      <c r="B42" s="56" t="s">
        <v>18</v>
      </c>
      <c r="C42" s="56" t="s">
        <v>1063</v>
      </c>
      <c r="D42" s="56" t="s">
        <v>219</v>
      </c>
      <c r="E42" s="69">
        <f>IF(B42="","",VLOOKUP(B42,dagsoorttabel1,2,FALSE))</f>
        <v>0.2</v>
      </c>
      <c r="F42" s="69">
        <v>1</v>
      </c>
      <c r="G42" s="69">
        <f>IF(prodnorm53&gt;0,1/prodnorm53,0)</f>
        <v>0</v>
      </c>
      <c r="H42" s="71">
        <f>dagwerk53</f>
        <v>0</v>
      </c>
      <c r="I42" s="60">
        <f>uurtarief53</f>
        <v>0</v>
      </c>
      <c r="J42" s="69">
        <v>0</v>
      </c>
      <c r="K42" s="69">
        <v>0</v>
      </c>
      <c r="L42" s="69">
        <v>0</v>
      </c>
      <c r="M42" s="69">
        <v>95</v>
      </c>
      <c r="N42" s="69">
        <v>0</v>
      </c>
      <c r="O42" s="69">
        <v>0</v>
      </c>
      <c r="P42" s="69">
        <v>0</v>
      </c>
    </row>
    <row r="43" spans="1:16" x14ac:dyDescent="0.3">
      <c r="A43" s="56" t="s">
        <v>259</v>
      </c>
      <c r="B43" s="56" t="s">
        <v>11</v>
      </c>
      <c r="C43" s="56" t="s">
        <v>1063</v>
      </c>
      <c r="D43" s="56" t="s">
        <v>219</v>
      </c>
      <c r="E43" s="69">
        <f>IF(B43="","",VLOOKUP(B43,dagsoorttabel1,2,FALSE))</f>
        <v>1</v>
      </c>
      <c r="F43" s="69">
        <v>1</v>
      </c>
      <c r="G43" s="69">
        <f>IF(prodnorm54&gt;0,1/prodnorm54,0)</f>
        <v>0</v>
      </c>
      <c r="H43" s="71">
        <f>dagwerk54</f>
        <v>0</v>
      </c>
      <c r="I43" s="60">
        <f>uurtarief54</f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  <c r="O43" s="69">
        <v>10</v>
      </c>
      <c r="P43" s="69">
        <v>0</v>
      </c>
    </row>
    <row r="44" spans="1:16" x14ac:dyDescent="0.3">
      <c r="A44" s="56" t="s">
        <v>261</v>
      </c>
      <c r="B44" s="56" t="s">
        <v>13</v>
      </c>
      <c r="C44" s="56" t="s">
        <v>1063</v>
      </c>
      <c r="D44" s="56" t="s">
        <v>219</v>
      </c>
      <c r="E44" s="69">
        <f>IF(B44="","",VLOOKUP(B44,dagsoorttabel1,2,FALSE))</f>
        <v>0.63</v>
      </c>
      <c r="F44" s="69">
        <v>1</v>
      </c>
      <c r="G44" s="69">
        <f>IF(prodnorm55&gt;0,1/prodnorm55,0)</f>
        <v>0</v>
      </c>
      <c r="H44" s="71">
        <f>dagwerk55</f>
        <v>0</v>
      </c>
      <c r="I44" s="60">
        <f>uurtarief55</f>
        <v>0</v>
      </c>
      <c r="J44" s="69">
        <v>0</v>
      </c>
      <c r="K44" s="69">
        <v>0</v>
      </c>
      <c r="L44" s="69">
        <v>0</v>
      </c>
      <c r="M44" s="69">
        <v>0</v>
      </c>
      <c r="N44" s="69">
        <v>13.5</v>
      </c>
      <c r="O44" s="69">
        <v>0</v>
      </c>
      <c r="P44" s="69">
        <v>0</v>
      </c>
    </row>
    <row r="45" spans="1:16" x14ac:dyDescent="0.3">
      <c r="A45" s="56" t="s">
        <v>261</v>
      </c>
      <c r="B45" s="56" t="s">
        <v>11</v>
      </c>
      <c r="C45" s="56" t="s">
        <v>1063</v>
      </c>
      <c r="D45" s="56" t="s">
        <v>219</v>
      </c>
      <c r="E45" s="69">
        <f>IF(B45="","",VLOOKUP(B45,dagsoorttabel1,2,FALSE))</f>
        <v>1</v>
      </c>
      <c r="F45" s="69">
        <v>1</v>
      </c>
      <c r="G45" s="69">
        <f>IF(prodnorm56&gt;0,1/prodnorm56,0)</f>
        <v>0</v>
      </c>
      <c r="H45" s="71">
        <f>dagwerk56</f>
        <v>0</v>
      </c>
      <c r="I45" s="60">
        <f>uurtarief56</f>
        <v>0</v>
      </c>
      <c r="J45" s="69">
        <v>124.3</v>
      </c>
      <c r="K45" s="69">
        <v>60</v>
      </c>
      <c r="L45" s="69">
        <v>34</v>
      </c>
      <c r="M45" s="69">
        <v>80</v>
      </c>
      <c r="N45" s="69">
        <v>0</v>
      </c>
      <c r="O45" s="69">
        <v>169.6</v>
      </c>
      <c r="P45" s="69">
        <v>54.199999999999996</v>
      </c>
    </row>
    <row r="46" spans="1:16" x14ac:dyDescent="0.3">
      <c r="A46" s="56" t="s">
        <v>261</v>
      </c>
      <c r="B46" s="56" t="s">
        <v>18</v>
      </c>
      <c r="C46" s="56" t="s">
        <v>1063</v>
      </c>
      <c r="D46" s="56" t="s">
        <v>219</v>
      </c>
      <c r="E46" s="69">
        <f>IF(B46="","",VLOOKUP(B46,dagsoorttabel1,2,FALSE))</f>
        <v>0.2</v>
      </c>
      <c r="F46" s="69">
        <v>1</v>
      </c>
      <c r="G46" s="69">
        <f>IF(prodnorm57&gt;0,1/prodnorm57,0)</f>
        <v>0</v>
      </c>
      <c r="H46" s="71">
        <f>dagwerk57</f>
        <v>0</v>
      </c>
      <c r="I46" s="60">
        <f>uurtarief57</f>
        <v>0</v>
      </c>
      <c r="J46" s="69">
        <v>0</v>
      </c>
      <c r="K46" s="69">
        <v>0</v>
      </c>
      <c r="L46" s="69">
        <v>0</v>
      </c>
      <c r="M46" s="69">
        <v>10</v>
      </c>
      <c r="N46" s="69">
        <v>0</v>
      </c>
      <c r="O46" s="69">
        <v>0</v>
      </c>
      <c r="P46" s="69">
        <v>0</v>
      </c>
    </row>
    <row r="47" spans="1:16" x14ac:dyDescent="0.3">
      <c r="A47" s="56" t="s">
        <v>263</v>
      </c>
      <c r="B47" s="56" t="s">
        <v>11</v>
      </c>
      <c r="C47" s="56" t="s">
        <v>1063</v>
      </c>
      <c r="D47" s="56" t="s">
        <v>219</v>
      </c>
      <c r="E47" s="69">
        <f>IF(B47="","",VLOOKUP(B47,dagsoorttabel1,2,FALSE))</f>
        <v>1</v>
      </c>
      <c r="F47" s="69">
        <v>1</v>
      </c>
      <c r="G47" s="69">
        <f>IF(prodnorm58&gt;0,1/prodnorm58,0)</f>
        <v>0</v>
      </c>
      <c r="H47" s="71">
        <f>dagwerk58</f>
        <v>0</v>
      </c>
      <c r="I47" s="60">
        <f>uurtarief58</f>
        <v>0</v>
      </c>
      <c r="J47" s="69">
        <v>124.3</v>
      </c>
      <c r="K47" s="69">
        <v>0</v>
      </c>
      <c r="L47" s="69">
        <v>0</v>
      </c>
      <c r="M47" s="69">
        <v>0</v>
      </c>
      <c r="N47" s="69">
        <v>0</v>
      </c>
      <c r="O47" s="69">
        <v>10.600000000000001</v>
      </c>
      <c r="P47" s="69">
        <v>0</v>
      </c>
    </row>
    <row r="48" spans="1:16" x14ac:dyDescent="0.3">
      <c r="A48" s="56" t="s">
        <v>263</v>
      </c>
      <c r="B48" s="56" t="s">
        <v>9</v>
      </c>
      <c r="C48" s="56" t="s">
        <v>1063</v>
      </c>
      <c r="D48" s="56" t="s">
        <v>219</v>
      </c>
      <c r="E48" s="69">
        <f>IF(B48="","",VLOOKUP(B48,dagsoorttabel1,2,FALSE))</f>
        <v>2</v>
      </c>
      <c r="F48" s="69">
        <v>1</v>
      </c>
      <c r="G48" s="69">
        <f>IF(prodnorm59&gt;0,1/prodnorm59,0)</f>
        <v>0</v>
      </c>
      <c r="H48" s="71">
        <f>dagwerk59</f>
        <v>0</v>
      </c>
      <c r="I48" s="60">
        <f>uurtarief59</f>
        <v>0</v>
      </c>
      <c r="J48" s="69">
        <v>0</v>
      </c>
      <c r="K48" s="69">
        <v>0</v>
      </c>
      <c r="L48" s="69">
        <v>0</v>
      </c>
      <c r="M48" s="69">
        <v>0</v>
      </c>
      <c r="N48" s="69">
        <v>0</v>
      </c>
      <c r="O48" s="69">
        <v>101</v>
      </c>
      <c r="P48" s="69">
        <v>0</v>
      </c>
    </row>
    <row r="49" spans="1:16" x14ac:dyDescent="0.3">
      <c r="A49" s="56" t="s">
        <v>265</v>
      </c>
      <c r="B49" s="56" t="s">
        <v>13</v>
      </c>
      <c r="C49" s="56" t="s">
        <v>1063</v>
      </c>
      <c r="D49" s="56" t="s">
        <v>219</v>
      </c>
      <c r="E49" s="69">
        <f>IF(B49="","",VLOOKUP(B49,dagsoorttabel1,2,FALSE))</f>
        <v>0.63</v>
      </c>
      <c r="F49" s="69">
        <v>1</v>
      </c>
      <c r="G49" s="69">
        <f>IF(prodnorm60&gt;0,1/prodnorm60,0)</f>
        <v>0</v>
      </c>
      <c r="H49" s="71">
        <f>dagwerk60</f>
        <v>0</v>
      </c>
      <c r="I49" s="60">
        <f>uurtarief60</f>
        <v>0</v>
      </c>
      <c r="J49" s="69">
        <v>0</v>
      </c>
      <c r="K49" s="69">
        <v>0</v>
      </c>
      <c r="L49" s="69">
        <v>0</v>
      </c>
      <c r="M49" s="69">
        <v>0</v>
      </c>
      <c r="N49" s="69">
        <v>16</v>
      </c>
      <c r="O49" s="69">
        <v>0</v>
      </c>
      <c r="P49" s="69">
        <v>0</v>
      </c>
    </row>
    <row r="50" spans="1:16" x14ac:dyDescent="0.3">
      <c r="A50" s="56" t="s">
        <v>265</v>
      </c>
      <c r="B50" s="56" t="s">
        <v>11</v>
      </c>
      <c r="C50" s="56" t="s">
        <v>1063</v>
      </c>
      <c r="D50" s="56" t="s">
        <v>219</v>
      </c>
      <c r="E50" s="69">
        <f>IF(B50="","",VLOOKUP(B50,dagsoorttabel1,2,FALSE))</f>
        <v>1</v>
      </c>
      <c r="F50" s="69">
        <v>1</v>
      </c>
      <c r="G50" s="69">
        <f>IF(prodnorm61&gt;0,1/prodnorm61,0)</f>
        <v>0</v>
      </c>
      <c r="H50" s="71">
        <f>dagwerk61</f>
        <v>0</v>
      </c>
      <c r="I50" s="60">
        <f>uurtarief61</f>
        <v>0</v>
      </c>
      <c r="J50" s="69">
        <v>83.6</v>
      </c>
      <c r="K50" s="69">
        <v>113</v>
      </c>
      <c r="L50" s="69">
        <v>25</v>
      </c>
      <c r="M50" s="69">
        <v>0</v>
      </c>
      <c r="N50" s="69">
        <v>0</v>
      </c>
      <c r="O50" s="69">
        <v>224.75</v>
      </c>
      <c r="P50" s="69">
        <v>62.199999999999996</v>
      </c>
    </row>
    <row r="51" spans="1:16" x14ac:dyDescent="0.3">
      <c r="A51" s="56" t="s">
        <v>267</v>
      </c>
      <c r="B51" s="56" t="s">
        <v>13</v>
      </c>
      <c r="C51" s="56" t="s">
        <v>1063</v>
      </c>
      <c r="D51" s="56" t="s">
        <v>219</v>
      </c>
      <c r="E51" s="69">
        <f>IF(B51="","",VLOOKUP(B51,dagsoorttabel1,2,FALSE))</f>
        <v>0.63</v>
      </c>
      <c r="F51" s="69">
        <v>1</v>
      </c>
      <c r="G51" s="69">
        <f>IF(prodnorm62&gt;0,1/prodnorm62,0)</f>
        <v>0</v>
      </c>
      <c r="H51" s="71">
        <f>dagwerk62</f>
        <v>0</v>
      </c>
      <c r="I51" s="60">
        <f>uurtarief62</f>
        <v>0</v>
      </c>
      <c r="J51" s="69">
        <v>0</v>
      </c>
      <c r="K51" s="69">
        <v>0</v>
      </c>
      <c r="L51" s="69">
        <v>0</v>
      </c>
      <c r="M51" s="69">
        <v>0</v>
      </c>
      <c r="N51" s="69">
        <v>145</v>
      </c>
      <c r="O51" s="69">
        <v>0</v>
      </c>
      <c r="P51" s="69">
        <v>0</v>
      </c>
    </row>
    <row r="52" spans="1:16" x14ac:dyDescent="0.3">
      <c r="A52" s="56" t="s">
        <v>267</v>
      </c>
      <c r="B52" s="56" t="s">
        <v>11</v>
      </c>
      <c r="C52" s="56" t="s">
        <v>1063</v>
      </c>
      <c r="D52" s="56" t="s">
        <v>219</v>
      </c>
      <c r="E52" s="69">
        <f>IF(B52="","",VLOOKUP(B52,dagsoorttabel1,2,FALSE))</f>
        <v>1</v>
      </c>
      <c r="F52" s="69">
        <v>1</v>
      </c>
      <c r="G52" s="69">
        <f>IF(prodnorm63&gt;0,1/prodnorm63,0)</f>
        <v>0</v>
      </c>
      <c r="H52" s="71">
        <f>dagwerk63</f>
        <v>0</v>
      </c>
      <c r="I52" s="60">
        <f>uurtarief63</f>
        <v>0</v>
      </c>
      <c r="J52" s="69">
        <v>1545.8999999999999</v>
      </c>
      <c r="K52" s="69">
        <v>354.82000000000005</v>
      </c>
      <c r="L52" s="69">
        <v>378</v>
      </c>
      <c r="M52" s="69">
        <v>713</v>
      </c>
      <c r="N52" s="69">
        <v>0</v>
      </c>
      <c r="O52" s="69">
        <v>1757.7</v>
      </c>
      <c r="P52" s="69">
        <v>386.6</v>
      </c>
    </row>
    <row r="53" spans="1:16" x14ac:dyDescent="0.3">
      <c r="A53" s="56" t="s">
        <v>269</v>
      </c>
      <c r="B53" s="56" t="s">
        <v>11</v>
      </c>
      <c r="C53" s="56" t="s">
        <v>1063</v>
      </c>
      <c r="D53" s="56" t="s">
        <v>219</v>
      </c>
      <c r="E53" s="69">
        <f>IF(B53="","",VLOOKUP(B53,dagsoorttabel1,2,FALSE))</f>
        <v>1</v>
      </c>
      <c r="F53" s="69">
        <v>1</v>
      </c>
      <c r="G53" s="69">
        <f>IF(prodnorm64&gt;0,1/prodnorm64,0)</f>
        <v>0</v>
      </c>
      <c r="H53" s="71">
        <f>dagwerk64</f>
        <v>0</v>
      </c>
      <c r="I53" s="60">
        <f>uurtarief64</f>
        <v>0</v>
      </c>
      <c r="J53" s="69">
        <v>28</v>
      </c>
      <c r="K53" s="69">
        <v>0</v>
      </c>
      <c r="L53" s="69">
        <v>0</v>
      </c>
      <c r="M53" s="69">
        <v>0</v>
      </c>
      <c r="N53" s="69">
        <v>0</v>
      </c>
      <c r="O53" s="69">
        <v>10</v>
      </c>
      <c r="P53" s="69">
        <v>0</v>
      </c>
    </row>
    <row r="54" spans="1:16" x14ac:dyDescent="0.3">
      <c r="A54" s="61" t="s">
        <v>271</v>
      </c>
      <c r="B54" s="61" t="s">
        <v>18</v>
      </c>
      <c r="C54" s="61" t="s">
        <v>1063</v>
      </c>
      <c r="D54" s="61" t="s">
        <v>272</v>
      </c>
      <c r="E54" s="72">
        <f>IF(B54="","",VLOOKUP(B54,dagsoorttabel1,2,FALSE))</f>
        <v>0.2</v>
      </c>
      <c r="F54" s="72">
        <v>1</v>
      </c>
      <c r="G54" s="72">
        <f>prodnorm15/60</f>
        <v>0</v>
      </c>
      <c r="H54" s="109">
        <f>dagwerk15</f>
        <v>0</v>
      </c>
      <c r="I54" s="65">
        <f>uurtarief15</f>
        <v>0</v>
      </c>
      <c r="J54" s="72">
        <v>0</v>
      </c>
      <c r="K54" s="72">
        <v>0</v>
      </c>
      <c r="L54" s="72">
        <v>0</v>
      </c>
      <c r="M54" s="72">
        <v>1</v>
      </c>
      <c r="N54" s="72">
        <v>0</v>
      </c>
      <c r="O54" s="72">
        <v>0</v>
      </c>
      <c r="P54" s="72">
        <v>0</v>
      </c>
    </row>
    <row r="55" spans="1:16" x14ac:dyDescent="0.3">
      <c r="A55" s="75" t="s">
        <v>275</v>
      </c>
      <c r="B55" s="76"/>
      <c r="C55" s="76"/>
      <c r="D55" s="76"/>
      <c r="E55" s="76"/>
      <c r="F55" s="76"/>
      <c r="G55" s="76"/>
      <c r="H55" s="76"/>
      <c r="I55" s="76"/>
      <c r="J55" s="110"/>
      <c r="K55" s="110"/>
      <c r="L55" s="110"/>
      <c r="M55" s="110"/>
      <c r="N55" s="110"/>
      <c r="O55" s="110"/>
      <c r="P55" s="110"/>
    </row>
  </sheetData>
  <sheetProtection algorithmName="SHA-512" hashValue="AS+gcYgU0zr1Z5JgiuOdmSWI7HkEtjPPW5S4yDQSfRUkQ/3yFL1P8bClXkXveWOxmhvXPZ4ibJnTUpSKIHfxxg==" saltValue="zWgyuBNxSODK62tnQ3SJuA==" spinCount="100000" sheet="1" objects="1" scenarios="1" autoFilter="0"/>
  <pageMargins left="0.7" right="0.7" top="0.75" bottom="0.75" header="0.3" footer="0.3"/>
  <pageSetup paperSize="9" scale="70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2967-FFFE-4504-B0B8-F037F932107A}">
  <dimension ref="A1:R18"/>
  <sheetViews>
    <sheetView workbookViewId="0"/>
  </sheetViews>
  <sheetFormatPr defaultRowHeight="14.4" x14ac:dyDescent="0.3"/>
  <cols>
    <col min="1" max="1" width="8.77734375" customWidth="1"/>
    <col min="2" max="2" width="28.77734375" customWidth="1"/>
    <col min="3" max="4" width="15.77734375" customWidth="1"/>
    <col min="5" max="5" width="6.33203125" customWidth="1"/>
    <col min="6" max="6" width="10.77734375" customWidth="1"/>
    <col min="7" max="14" width="12.33203125" customWidth="1"/>
    <col min="15" max="16" width="12.77734375" customWidth="1"/>
    <col min="17" max="17" width="14.77734375" customWidth="1"/>
    <col min="18" max="18" width="13.77734375" customWidth="1"/>
  </cols>
  <sheetData>
    <row r="1" spans="1:18" x14ac:dyDescent="0.3">
      <c r="A1" s="1" t="str">
        <f>CONCATENATE("Bijlage F.4: ",tabeltype," objecten")</f>
        <v>Bijlage F.4: Invultabel objecten</v>
      </c>
    </row>
    <row r="3" spans="1:18" ht="57.6" x14ac:dyDescent="0.3">
      <c r="A3" s="44" t="s">
        <v>278</v>
      </c>
      <c r="B3" s="44" t="s">
        <v>1064</v>
      </c>
      <c r="C3" s="44" t="s">
        <v>1065</v>
      </c>
      <c r="D3" s="44" t="s">
        <v>1066</v>
      </c>
      <c r="E3" s="44" t="s">
        <v>7</v>
      </c>
      <c r="F3" s="44" t="s">
        <v>1067</v>
      </c>
      <c r="G3" s="44" t="s">
        <v>1068</v>
      </c>
      <c r="H3" s="44" t="s">
        <v>1069</v>
      </c>
      <c r="I3" s="44" t="s">
        <v>1070</v>
      </c>
      <c r="J3" s="44" t="s">
        <v>1071</v>
      </c>
      <c r="K3" s="44" t="s">
        <v>1072</v>
      </c>
      <c r="L3" s="44" t="s">
        <v>1073</v>
      </c>
      <c r="M3" s="44" t="s">
        <v>1074</v>
      </c>
      <c r="N3" s="44" t="s">
        <v>1075</v>
      </c>
      <c r="O3" s="44" t="s">
        <v>1076</v>
      </c>
      <c r="P3" s="44" t="s">
        <v>216</v>
      </c>
      <c r="Q3" s="44" t="s">
        <v>217</v>
      </c>
      <c r="R3" s="44" t="s">
        <v>1077</v>
      </c>
    </row>
    <row r="4" spans="1:18" x14ac:dyDescent="0.3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</row>
    <row r="5" spans="1:18" x14ac:dyDescent="0.3">
      <c r="A5" s="48" t="s">
        <v>102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</row>
    <row r="6" spans="1:18" x14ac:dyDescent="0.3">
      <c r="A6" s="51" t="s">
        <v>288</v>
      </c>
      <c r="B6" s="51" t="s">
        <v>1078</v>
      </c>
      <c r="C6" s="51" t="s">
        <v>1079</v>
      </c>
      <c r="D6" s="51" t="s">
        <v>1080</v>
      </c>
      <c r="E6" s="111" t="s">
        <v>11</v>
      </c>
      <c r="F6" s="112">
        <f>gemuurtarief1</f>
        <v>0</v>
      </c>
      <c r="G6" s="66">
        <f>SUMPRODUCT(taakfreqtabel1,uurfactortabel1,kengetaltabel1,object1_opptabel1)*(1/VLOOKUP(E6,dagsoorttabel1,2,FALSE))</f>
        <v>0</v>
      </c>
      <c r="H6" s="66">
        <f>SUMPRODUCT(dagwerktabel1,taakfreqtabel1,uurfactortabel1,kengetaltabel1,object1_opptabel1)*(1/VLOOKUP(E6,dagsoorttabel1,2,FALSE))</f>
        <v>0</v>
      </c>
      <c r="I6" s="53"/>
      <c r="J6" s="66">
        <f>H6+I6</f>
        <v>0</v>
      </c>
      <c r="K6" s="66">
        <f>G6+I6</f>
        <v>0</v>
      </c>
      <c r="L6" s="55">
        <f>SUMPRODUCT(taakfreqtabel1,kengetaltabel1,tarieftabel1,object1_opptabel1)*(1/VLOOKUP(E6,dagsoorttabel1,2,FALSE))</f>
        <v>0</v>
      </c>
      <c r="M6" s="55">
        <f>F6*I6</f>
        <v>0</v>
      </c>
      <c r="N6" s="55">
        <f>SUM(L6:M6)</f>
        <v>0</v>
      </c>
      <c r="O6" s="66">
        <f>J6*dagenperjaar1*VLOOKUP(E6,dagsoorttabel1,2,FALSE)</f>
        <v>0</v>
      </c>
      <c r="P6" s="66">
        <f>K6*dagenperjaar1*VLOOKUP(E6,dagsoorttabel1,2,FALSE)</f>
        <v>0</v>
      </c>
      <c r="Q6" s="55">
        <f>N6*dagenperjaar1*VLOOKUP(E6,dagsoorttabel1,2,FALSE)</f>
        <v>0</v>
      </c>
      <c r="R6" s="55">
        <f>Q6/12</f>
        <v>0</v>
      </c>
    </row>
    <row r="7" spans="1:18" x14ac:dyDescent="0.3">
      <c r="A7" s="56" t="s">
        <v>512</v>
      </c>
      <c r="B7" s="56" t="s">
        <v>1081</v>
      </c>
      <c r="C7" s="56" t="s">
        <v>1082</v>
      </c>
      <c r="D7" s="56" t="s">
        <v>1083</v>
      </c>
      <c r="E7" s="113" t="s">
        <v>11</v>
      </c>
      <c r="F7" s="114">
        <f>gemuurtarief1</f>
        <v>0</v>
      </c>
      <c r="G7" s="69">
        <f>SUMPRODUCT(taakfreqtabel1,uurfactortabel1,kengetaltabel1,object2_opptabel1)*(1/VLOOKUP(E7,dagsoorttabel1,2,FALSE))</f>
        <v>0</v>
      </c>
      <c r="H7" s="69">
        <f>SUMPRODUCT(dagwerktabel1,taakfreqtabel1,uurfactortabel1,kengetaltabel1,object2_opptabel1)*(1/VLOOKUP(E7,dagsoorttabel1,2,FALSE))</f>
        <v>0</v>
      </c>
      <c r="I7" s="58"/>
      <c r="J7" s="69">
        <f>H7+I7</f>
        <v>0</v>
      </c>
      <c r="K7" s="69">
        <f>G7+I7</f>
        <v>0</v>
      </c>
      <c r="L7" s="60">
        <f>SUMPRODUCT(taakfreqtabel1,kengetaltabel1,tarieftabel1,object2_opptabel1)*(1/VLOOKUP(E7,dagsoorttabel1,2,FALSE))</f>
        <v>0</v>
      </c>
      <c r="M7" s="60">
        <f>F7*I7</f>
        <v>0</v>
      </c>
      <c r="N7" s="60">
        <f>SUM(L7:M7)</f>
        <v>0</v>
      </c>
      <c r="O7" s="69">
        <f>J7*dagenperjaar1*VLOOKUP(E7,dagsoorttabel1,2,FALSE)</f>
        <v>0</v>
      </c>
      <c r="P7" s="69">
        <f>K7*dagenperjaar1*VLOOKUP(E7,dagsoorttabel1,2,FALSE)</f>
        <v>0</v>
      </c>
      <c r="Q7" s="60">
        <f>N7*dagenperjaar1*VLOOKUP(E7,dagsoorttabel1,2,FALSE)</f>
        <v>0</v>
      </c>
      <c r="R7" s="60">
        <f>Q7/12</f>
        <v>0</v>
      </c>
    </row>
    <row r="8" spans="1:18" x14ac:dyDescent="0.3">
      <c r="A8" s="56" t="s">
        <v>603</v>
      </c>
      <c r="B8" s="56" t="s">
        <v>1084</v>
      </c>
      <c r="C8" s="56" t="s">
        <v>1085</v>
      </c>
      <c r="D8" s="56" t="s">
        <v>1080</v>
      </c>
      <c r="E8" s="113" t="s">
        <v>11</v>
      </c>
      <c r="F8" s="114">
        <f>gemuurtarief1</f>
        <v>0</v>
      </c>
      <c r="G8" s="69">
        <f>SUMPRODUCT(taakfreqtabel1,uurfactortabel1,kengetaltabel1,object3_opptabel1)*(1/VLOOKUP(E8,dagsoorttabel1,2,FALSE))</f>
        <v>0</v>
      </c>
      <c r="H8" s="69">
        <f>SUMPRODUCT(dagwerktabel1,taakfreqtabel1,uurfactortabel1,kengetaltabel1,object3_opptabel1)*(1/VLOOKUP(E8,dagsoorttabel1,2,FALSE))</f>
        <v>0</v>
      </c>
      <c r="I8" s="58"/>
      <c r="J8" s="69">
        <f>H8+I8</f>
        <v>0</v>
      </c>
      <c r="K8" s="69">
        <f>G8+I8</f>
        <v>0</v>
      </c>
      <c r="L8" s="60">
        <f>SUMPRODUCT(taakfreqtabel1,kengetaltabel1,tarieftabel1,object3_opptabel1)*(1/VLOOKUP(E8,dagsoorttabel1,2,FALSE))</f>
        <v>0</v>
      </c>
      <c r="M8" s="60">
        <f>F8*I8</f>
        <v>0</v>
      </c>
      <c r="N8" s="60">
        <f>SUM(L8:M8)</f>
        <v>0</v>
      </c>
      <c r="O8" s="69">
        <f>J8*dagenperjaar1*VLOOKUP(E8,dagsoorttabel1,2,FALSE)</f>
        <v>0</v>
      </c>
      <c r="P8" s="69">
        <f>K8*dagenperjaar1*VLOOKUP(E8,dagsoorttabel1,2,FALSE)</f>
        <v>0</v>
      </c>
      <c r="Q8" s="60">
        <f>N8*dagenperjaar1*VLOOKUP(E8,dagsoorttabel1,2,FALSE)</f>
        <v>0</v>
      </c>
      <c r="R8" s="60">
        <f>Q8/12</f>
        <v>0</v>
      </c>
    </row>
    <row r="9" spans="1:18" x14ac:dyDescent="0.3">
      <c r="A9" s="56" t="s">
        <v>630</v>
      </c>
      <c r="B9" s="56" t="s">
        <v>1086</v>
      </c>
      <c r="C9" s="56" t="s">
        <v>1087</v>
      </c>
      <c r="D9" s="56" t="s">
        <v>1080</v>
      </c>
      <c r="E9" s="113" t="s">
        <v>11</v>
      </c>
      <c r="F9" s="114">
        <f>gemuurtarief1</f>
        <v>0</v>
      </c>
      <c r="G9" s="69">
        <f>SUMPRODUCT(taakfreqtabel1,uurfactortabel1,kengetaltabel1,object4_opptabel1)*(1/VLOOKUP(E9,dagsoorttabel1,2,FALSE))</f>
        <v>0</v>
      </c>
      <c r="H9" s="69">
        <f>SUMPRODUCT(dagwerktabel1,taakfreqtabel1,uurfactortabel1,kengetaltabel1,object4_opptabel1)*(1/VLOOKUP(E9,dagsoorttabel1,2,FALSE))</f>
        <v>0</v>
      </c>
      <c r="I9" s="58"/>
      <c r="J9" s="69">
        <f>H9+I9</f>
        <v>0</v>
      </c>
      <c r="K9" s="69">
        <f>G9+I9</f>
        <v>0</v>
      </c>
      <c r="L9" s="60">
        <f>SUMPRODUCT(taakfreqtabel1,kengetaltabel1,tarieftabel1,object4_opptabel1)*(1/VLOOKUP(E9,dagsoorttabel1,2,FALSE))</f>
        <v>0</v>
      </c>
      <c r="M9" s="60">
        <f>F9*I9</f>
        <v>0</v>
      </c>
      <c r="N9" s="60">
        <f>SUM(L9:M9)</f>
        <v>0</v>
      </c>
      <c r="O9" s="69">
        <f>J9*dagenperjaar1*VLOOKUP(E9,dagsoorttabel1,2,FALSE)</f>
        <v>0</v>
      </c>
      <c r="P9" s="69">
        <f>K9*dagenperjaar1*VLOOKUP(E9,dagsoorttabel1,2,FALSE)</f>
        <v>0</v>
      </c>
      <c r="Q9" s="60">
        <f>N9*dagenperjaar1*VLOOKUP(E9,dagsoorttabel1,2,FALSE)</f>
        <v>0</v>
      </c>
      <c r="R9" s="60">
        <f>Q9/12</f>
        <v>0</v>
      </c>
    </row>
    <row r="10" spans="1:18" x14ac:dyDescent="0.3">
      <c r="A10" s="56" t="s">
        <v>736</v>
      </c>
      <c r="B10" s="56" t="s">
        <v>1088</v>
      </c>
      <c r="C10" s="56" t="s">
        <v>1085</v>
      </c>
      <c r="D10" s="56" t="s">
        <v>1080</v>
      </c>
      <c r="E10" s="113" t="s">
        <v>13</v>
      </c>
      <c r="F10" s="114">
        <f>gemuurtarief1</f>
        <v>0</v>
      </c>
      <c r="G10" s="69">
        <f>SUMPRODUCT(taakfreqtabel1,uurfactortabel1,kengetaltabel1,object5_opptabel1)*(1/VLOOKUP(E10,dagsoorttabel1,2,FALSE))</f>
        <v>0</v>
      </c>
      <c r="H10" s="69">
        <f>SUMPRODUCT(dagwerktabel1,taakfreqtabel1,uurfactortabel1,kengetaltabel1,object5_opptabel1)*(1/VLOOKUP(E10,dagsoorttabel1,2,FALSE))</f>
        <v>0</v>
      </c>
      <c r="I10" s="58"/>
      <c r="J10" s="69">
        <f>H10+I10</f>
        <v>0</v>
      </c>
      <c r="K10" s="69">
        <f>G10+I10</f>
        <v>0</v>
      </c>
      <c r="L10" s="60">
        <f>SUMPRODUCT(taakfreqtabel1,kengetaltabel1,tarieftabel1,object5_opptabel1)*(1/VLOOKUP(E10,dagsoorttabel1,2,FALSE))</f>
        <v>0</v>
      </c>
      <c r="M10" s="60">
        <f>F10*I10</f>
        <v>0</v>
      </c>
      <c r="N10" s="60">
        <f>SUM(L10:M10)</f>
        <v>0</v>
      </c>
      <c r="O10" s="69">
        <f>J10*dagenperjaar1*VLOOKUP(E10,dagsoorttabel1,2,FALSE)</f>
        <v>0</v>
      </c>
      <c r="P10" s="69">
        <f>K10*dagenperjaar1*VLOOKUP(E10,dagsoorttabel1,2,FALSE)</f>
        <v>0</v>
      </c>
      <c r="Q10" s="60">
        <f>N10*dagenperjaar1*VLOOKUP(E10,dagsoorttabel1,2,FALSE)</f>
        <v>0</v>
      </c>
      <c r="R10" s="60">
        <f>Q10/12</f>
        <v>0</v>
      </c>
    </row>
    <row r="11" spans="1:18" x14ac:dyDescent="0.3">
      <c r="A11" s="56" t="s">
        <v>753</v>
      </c>
      <c r="B11" s="56" t="s">
        <v>1089</v>
      </c>
      <c r="C11" s="56" t="s">
        <v>1090</v>
      </c>
      <c r="D11" s="56" t="s">
        <v>1091</v>
      </c>
      <c r="E11" s="113" t="s">
        <v>10</v>
      </c>
      <c r="F11" s="114">
        <f>gemuurtarief1</f>
        <v>0</v>
      </c>
      <c r="G11" s="69">
        <f>SUMPRODUCT(taakfreqtabel1,uurfactortabel1,kengetaltabel1,object6_opptabel1)*(1/VLOOKUP(E11,dagsoorttabel1,2,FALSE))</f>
        <v>0</v>
      </c>
      <c r="H11" s="69">
        <f>SUMPRODUCT(dagwerktabel1,taakfreqtabel1,uurfactortabel1,kengetaltabel1,object6_opptabel1)*(1/VLOOKUP(E11,dagsoorttabel1,2,FALSE))</f>
        <v>0</v>
      </c>
      <c r="I11" s="58"/>
      <c r="J11" s="69">
        <f>H11+I11</f>
        <v>0</v>
      </c>
      <c r="K11" s="69">
        <f>G11+I11</f>
        <v>0</v>
      </c>
      <c r="L11" s="60">
        <f>SUMPRODUCT(taakfreqtabel1,kengetaltabel1,tarieftabel1,object6_opptabel1)*(1/VLOOKUP(E11,dagsoorttabel1,2,FALSE))</f>
        <v>0</v>
      </c>
      <c r="M11" s="60">
        <f>F11*I11</f>
        <v>0</v>
      </c>
      <c r="N11" s="60">
        <f>SUM(L11:M11)</f>
        <v>0</v>
      </c>
      <c r="O11" s="69">
        <f>J11*dagenperjaar1*VLOOKUP(E11,dagsoorttabel1,2,FALSE)</f>
        <v>0</v>
      </c>
      <c r="P11" s="69">
        <f>K11*dagenperjaar1*VLOOKUP(E11,dagsoorttabel1,2,FALSE)</f>
        <v>0</v>
      </c>
      <c r="Q11" s="60">
        <f>N11*dagenperjaar1*VLOOKUP(E11,dagsoorttabel1,2,FALSE)</f>
        <v>0</v>
      </c>
      <c r="R11" s="60">
        <f>Q11/12</f>
        <v>0</v>
      </c>
    </row>
    <row r="12" spans="1:18" x14ac:dyDescent="0.3">
      <c r="A12" s="61" t="s">
        <v>986</v>
      </c>
      <c r="B12" s="61" t="s">
        <v>1092</v>
      </c>
      <c r="C12" s="61" t="s">
        <v>1093</v>
      </c>
      <c r="D12" s="61" t="s">
        <v>1080</v>
      </c>
      <c r="E12" s="115" t="s">
        <v>11</v>
      </c>
      <c r="F12" s="116">
        <f>gemuurtarief1</f>
        <v>0</v>
      </c>
      <c r="G12" s="72">
        <f>SUMPRODUCT(taakfreqtabel1,uurfactortabel1,kengetaltabel1,object7_opptabel1)*(1/VLOOKUP(E12,dagsoorttabel1,2,FALSE))</f>
        <v>0</v>
      </c>
      <c r="H12" s="72">
        <f>SUMPRODUCT(dagwerktabel1,taakfreqtabel1,uurfactortabel1,kengetaltabel1,object7_opptabel1)*(1/VLOOKUP(E12,dagsoorttabel1,2,FALSE))</f>
        <v>0</v>
      </c>
      <c r="I12" s="63"/>
      <c r="J12" s="72">
        <f>H12+I12</f>
        <v>0</v>
      </c>
      <c r="K12" s="72">
        <f>G12+I12</f>
        <v>0</v>
      </c>
      <c r="L12" s="65">
        <f>SUMPRODUCT(taakfreqtabel1,kengetaltabel1,tarieftabel1,object7_opptabel1)*(1/VLOOKUP(E12,dagsoorttabel1,2,FALSE))</f>
        <v>0</v>
      </c>
      <c r="M12" s="65">
        <f>F12*I12</f>
        <v>0</v>
      </c>
      <c r="N12" s="65">
        <f>SUM(L12:M12)</f>
        <v>0</v>
      </c>
      <c r="O12" s="72">
        <f>J12*dagenperjaar1*VLOOKUP(E12,dagsoorttabel1,2,FALSE)</f>
        <v>0</v>
      </c>
      <c r="P12" s="72">
        <f>K12*dagenperjaar1*VLOOKUP(E12,dagsoorttabel1,2,FALSE)</f>
        <v>0</v>
      </c>
      <c r="Q12" s="65">
        <f>N12*dagenperjaar1*VLOOKUP(E12,dagsoorttabel1,2,FALSE)</f>
        <v>0</v>
      </c>
      <c r="R12" s="65">
        <f>Q12/12</f>
        <v>0</v>
      </c>
    </row>
    <row r="13" spans="1:18" x14ac:dyDescent="0.3">
      <c r="A13" s="75" t="s">
        <v>275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>
        <f>SUM(O6:O12)</f>
        <v>0</v>
      </c>
      <c r="P13" s="77">
        <f>SUM(P6:P12)</f>
        <v>0</v>
      </c>
      <c r="Q13" s="78">
        <f>SUM(Q6:Q12)</f>
        <v>0</v>
      </c>
      <c r="R13" s="79">
        <f>SUM(R6:R12)</f>
        <v>0</v>
      </c>
    </row>
    <row r="14" spans="1:18" x14ac:dyDescent="0.3">
      <c r="A14" s="80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81"/>
    </row>
    <row r="16" spans="1:18" x14ac:dyDescent="0.3">
      <c r="A16" s="75" t="s">
        <v>1094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>
        <f>urenjaartotaalhf1</f>
        <v>0</v>
      </c>
      <c r="P16" s="77">
        <f>urenjaartotaal1</f>
        <v>0</v>
      </c>
      <c r="Q16" s="78">
        <f>prijsjaartotaal1</f>
        <v>0</v>
      </c>
      <c r="R16" s="78">
        <f>prijsmaandtotaal1</f>
        <v>0</v>
      </c>
    </row>
    <row r="18" spans="1:18" x14ac:dyDescent="0.3">
      <c r="A18" s="75" t="s">
        <v>1095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8">
        <f>Q16*1.21</f>
        <v>0</v>
      </c>
      <c r="R18" s="78">
        <f>R16*1.21</f>
        <v>0</v>
      </c>
    </row>
  </sheetData>
  <sheetProtection algorithmName="SHA-512" hashValue="4DMolh4o4eebXw1W2ne+wfDE6SL+Xg3kDRRugqUb45idFnqVJi43Huqa4IVNjVgMJ1uHBW6jAJVUQFm/BRdCtQ==" saltValue="OrSuWzmFZoEQRHkbks485g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7F34-18C8-43F8-BEFC-C9818999106E}">
  <dimension ref="A1:I12"/>
  <sheetViews>
    <sheetView workbookViewId="0"/>
  </sheetViews>
  <sheetFormatPr defaultRowHeight="14.4" x14ac:dyDescent="0.3"/>
  <cols>
    <col min="1" max="1" width="8.77734375" customWidth="1"/>
    <col min="2" max="2" width="32.77734375" customWidth="1"/>
    <col min="3" max="3" width="20.77734375" customWidth="1"/>
    <col min="4" max="4" width="18.77734375" customWidth="1"/>
    <col min="5" max="6" width="12.77734375" customWidth="1"/>
    <col min="7" max="7" width="14.77734375" customWidth="1"/>
    <col min="8" max="9" width="13.77734375" customWidth="1"/>
  </cols>
  <sheetData>
    <row r="1" spans="1:9" x14ac:dyDescent="0.3">
      <c r="A1" s="1" t="str">
        <f>CONCATENATE("Bijlage F.5: ",tabeltype," totaalblad objecten")</f>
        <v>Bijlage F.5: Invultabel totaalblad objecten</v>
      </c>
    </row>
    <row r="3" spans="1:9" ht="43.2" x14ac:dyDescent="0.3">
      <c r="A3" s="44" t="s">
        <v>278</v>
      </c>
      <c r="B3" s="44" t="s">
        <v>1064</v>
      </c>
      <c r="C3" s="44" t="s">
        <v>1065</v>
      </c>
      <c r="D3" s="44" t="s">
        <v>1066</v>
      </c>
      <c r="E3" s="44" t="s">
        <v>1076</v>
      </c>
      <c r="F3" s="44" t="s">
        <v>216</v>
      </c>
      <c r="G3" s="44" t="s">
        <v>217</v>
      </c>
      <c r="H3" s="44" t="s">
        <v>1096</v>
      </c>
      <c r="I3" s="44" t="s">
        <v>1097</v>
      </c>
    </row>
    <row r="4" spans="1:9" x14ac:dyDescent="0.3">
      <c r="A4" s="51" t="s">
        <v>288</v>
      </c>
      <c r="B4" s="51" t="s">
        <v>1078</v>
      </c>
      <c r="C4" s="51" t="s">
        <v>1079</v>
      </c>
      <c r="D4" s="51" t="s">
        <v>1080</v>
      </c>
      <c r="E4" s="66">
        <f>objecturenhf1_1</f>
        <v>0</v>
      </c>
      <c r="F4" s="66">
        <f>objecturen1_1</f>
        <v>0</v>
      </c>
      <c r="G4" s="55">
        <f>objectprijs1_1</f>
        <v>0</v>
      </c>
      <c r="H4" s="55">
        <f>G4/12</f>
        <v>0</v>
      </c>
      <c r="I4" s="55">
        <f>H4*1.21</f>
        <v>0</v>
      </c>
    </row>
    <row r="5" spans="1:9" x14ac:dyDescent="0.3">
      <c r="A5" s="56" t="s">
        <v>512</v>
      </c>
      <c r="B5" s="56" t="s">
        <v>1081</v>
      </c>
      <c r="C5" s="56" t="s">
        <v>1082</v>
      </c>
      <c r="D5" s="56" t="s">
        <v>1083</v>
      </c>
      <c r="E5" s="69">
        <f>objecturenhf2_1</f>
        <v>0</v>
      </c>
      <c r="F5" s="69">
        <f>objecturen2_1</f>
        <v>0</v>
      </c>
      <c r="G5" s="60">
        <f>objectprijs2_1</f>
        <v>0</v>
      </c>
      <c r="H5" s="60">
        <f>G5/12</f>
        <v>0</v>
      </c>
      <c r="I5" s="60">
        <f>H5*1.21</f>
        <v>0</v>
      </c>
    </row>
    <row r="6" spans="1:9" x14ac:dyDescent="0.3">
      <c r="A6" s="56" t="s">
        <v>603</v>
      </c>
      <c r="B6" s="56" t="s">
        <v>1084</v>
      </c>
      <c r="C6" s="56" t="s">
        <v>1085</v>
      </c>
      <c r="D6" s="56" t="s">
        <v>1080</v>
      </c>
      <c r="E6" s="69">
        <f>objecturenhf3_1</f>
        <v>0</v>
      </c>
      <c r="F6" s="69">
        <f>objecturen3_1</f>
        <v>0</v>
      </c>
      <c r="G6" s="60">
        <f>objectprijs3_1</f>
        <v>0</v>
      </c>
      <c r="H6" s="60">
        <f>G6/12</f>
        <v>0</v>
      </c>
      <c r="I6" s="60">
        <f>H6*1.21</f>
        <v>0</v>
      </c>
    </row>
    <row r="7" spans="1:9" x14ac:dyDescent="0.3">
      <c r="A7" s="56" t="s">
        <v>630</v>
      </c>
      <c r="B7" s="56" t="s">
        <v>1086</v>
      </c>
      <c r="C7" s="56" t="s">
        <v>1087</v>
      </c>
      <c r="D7" s="56" t="s">
        <v>1080</v>
      </c>
      <c r="E7" s="69">
        <f>objecturenhf4_1</f>
        <v>0</v>
      </c>
      <c r="F7" s="69">
        <f>objecturen4_1</f>
        <v>0</v>
      </c>
      <c r="G7" s="60">
        <f>objectprijs4_1</f>
        <v>0</v>
      </c>
      <c r="H7" s="60">
        <f>G7/12</f>
        <v>0</v>
      </c>
      <c r="I7" s="60">
        <f>H7*1.21</f>
        <v>0</v>
      </c>
    </row>
    <row r="8" spans="1:9" x14ac:dyDescent="0.3">
      <c r="A8" s="56" t="s">
        <v>736</v>
      </c>
      <c r="B8" s="56" t="s">
        <v>1088</v>
      </c>
      <c r="C8" s="56" t="s">
        <v>1085</v>
      </c>
      <c r="D8" s="56" t="s">
        <v>1080</v>
      </c>
      <c r="E8" s="69">
        <f>objecturenhf5_1</f>
        <v>0</v>
      </c>
      <c r="F8" s="69">
        <f>objecturen5_1</f>
        <v>0</v>
      </c>
      <c r="G8" s="60">
        <f>objectprijs5_1</f>
        <v>0</v>
      </c>
      <c r="H8" s="60">
        <f>G8/12</f>
        <v>0</v>
      </c>
      <c r="I8" s="60">
        <f>H8*1.21</f>
        <v>0</v>
      </c>
    </row>
    <row r="9" spans="1:9" x14ac:dyDescent="0.3">
      <c r="A9" s="56" t="s">
        <v>753</v>
      </c>
      <c r="B9" s="56" t="s">
        <v>1089</v>
      </c>
      <c r="C9" s="56" t="s">
        <v>1090</v>
      </c>
      <c r="D9" s="56" t="s">
        <v>1091</v>
      </c>
      <c r="E9" s="69">
        <f>objecturenhf6_1</f>
        <v>0</v>
      </c>
      <c r="F9" s="69">
        <f>objecturen6_1</f>
        <v>0</v>
      </c>
      <c r="G9" s="60">
        <f>objectprijs6_1</f>
        <v>0</v>
      </c>
      <c r="H9" s="60">
        <f>G9/12</f>
        <v>0</v>
      </c>
      <c r="I9" s="60">
        <f>H9*1.21</f>
        <v>0</v>
      </c>
    </row>
    <row r="10" spans="1:9" x14ac:dyDescent="0.3">
      <c r="A10" s="61" t="s">
        <v>986</v>
      </c>
      <c r="B10" s="61" t="s">
        <v>1092</v>
      </c>
      <c r="C10" s="61" t="s">
        <v>1093</v>
      </c>
      <c r="D10" s="61" t="s">
        <v>1080</v>
      </c>
      <c r="E10" s="72">
        <f>objecturenhf7_1</f>
        <v>0</v>
      </c>
      <c r="F10" s="72">
        <f>objecturen7_1</f>
        <v>0</v>
      </c>
      <c r="G10" s="65">
        <f>objectprijs7_1</f>
        <v>0</v>
      </c>
      <c r="H10" s="65">
        <f>G10/12</f>
        <v>0</v>
      </c>
      <c r="I10" s="65">
        <f>H10*1.21</f>
        <v>0</v>
      </c>
    </row>
    <row r="12" spans="1:9" x14ac:dyDescent="0.3">
      <c r="A12" s="75" t="s">
        <v>1098</v>
      </c>
      <c r="B12" s="76"/>
      <c r="C12" s="76"/>
      <c r="D12" s="76"/>
      <c r="E12" s="77">
        <f>SUM(E4:E10)</f>
        <v>0</v>
      </c>
      <c r="F12" s="77">
        <f>SUM(F4:F10)</f>
        <v>0</v>
      </c>
      <c r="G12" s="78">
        <f>SUM(G4:G10)</f>
        <v>0</v>
      </c>
      <c r="H12" s="78">
        <f>SUM(H4:H10)</f>
        <v>0</v>
      </c>
      <c r="I12" s="78">
        <f>SUM(I4:I10)</f>
        <v>0</v>
      </c>
    </row>
  </sheetData>
  <sheetProtection algorithmName="SHA-512" hashValue="RhERnHqllxxpRSmE11O3EaBJJ5HmtZG/OZbqr2YPOp8x5xuibTU3z8C6I5YfzFCEeUbrgZjFUSluEnKHmJd2UA==" saltValue="j1giCFnFlXerm7o+bZuD0g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56B44-8A77-4F7C-BFFC-86B0170C58DD}">
  <dimension ref="A1:L10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50.77734375" customWidth="1"/>
    <col min="5" max="6" width="14.77734375" customWidth="1"/>
    <col min="7" max="9" width="11.77734375" customWidth="1"/>
    <col min="10" max="10" width="12.77734375" customWidth="1"/>
    <col min="11" max="11" width="14.77734375" customWidth="1"/>
    <col min="12" max="12" width="13.77734375" customWidth="1"/>
  </cols>
  <sheetData>
    <row r="1" spans="1:12" x14ac:dyDescent="0.3">
      <c r="A1" s="1" t="str">
        <f>CONCATENATE("Bijlage F.6: ",tabeltype," additioneel werk")</f>
        <v>Bijlage F.6: Invultabel additioneel werk</v>
      </c>
    </row>
    <row r="3" spans="1:12" ht="43.2" x14ac:dyDescent="0.3">
      <c r="A3" s="44" t="s">
        <v>1099</v>
      </c>
      <c r="B3" s="44" t="s">
        <v>7</v>
      </c>
      <c r="C3" s="44" t="s">
        <v>1100</v>
      </c>
      <c r="D3" s="44" t="s">
        <v>97</v>
      </c>
      <c r="E3" s="44" t="s">
        <v>100</v>
      </c>
      <c r="F3" s="44" t="s">
        <v>1101</v>
      </c>
      <c r="G3" s="44" t="s">
        <v>1102</v>
      </c>
      <c r="H3" s="44" t="s">
        <v>1103</v>
      </c>
      <c r="I3" s="44" t="s">
        <v>1104</v>
      </c>
      <c r="J3" s="44" t="s">
        <v>1105</v>
      </c>
      <c r="K3" s="44" t="s">
        <v>217</v>
      </c>
      <c r="L3" s="44" t="s">
        <v>1077</v>
      </c>
    </row>
    <row r="4" spans="1:12" x14ac:dyDescent="0.3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3">
      <c r="A5" s="48" t="s">
        <v>102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3">
      <c r="A6" s="51" t="s">
        <v>1106</v>
      </c>
      <c r="B6" s="51" t="s">
        <v>26</v>
      </c>
      <c r="C6" s="52">
        <f>IF(ISBLANK(B6),0,IF(ISERROR(VALUE(B6)),VLOOKUP(B6,dagsoorttabel1,2,FALSE)*dagenperjaar1,VALUE(B6)))</f>
        <v>1</v>
      </c>
      <c r="D6" s="51" t="s">
        <v>1107</v>
      </c>
      <c r="E6" s="51" t="s">
        <v>1108</v>
      </c>
      <c r="F6" s="117">
        <v>7037.7699999999995</v>
      </c>
      <c r="G6" s="118">
        <f>Tariefopbouw4</f>
        <v>0</v>
      </c>
      <c r="H6" s="53"/>
      <c r="I6" s="119"/>
      <c r="J6" s="55">
        <f>IF(ISBLANK(H6),0,F6 / H6 * G6)</f>
        <v>0</v>
      </c>
      <c r="K6" s="55">
        <f>C6*J6</f>
        <v>0</v>
      </c>
      <c r="L6" s="55">
        <f>K6/12</f>
        <v>0</v>
      </c>
    </row>
    <row r="7" spans="1:12" x14ac:dyDescent="0.3">
      <c r="A7" s="61" t="s">
        <v>1109</v>
      </c>
      <c r="B7" s="61" t="s">
        <v>25</v>
      </c>
      <c r="C7" s="62">
        <f>IF(ISBLANK(B7),0,IF(ISERROR(VALUE(B7)),VLOOKUP(B7,dagsoorttabel1,2,FALSE)*dagenperjaar1,VALUE(B7)))</f>
        <v>2</v>
      </c>
      <c r="D7" s="61" t="s">
        <v>1110</v>
      </c>
      <c r="E7" s="61" t="s">
        <v>1108</v>
      </c>
      <c r="F7" s="120">
        <v>2712.9</v>
      </c>
      <c r="G7" s="121">
        <f>Tariefopbouw4</f>
        <v>0</v>
      </c>
      <c r="H7" s="63"/>
      <c r="I7" s="122"/>
      <c r="J7" s="65">
        <f>IF(ISBLANK(H7),0,F7 / H7 * G7)</f>
        <v>0</v>
      </c>
      <c r="K7" s="65">
        <f>C7*J7</f>
        <v>0</v>
      </c>
      <c r="L7" s="65">
        <f>K7/12</f>
        <v>0</v>
      </c>
    </row>
    <row r="8" spans="1:12" x14ac:dyDescent="0.3">
      <c r="A8" s="75" t="s">
        <v>275</v>
      </c>
      <c r="B8" s="76"/>
      <c r="C8" s="76"/>
      <c r="D8" s="76"/>
      <c r="E8" s="76"/>
      <c r="F8" s="76"/>
      <c r="G8" s="76"/>
      <c r="H8" s="76"/>
      <c r="I8" s="76"/>
      <c r="J8" s="76"/>
      <c r="K8" s="78">
        <f>SUM(K6:K7)</f>
        <v>0</v>
      </c>
      <c r="L8" s="123">
        <f>K8/12</f>
        <v>0</v>
      </c>
    </row>
    <row r="10" spans="1:12" x14ac:dyDescent="0.3">
      <c r="A10" s="75" t="s">
        <v>1111</v>
      </c>
      <c r="B10" s="76"/>
      <c r="C10" s="76"/>
      <c r="D10" s="76"/>
      <c r="E10" s="76"/>
      <c r="F10" s="76"/>
      <c r="G10" s="76"/>
      <c r="H10" s="76"/>
      <c r="I10" s="76"/>
      <c r="J10" s="76"/>
      <c r="K10" s="78">
        <f>prijsjaaradditioneel1</f>
        <v>0</v>
      </c>
      <c r="L10" s="123">
        <f>K10/12</f>
        <v>0</v>
      </c>
    </row>
  </sheetData>
  <sheetProtection algorithmName="SHA-512" hashValue="bEBWjd3GJmwqpH0ji2mlv17k3GEfnoxUVAfGx6viMh6kWuQ9RoWFZmqHlNRvsbux4zJEUoNk4vFVbBUhll2/Sw==" saltValue="w00RwhAAbj6JQOTBJazs7A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&amp;LMeerscholen EA 2026                                         &amp;ROpmaakdatum: 22-04-2026
Intexso - Plantageweg 23E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657</vt:i4>
      </vt:variant>
    </vt:vector>
  </HeadingPairs>
  <TitlesOfParts>
    <vt:vector size="672" baseType="lpstr">
      <vt:lpstr>Omreken</vt:lpstr>
      <vt:lpstr>Tariefopbouw</vt:lpstr>
      <vt:lpstr>Categorienormen</vt:lpstr>
      <vt:lpstr>Regulier werk</vt:lpstr>
      <vt:lpstr>Ruimten werkdag</vt:lpstr>
      <vt:lpstr>Objectinformatie</vt:lpstr>
      <vt:lpstr>Objecten</vt:lpstr>
      <vt:lpstr>Totaalblad Objecten</vt:lpstr>
      <vt:lpstr>Additioneel werk</vt:lpstr>
      <vt:lpstr>Additioneel werk per locatie</vt:lpstr>
      <vt:lpstr>Afroep incidenteel</vt:lpstr>
      <vt:lpstr>Regiewerk</vt:lpstr>
      <vt:lpstr>Glas</vt:lpstr>
      <vt:lpstr>Glas per locatie</vt:lpstr>
      <vt:lpstr>Totaal</vt:lpstr>
      <vt:lpstr>'Additioneel werk'!Afdruktitels</vt:lpstr>
      <vt:lpstr>'Additioneel werk per locatie'!Afdruktitels</vt:lpstr>
      <vt:lpstr>'Afroep incidenteel'!Afdruktitels</vt:lpstr>
      <vt:lpstr>Categorienormen!Afdruktitels</vt:lpstr>
      <vt:lpstr>Glas!Afdruktitels</vt:lpstr>
      <vt:lpstr>'Glas per locatie'!Afdruktitels</vt:lpstr>
      <vt:lpstr>Objecten!Afdruktitels</vt:lpstr>
      <vt:lpstr>Objectinformatie!Afdruktitels</vt:lpstr>
      <vt:lpstr>Regiewerk!Afdruktitels</vt:lpstr>
      <vt:lpstr>'Regulier werk'!Afdruktitels</vt:lpstr>
      <vt:lpstr>'Ruimten werkdag'!Afdruktitels</vt:lpstr>
      <vt:lpstr>Tariefopbouw!Afdruktitels</vt:lpstr>
      <vt:lpstr>Totaal!Afdruktitels</vt:lpstr>
      <vt:lpstr>'Totaalblad Objecten'!Afdruktitels</vt:lpstr>
      <vt:lpstr>catdw_1_AHB_1</vt:lpstr>
      <vt:lpstr>catdw_1_AHV_40</vt:lpstr>
      <vt:lpstr>catdw_1_AZB_1</vt:lpstr>
      <vt:lpstr>catdw_1_AZV_40</vt:lpstr>
      <vt:lpstr>catdw_1_BHB_1</vt:lpstr>
      <vt:lpstr>catdw_1_BHV_40</vt:lpstr>
      <vt:lpstr>catdw_1_BZB_1</vt:lpstr>
      <vt:lpstr>catdw_1_BZV_40</vt:lpstr>
      <vt:lpstr>catdw_1_BZV_42</vt:lpstr>
      <vt:lpstr>catdw_1_DHB_1</vt:lpstr>
      <vt:lpstr>catdw_1_DHV_40</vt:lpstr>
      <vt:lpstr>catdw_1_EHB_1</vt:lpstr>
      <vt:lpstr>catdw_1_EHV_40</vt:lpstr>
      <vt:lpstr>catdw_1_EZB_1</vt:lpstr>
      <vt:lpstr>catdw_1_EZV_40</vt:lpstr>
      <vt:lpstr>catdw_1_EZV_42</vt:lpstr>
      <vt:lpstr>catdw_1_FHB_1</vt:lpstr>
      <vt:lpstr>catdw_1_FHV_40</vt:lpstr>
      <vt:lpstr>catdw_1_GHB_1</vt:lpstr>
      <vt:lpstr>catdw_1_GHV_40</vt:lpstr>
      <vt:lpstr>catdw_1_IHB_1</vt:lpstr>
      <vt:lpstr>catdw_1_IHV_40</vt:lpstr>
      <vt:lpstr>catdw_1_KHB_1</vt:lpstr>
      <vt:lpstr>catdw_1_KHV_40</vt:lpstr>
      <vt:lpstr>catdw_1_LHB_1</vt:lpstr>
      <vt:lpstr>catdw_1_LHV_40</vt:lpstr>
      <vt:lpstr>catdw_1_LZB_1</vt:lpstr>
      <vt:lpstr>catdw_1_LZV_40</vt:lpstr>
      <vt:lpstr>catdw_1_MHB_1</vt:lpstr>
      <vt:lpstr>catdw_1_MHV_40</vt:lpstr>
      <vt:lpstr>catdw_1_MZB_1</vt:lpstr>
      <vt:lpstr>catdw_1_MZV_40</vt:lpstr>
      <vt:lpstr>catdw_1_OHB_1</vt:lpstr>
      <vt:lpstr>catdw_1_OHV_10</vt:lpstr>
      <vt:lpstr>catdw_1_OHV_40</vt:lpstr>
      <vt:lpstr>catdw_1_PHB_1</vt:lpstr>
      <vt:lpstr>catdw_1_PHV_40</vt:lpstr>
      <vt:lpstr>catdw_1_PHV_42</vt:lpstr>
      <vt:lpstr>catdw_1_PMHB_1</vt:lpstr>
      <vt:lpstr>catdw_1_PMHV_40</vt:lpstr>
      <vt:lpstr>catdw_1_PTHB_1</vt:lpstr>
      <vt:lpstr>catdw_1_PTHV_40</vt:lpstr>
      <vt:lpstr>catdw_1_PUHB_1</vt:lpstr>
      <vt:lpstr>catdw_1_PUHV_40</vt:lpstr>
      <vt:lpstr>catdw_1_RHB_1</vt:lpstr>
      <vt:lpstr>catdw_1_RHV_40</vt:lpstr>
      <vt:lpstr>catdw_1_SHB_1</vt:lpstr>
      <vt:lpstr>catdw_1_SHV_40</vt:lpstr>
      <vt:lpstr>catdw_1_SHV_42</vt:lpstr>
      <vt:lpstr>catdw_1_THB_1</vt:lpstr>
      <vt:lpstr>catdw_1_THV_40</vt:lpstr>
      <vt:lpstr>catdw_1_THV_42</vt:lpstr>
      <vt:lpstr>catdw_1_VHB_1</vt:lpstr>
      <vt:lpstr>catdw_1_VHV_40</vt:lpstr>
      <vt:lpstr>catdw_1_VHV_42</vt:lpstr>
      <vt:lpstr>catdw_1_VZB_1</vt:lpstr>
      <vt:lpstr>catdw_1_VZV_40</vt:lpstr>
      <vt:lpstr>catfd_1_AHB_1</vt:lpstr>
      <vt:lpstr>catfd_1_AHV_40</vt:lpstr>
      <vt:lpstr>catfd_1_AZB_1</vt:lpstr>
      <vt:lpstr>catfd_1_AZV_40</vt:lpstr>
      <vt:lpstr>catfd_1_BHB_1</vt:lpstr>
      <vt:lpstr>catfd_1_BHV_40</vt:lpstr>
      <vt:lpstr>catfd_1_BZB_1</vt:lpstr>
      <vt:lpstr>catfd_1_BZV_40</vt:lpstr>
      <vt:lpstr>catfd_1_BZV_42</vt:lpstr>
      <vt:lpstr>catfd_1_DHB_1</vt:lpstr>
      <vt:lpstr>catfd_1_DHV_40</vt:lpstr>
      <vt:lpstr>catfd_1_EHB_1</vt:lpstr>
      <vt:lpstr>catfd_1_EHV_40</vt:lpstr>
      <vt:lpstr>catfd_1_EZB_1</vt:lpstr>
      <vt:lpstr>catfd_1_EZV_40</vt:lpstr>
      <vt:lpstr>catfd_1_EZV_42</vt:lpstr>
      <vt:lpstr>catfd_1_FHB_1</vt:lpstr>
      <vt:lpstr>catfd_1_FHV_40</vt:lpstr>
      <vt:lpstr>catfd_1_GHB_1</vt:lpstr>
      <vt:lpstr>catfd_1_GHV_40</vt:lpstr>
      <vt:lpstr>catfd_1_IHB_1</vt:lpstr>
      <vt:lpstr>catfd_1_IHV_40</vt:lpstr>
      <vt:lpstr>catfd_1_KHB_1</vt:lpstr>
      <vt:lpstr>catfd_1_KHV_40</vt:lpstr>
      <vt:lpstr>catfd_1_LHB_1</vt:lpstr>
      <vt:lpstr>catfd_1_LHV_40</vt:lpstr>
      <vt:lpstr>catfd_1_LZB_1</vt:lpstr>
      <vt:lpstr>catfd_1_LZV_40</vt:lpstr>
      <vt:lpstr>catfd_1_MHB_1</vt:lpstr>
      <vt:lpstr>catfd_1_MHV_40</vt:lpstr>
      <vt:lpstr>catfd_1_MZB_1</vt:lpstr>
      <vt:lpstr>catfd_1_MZV_40</vt:lpstr>
      <vt:lpstr>catfd_1_OHB_1</vt:lpstr>
      <vt:lpstr>catfd_1_OHV_10</vt:lpstr>
      <vt:lpstr>catfd_1_OHV_40</vt:lpstr>
      <vt:lpstr>catfd_1_PHB_1</vt:lpstr>
      <vt:lpstr>catfd_1_PHV_40</vt:lpstr>
      <vt:lpstr>catfd_1_PHV_42</vt:lpstr>
      <vt:lpstr>catfd_1_PMHB_1</vt:lpstr>
      <vt:lpstr>catfd_1_PMHV_40</vt:lpstr>
      <vt:lpstr>catfd_1_PTHB_1</vt:lpstr>
      <vt:lpstr>catfd_1_PTHV_40</vt:lpstr>
      <vt:lpstr>catfd_1_PUHB_1</vt:lpstr>
      <vt:lpstr>catfd_1_PUHV_40</vt:lpstr>
      <vt:lpstr>catfd_1_RHB_1</vt:lpstr>
      <vt:lpstr>catfd_1_RHV_40</vt:lpstr>
      <vt:lpstr>catfd_1_SHB_1</vt:lpstr>
      <vt:lpstr>catfd_1_SHV_40</vt:lpstr>
      <vt:lpstr>catfd_1_SHV_42</vt:lpstr>
      <vt:lpstr>catfd_1_THB_1</vt:lpstr>
      <vt:lpstr>catfd_1_THV_40</vt:lpstr>
      <vt:lpstr>catfd_1_THV_42</vt:lpstr>
      <vt:lpstr>catfd_1_VHB_1</vt:lpstr>
      <vt:lpstr>catfd_1_VHV_40</vt:lpstr>
      <vt:lpstr>catfd_1_VHV_42</vt:lpstr>
      <vt:lpstr>catfd_1_VZB_1</vt:lpstr>
      <vt:lpstr>catfd_1_VZV_40</vt:lpstr>
      <vt:lpstr>catpn_1_AHB_1</vt:lpstr>
      <vt:lpstr>catpn_1_AHV_40</vt:lpstr>
      <vt:lpstr>catpn_1_AZB_1</vt:lpstr>
      <vt:lpstr>catpn_1_AZV_40</vt:lpstr>
      <vt:lpstr>catpn_1_BHB_1</vt:lpstr>
      <vt:lpstr>catpn_1_BHV_40</vt:lpstr>
      <vt:lpstr>catpn_1_BZB_1</vt:lpstr>
      <vt:lpstr>catpn_1_BZV_40</vt:lpstr>
      <vt:lpstr>catpn_1_BZV_42</vt:lpstr>
      <vt:lpstr>catpn_1_DHB_1</vt:lpstr>
      <vt:lpstr>catpn_1_DHV_40</vt:lpstr>
      <vt:lpstr>catpn_1_EHB_1</vt:lpstr>
      <vt:lpstr>catpn_1_EHV_40</vt:lpstr>
      <vt:lpstr>catpn_1_EZB_1</vt:lpstr>
      <vt:lpstr>catpn_1_EZV_40</vt:lpstr>
      <vt:lpstr>catpn_1_EZV_42</vt:lpstr>
      <vt:lpstr>catpn_1_FHB_1</vt:lpstr>
      <vt:lpstr>catpn_1_FHV_40</vt:lpstr>
      <vt:lpstr>catpn_1_GHB_1</vt:lpstr>
      <vt:lpstr>catpn_1_GHV_40</vt:lpstr>
      <vt:lpstr>catpn_1_IHB_1</vt:lpstr>
      <vt:lpstr>catpn_1_IHV_40</vt:lpstr>
      <vt:lpstr>catpn_1_KHB_1</vt:lpstr>
      <vt:lpstr>catpn_1_KHV_40</vt:lpstr>
      <vt:lpstr>catpn_1_LHB_1</vt:lpstr>
      <vt:lpstr>catpn_1_LHV_40</vt:lpstr>
      <vt:lpstr>catpn_1_LZB_1</vt:lpstr>
      <vt:lpstr>catpn_1_LZV_40</vt:lpstr>
      <vt:lpstr>catpn_1_MHB_1</vt:lpstr>
      <vt:lpstr>catpn_1_MHV_40</vt:lpstr>
      <vt:lpstr>catpn_1_MZB_1</vt:lpstr>
      <vt:lpstr>catpn_1_MZV_40</vt:lpstr>
      <vt:lpstr>catpn_1_OHB_1</vt:lpstr>
      <vt:lpstr>catpn_1_OHV_10</vt:lpstr>
      <vt:lpstr>catpn_1_OHV_40</vt:lpstr>
      <vt:lpstr>catpn_1_PHB_1</vt:lpstr>
      <vt:lpstr>catpn_1_PHV_40</vt:lpstr>
      <vt:lpstr>catpn_1_PHV_42</vt:lpstr>
      <vt:lpstr>catpn_1_PMHB_1</vt:lpstr>
      <vt:lpstr>catpn_1_PMHV_40</vt:lpstr>
      <vt:lpstr>catpn_1_PTHB_1</vt:lpstr>
      <vt:lpstr>catpn_1_PTHV_40</vt:lpstr>
      <vt:lpstr>catpn_1_PUHB_1</vt:lpstr>
      <vt:lpstr>catpn_1_PUHV_40</vt:lpstr>
      <vt:lpstr>catpn_1_RHB_1</vt:lpstr>
      <vt:lpstr>catpn_1_RHV_40</vt:lpstr>
      <vt:lpstr>catpn_1_SHB_1</vt:lpstr>
      <vt:lpstr>catpn_1_SHV_40</vt:lpstr>
      <vt:lpstr>catpn_1_SHV_42</vt:lpstr>
      <vt:lpstr>catpn_1_THB_1</vt:lpstr>
      <vt:lpstr>catpn_1_THV_40</vt:lpstr>
      <vt:lpstr>catpn_1_THV_42</vt:lpstr>
      <vt:lpstr>catpn_1_VHB_1</vt:lpstr>
      <vt:lpstr>catpn_1_VHV_40</vt:lpstr>
      <vt:lpstr>catpn_1_VHV_42</vt:lpstr>
      <vt:lpstr>catpn_1_VZB_1</vt:lpstr>
      <vt:lpstr>catpn_1_VZV_40</vt:lpstr>
      <vt:lpstr>cattf_1_AHB_1</vt:lpstr>
      <vt:lpstr>cattf_1_AHV_40</vt:lpstr>
      <vt:lpstr>cattf_1_AZB_1</vt:lpstr>
      <vt:lpstr>cattf_1_AZV_40</vt:lpstr>
      <vt:lpstr>cattf_1_BHB_1</vt:lpstr>
      <vt:lpstr>cattf_1_BHV_40</vt:lpstr>
      <vt:lpstr>cattf_1_BZB_1</vt:lpstr>
      <vt:lpstr>cattf_1_BZV_40</vt:lpstr>
      <vt:lpstr>cattf_1_BZV_42</vt:lpstr>
      <vt:lpstr>cattf_1_DHB_1</vt:lpstr>
      <vt:lpstr>cattf_1_DHV_40</vt:lpstr>
      <vt:lpstr>cattf_1_EHB_1</vt:lpstr>
      <vt:lpstr>cattf_1_EHV_40</vt:lpstr>
      <vt:lpstr>cattf_1_EZB_1</vt:lpstr>
      <vt:lpstr>cattf_1_EZV_40</vt:lpstr>
      <vt:lpstr>cattf_1_EZV_42</vt:lpstr>
      <vt:lpstr>cattf_1_FHB_1</vt:lpstr>
      <vt:lpstr>cattf_1_FHV_40</vt:lpstr>
      <vt:lpstr>cattf_1_GHB_1</vt:lpstr>
      <vt:lpstr>cattf_1_GHV_40</vt:lpstr>
      <vt:lpstr>cattf_1_IHB_1</vt:lpstr>
      <vt:lpstr>cattf_1_IHV_40</vt:lpstr>
      <vt:lpstr>cattf_1_KHB_1</vt:lpstr>
      <vt:lpstr>cattf_1_KHV_40</vt:lpstr>
      <vt:lpstr>cattf_1_LHB_1</vt:lpstr>
      <vt:lpstr>cattf_1_LHV_40</vt:lpstr>
      <vt:lpstr>cattf_1_LZB_1</vt:lpstr>
      <vt:lpstr>cattf_1_LZV_40</vt:lpstr>
      <vt:lpstr>cattf_1_MHB_1</vt:lpstr>
      <vt:lpstr>cattf_1_MHV_40</vt:lpstr>
      <vt:lpstr>cattf_1_MZB_1</vt:lpstr>
      <vt:lpstr>cattf_1_MZV_40</vt:lpstr>
      <vt:lpstr>cattf_1_OHB_1</vt:lpstr>
      <vt:lpstr>cattf_1_OHV_10</vt:lpstr>
      <vt:lpstr>cattf_1_OHV_40</vt:lpstr>
      <vt:lpstr>cattf_1_PHB_1</vt:lpstr>
      <vt:lpstr>cattf_1_PHV_40</vt:lpstr>
      <vt:lpstr>cattf_1_PHV_42</vt:lpstr>
      <vt:lpstr>cattf_1_PMHB_1</vt:lpstr>
      <vt:lpstr>cattf_1_PMHV_40</vt:lpstr>
      <vt:lpstr>cattf_1_PTHB_1</vt:lpstr>
      <vt:lpstr>cattf_1_PTHV_40</vt:lpstr>
      <vt:lpstr>cattf_1_PUHB_1</vt:lpstr>
      <vt:lpstr>cattf_1_PUHV_40</vt:lpstr>
      <vt:lpstr>cattf_1_RHB_1</vt:lpstr>
      <vt:lpstr>cattf_1_RHV_40</vt:lpstr>
      <vt:lpstr>cattf_1_SHB_1</vt:lpstr>
      <vt:lpstr>cattf_1_SHV_40</vt:lpstr>
      <vt:lpstr>cattf_1_SHV_42</vt:lpstr>
      <vt:lpstr>cattf_1_THB_1</vt:lpstr>
      <vt:lpstr>cattf_1_THV_40</vt:lpstr>
      <vt:lpstr>cattf_1_THV_42</vt:lpstr>
      <vt:lpstr>cattf_1_VHB_1</vt:lpstr>
      <vt:lpstr>cattf_1_VHV_40</vt:lpstr>
      <vt:lpstr>cattf_1_VHV_42</vt:lpstr>
      <vt:lpstr>cattf_1_VZB_1</vt:lpstr>
      <vt:lpstr>cattf_1_VZV_40</vt:lpstr>
      <vt:lpstr>dagenperjaar1</vt:lpstr>
      <vt:lpstr>dagenperweek1</vt:lpstr>
      <vt:lpstr>dagsoorttabel1</vt:lpstr>
      <vt:lpstr>dagwerk15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dagwerk40</vt:lpstr>
      <vt:lpstr>dagwerk41</vt:lpstr>
      <vt:lpstr>dagwerk42</vt:lpstr>
      <vt:lpstr>dagwerk43</vt:lpstr>
      <vt:lpstr>dagwerk44</vt:lpstr>
      <vt:lpstr>dagwerk45</vt:lpstr>
      <vt:lpstr>dagwerk46</vt:lpstr>
      <vt:lpstr>dagwerk47</vt:lpstr>
      <vt:lpstr>dagwerk48</vt:lpstr>
      <vt:lpstr>dagwerk49</vt:lpstr>
      <vt:lpstr>dagwerk50</vt:lpstr>
      <vt:lpstr>dagwerk51</vt:lpstr>
      <vt:lpstr>dagwerk52</vt:lpstr>
      <vt:lpstr>dagwerk53</vt:lpstr>
      <vt:lpstr>dagwerk54</vt:lpstr>
      <vt:lpstr>dagwerk55</vt:lpstr>
      <vt:lpstr>dagwerk56</vt:lpstr>
      <vt:lpstr>dagwerk57</vt:lpstr>
      <vt:lpstr>dagwerk58</vt:lpstr>
      <vt:lpstr>dagwerk59</vt:lpstr>
      <vt:lpstr>dagwerk60</vt:lpstr>
      <vt:lpstr>dagwerk61</vt:lpstr>
      <vt:lpstr>dagwerk62</vt:lpstr>
      <vt:lpstr>dagwerk63</vt:lpstr>
      <vt:lpstr>dagwerk64</vt:lpstr>
      <vt:lpstr>dagwerktabel1</vt:lpstr>
      <vt:lpstr>gemuurtarief1</vt:lpstr>
      <vt:lpstr>kengetaltabel1</vt:lpstr>
      <vt:lpstr>object1_gemuurtarief1</vt:lpstr>
      <vt:lpstr>object1_opptabel1</vt:lpstr>
      <vt:lpstr>object1_prijsdag1</vt:lpstr>
      <vt:lpstr>object1_prijsjaar1</vt:lpstr>
      <vt:lpstr>object1_urendag1</vt:lpstr>
      <vt:lpstr>object1_urendaghf1</vt:lpstr>
      <vt:lpstr>object1_urenjaar1</vt:lpstr>
      <vt:lpstr>object2_gemuurtarief1</vt:lpstr>
      <vt:lpstr>object2_opptabel1</vt:lpstr>
      <vt:lpstr>object2_prijsdag1</vt:lpstr>
      <vt:lpstr>object2_prijsjaar1</vt:lpstr>
      <vt:lpstr>object2_urendag1</vt:lpstr>
      <vt:lpstr>object2_urendaghf1</vt:lpstr>
      <vt:lpstr>object2_urenjaar1</vt:lpstr>
      <vt:lpstr>object3_gemuurtarief1</vt:lpstr>
      <vt:lpstr>object3_opptabel1</vt:lpstr>
      <vt:lpstr>object3_prijsdag1</vt:lpstr>
      <vt:lpstr>object3_prijsjaar1</vt:lpstr>
      <vt:lpstr>object3_urendag1</vt:lpstr>
      <vt:lpstr>object3_urendaghf1</vt:lpstr>
      <vt:lpstr>object3_urenjaar1</vt:lpstr>
      <vt:lpstr>object4_gemuurtarief1</vt:lpstr>
      <vt:lpstr>object4_opptabel1</vt:lpstr>
      <vt:lpstr>object4_prijsdag1</vt:lpstr>
      <vt:lpstr>object4_prijsjaar1</vt:lpstr>
      <vt:lpstr>object4_urendag1</vt:lpstr>
      <vt:lpstr>object4_urendaghf1</vt:lpstr>
      <vt:lpstr>object4_urenjaar1</vt:lpstr>
      <vt:lpstr>object5_gemuurtarief1</vt:lpstr>
      <vt:lpstr>object5_opptabel1</vt:lpstr>
      <vt:lpstr>object5_prijsdag1</vt:lpstr>
      <vt:lpstr>object5_prijsjaar1</vt:lpstr>
      <vt:lpstr>object5_urendag1</vt:lpstr>
      <vt:lpstr>object5_urendaghf1</vt:lpstr>
      <vt:lpstr>object5_urenjaar1</vt:lpstr>
      <vt:lpstr>object6_gemuurtarief1</vt:lpstr>
      <vt:lpstr>object6_opptabel1</vt:lpstr>
      <vt:lpstr>object6_prijsdag1</vt:lpstr>
      <vt:lpstr>object6_prijsjaar1</vt:lpstr>
      <vt:lpstr>object6_urendag1</vt:lpstr>
      <vt:lpstr>object6_urendaghf1</vt:lpstr>
      <vt:lpstr>object6_urenjaar1</vt:lpstr>
      <vt:lpstr>object7_gemuurtarief1</vt:lpstr>
      <vt:lpstr>object7_opptabel1</vt:lpstr>
      <vt:lpstr>object7_prijsdag1</vt:lpstr>
      <vt:lpstr>object7_prijsjaar1</vt:lpstr>
      <vt:lpstr>object7_urendag1</vt:lpstr>
      <vt:lpstr>object7_urendaghf1</vt:lpstr>
      <vt:lpstr>object7_urenjaar1</vt:lpstr>
      <vt:lpstr>objectprijs1_1</vt:lpstr>
      <vt:lpstr>objectprijs2_1</vt:lpstr>
      <vt:lpstr>objectprijs3_1</vt:lpstr>
      <vt:lpstr>objectprijs4_1</vt:lpstr>
      <vt:lpstr>objectprijs5_1</vt:lpstr>
      <vt:lpstr>objectprijs6_1</vt:lpstr>
      <vt:lpstr>objectprijs7_1</vt:lpstr>
      <vt:lpstr>objecturen1_1</vt:lpstr>
      <vt:lpstr>objecturen2_1</vt:lpstr>
      <vt:lpstr>objecturen3_1</vt:lpstr>
      <vt:lpstr>objecturen4_1</vt:lpstr>
      <vt:lpstr>objecturen5_1</vt:lpstr>
      <vt:lpstr>objecturen6_1</vt:lpstr>
      <vt:lpstr>objecturen7_1</vt:lpstr>
      <vt:lpstr>objecturenhf1_1</vt:lpstr>
      <vt:lpstr>objecturenhf2_1</vt:lpstr>
      <vt:lpstr>objecturenhf3_1</vt:lpstr>
      <vt:lpstr>objecturenhf4_1</vt:lpstr>
      <vt:lpstr>objecturenhf5_1</vt:lpstr>
      <vt:lpstr>objecturenhf6_1</vt:lpstr>
      <vt:lpstr>objecturenhf7_1</vt:lpstr>
      <vt:lpstr>prijsdag1</vt:lpstr>
      <vt:lpstr>prijsjaar</vt:lpstr>
      <vt:lpstr>prijsjaar1</vt:lpstr>
      <vt:lpstr>prijsjaaradditioneel</vt:lpstr>
      <vt:lpstr>prijsjaaradditioneel1</vt:lpstr>
      <vt:lpstr>prijsjaarglas</vt:lpstr>
      <vt:lpstr>prijsjaarglas1</vt:lpstr>
      <vt:lpstr>prijsjaarregie</vt:lpstr>
      <vt:lpstr>prijsjaarregie1</vt:lpstr>
      <vt:lpstr>prijsjaartotaal</vt:lpstr>
      <vt:lpstr>prijsjaartotaal1</vt:lpstr>
      <vt:lpstr>prijsjaartotaaloverzicht</vt:lpstr>
      <vt:lpstr>prijsmaandtotaal1</vt:lpstr>
      <vt:lpstr>prodnorm0</vt:lpstr>
      <vt:lpstr>prodnorm1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prodnorm47</vt:lpstr>
      <vt:lpstr>prodnorm48</vt:lpstr>
      <vt:lpstr>prodnorm49</vt:lpstr>
      <vt:lpstr>prodnorm5</vt:lpstr>
      <vt:lpstr>prodnorm50</vt:lpstr>
      <vt:lpstr>prodnorm51</vt:lpstr>
      <vt:lpstr>prodnorm52</vt:lpstr>
      <vt:lpstr>prodnorm53</vt:lpstr>
      <vt:lpstr>prodnorm54</vt:lpstr>
      <vt:lpstr>prodnorm55</vt:lpstr>
      <vt:lpstr>prodnorm56</vt:lpstr>
      <vt:lpstr>prodnorm57</vt:lpstr>
      <vt:lpstr>prodnorm58</vt:lpstr>
      <vt:lpstr>prodnorm59</vt:lpstr>
      <vt:lpstr>prodnorm6</vt:lpstr>
      <vt:lpstr>prodnorm60</vt:lpstr>
      <vt:lpstr>prodnorm61</vt:lpstr>
      <vt:lpstr>prodnorm62</vt:lpstr>
      <vt:lpstr>prodnorm63</vt:lpstr>
      <vt:lpstr>prodnorm64</vt:lpstr>
      <vt:lpstr>prodnorm7</vt:lpstr>
      <vt:lpstr>prodnorm8</vt:lpstr>
      <vt:lpstr>prodnorm9</vt:lpstr>
      <vt:lpstr>taakfreqtabel1</vt:lpstr>
      <vt:lpstr>tabeltype</vt:lpstr>
      <vt:lpstr>Tariefopbouw1</vt:lpstr>
      <vt:lpstr>Tariefopbouw2</vt:lpstr>
      <vt:lpstr>Tariefopbouw3</vt:lpstr>
      <vt:lpstr>Tariefopbouw4</vt:lpstr>
      <vt:lpstr>Tariefopbouw5</vt:lpstr>
      <vt:lpstr>Tariefopbouw6</vt:lpstr>
      <vt:lpstr>Tariefopbouw7</vt:lpstr>
      <vt:lpstr>TariefOpbouwBasisloon1</vt:lpstr>
      <vt:lpstr>TariefOpbouwBasisloon2</vt:lpstr>
      <vt:lpstr>TariefOpbouwBasisloon3</vt:lpstr>
      <vt:lpstr>TariefOpbouwBasisloon4</vt:lpstr>
      <vt:lpstr>TariefOpbouwBasisloon5</vt:lpstr>
      <vt:lpstr>TariefOpbouwBasisloon6</vt:lpstr>
      <vt:lpstr>TariefOpbouwBasisloon7</vt:lpstr>
      <vt:lpstr>TariefOpbouwBasisloon8</vt:lpstr>
      <vt:lpstr>TariefOpbouwDirecteKosten1</vt:lpstr>
      <vt:lpstr>TariefOpbouwDirecteKosten2</vt:lpstr>
      <vt:lpstr>TariefOpbouwDirecteKosten3</vt:lpstr>
      <vt:lpstr>TariefOpbouwDirecteKosten4</vt:lpstr>
      <vt:lpstr>TariefOpbouwDirecteKosten5</vt:lpstr>
      <vt:lpstr>TariefOpbouwDirecteKosten6</vt:lpstr>
      <vt:lpstr>TariefOpbouwDirecteKosten7</vt:lpstr>
      <vt:lpstr>TariefOpbouwDirecteKosten8</vt:lpstr>
      <vt:lpstr>TariefOpbouwErvaring1</vt:lpstr>
      <vt:lpstr>TariefOpbouwErvaring2</vt:lpstr>
      <vt:lpstr>TariefOpbouwErvaring3</vt:lpstr>
      <vt:lpstr>TariefOpbouwErvaring4</vt:lpstr>
      <vt:lpstr>TariefOpbouwErvaring5</vt:lpstr>
      <vt:lpstr>TariefOpbouwErvaring6</vt:lpstr>
      <vt:lpstr>TariefOpbouwErvaring7</vt:lpstr>
      <vt:lpstr>TariefOpbouwErvaring8</vt:lpstr>
      <vt:lpstr>TariefOpbouwIndirecteKosten1</vt:lpstr>
      <vt:lpstr>TariefOpbouwIndirecteKosten2</vt:lpstr>
      <vt:lpstr>TariefOpbouwIndirecteKosten3</vt:lpstr>
      <vt:lpstr>TariefOpbouwIndirecteKosten4</vt:lpstr>
      <vt:lpstr>TariefOpbouwIndirecteKosten5</vt:lpstr>
      <vt:lpstr>TariefOpbouwIndirecteKosten6</vt:lpstr>
      <vt:lpstr>TariefOpbouwIndirecteKosten7</vt:lpstr>
      <vt:lpstr>TariefOpbouwIndirecteKosten8</vt:lpstr>
      <vt:lpstr>TariefOpbouwNaam1</vt:lpstr>
      <vt:lpstr>TariefOpbouwNaam2</vt:lpstr>
      <vt:lpstr>TariefOpbouwNaam3</vt:lpstr>
      <vt:lpstr>TariefOpbouwNaam4</vt:lpstr>
      <vt:lpstr>TariefOpbouwNaam5</vt:lpstr>
      <vt:lpstr>TariefOpbouwNaam6</vt:lpstr>
      <vt:lpstr>TariefOpbouwNaam7</vt:lpstr>
      <vt:lpstr>TariefOpbouwNaam8</vt:lpstr>
      <vt:lpstr>TariefOpbouwRisicoWinst1</vt:lpstr>
      <vt:lpstr>TariefOpbouwRisicoWinst2</vt:lpstr>
      <vt:lpstr>TariefOpbouwRisicoWinst3</vt:lpstr>
      <vt:lpstr>TariefOpbouwRisicoWinst4</vt:lpstr>
      <vt:lpstr>TariefOpbouwRisicoWinst5</vt:lpstr>
      <vt:lpstr>TariefOpbouwRisicoWinst6</vt:lpstr>
      <vt:lpstr>TariefOpbouwRisicoWinst7</vt:lpstr>
      <vt:lpstr>TariefOpbouwRisicoWinst8</vt:lpstr>
      <vt:lpstr>TariefOpbouwRisicoWinstPercentage1</vt:lpstr>
      <vt:lpstr>TariefOpbouwRisicoWinstPercentage2</vt:lpstr>
      <vt:lpstr>TariefOpbouwRisicoWinstPercentage3</vt:lpstr>
      <vt:lpstr>TariefOpbouwRisicoWinstPercentage4</vt:lpstr>
      <vt:lpstr>TariefOpbouwRisicoWinstPercentage5</vt:lpstr>
      <vt:lpstr>TariefOpbouwRisicoWinstPercentage6</vt:lpstr>
      <vt:lpstr>TariefOpbouwRisicoWinstPercentage7</vt:lpstr>
      <vt:lpstr>TariefOpbouwRisicoWinstPercentage8</vt:lpstr>
      <vt:lpstr>TariefOpbouwTarief1</vt:lpstr>
      <vt:lpstr>TariefOpbouwTarief1DN</vt:lpstr>
      <vt:lpstr>TariefOpbouwTarief1W</vt:lpstr>
      <vt:lpstr>TariefOpbouwTarief1X</vt:lpstr>
      <vt:lpstr>TariefOpbouwTarief2</vt:lpstr>
      <vt:lpstr>TariefOpbouwTarief2DN</vt:lpstr>
      <vt:lpstr>TariefOpbouwTarief2W</vt:lpstr>
      <vt:lpstr>TariefOpbouwTarief2X</vt:lpstr>
      <vt:lpstr>TariefOpbouwTarief3</vt:lpstr>
      <vt:lpstr>TariefOpbouwTarief3DN</vt:lpstr>
      <vt:lpstr>TariefOpbouwTarief3W</vt:lpstr>
      <vt:lpstr>TariefOpbouwTarief3X</vt:lpstr>
      <vt:lpstr>TariefOpbouwTarief4</vt:lpstr>
      <vt:lpstr>TariefOpbouwTarief4DN</vt:lpstr>
      <vt:lpstr>TariefOpbouwTarief4W</vt:lpstr>
      <vt:lpstr>TariefOpbouwTarief4X</vt:lpstr>
      <vt:lpstr>TariefOpbouwTarief5</vt:lpstr>
      <vt:lpstr>TariefOpbouwTarief5DN</vt:lpstr>
      <vt:lpstr>TariefOpbouwTarief5W</vt:lpstr>
      <vt:lpstr>TariefOpbouwTarief5X</vt:lpstr>
      <vt:lpstr>TariefOpbouwTarief6</vt:lpstr>
      <vt:lpstr>TariefOpbouwTarief6DN</vt:lpstr>
      <vt:lpstr>TariefOpbouwTarief6W</vt:lpstr>
      <vt:lpstr>TariefOpbouwTarief6X</vt:lpstr>
      <vt:lpstr>TariefOpbouwTarief7</vt:lpstr>
      <vt:lpstr>TariefOpbouwTarief7DN</vt:lpstr>
      <vt:lpstr>TariefOpbouwTarief7W</vt:lpstr>
      <vt:lpstr>TariefOpbouwTarief7X</vt:lpstr>
      <vt:lpstr>TariefOpbouwTarief8</vt:lpstr>
      <vt:lpstr>TariefOpbouwTarief8DN</vt:lpstr>
      <vt:lpstr>TariefOpbouwTarief8W</vt:lpstr>
      <vt:lpstr>TariefOpbouwTarief8X</vt:lpstr>
      <vt:lpstr>TariefOpbouwTotaalLoonkosten1</vt:lpstr>
      <vt:lpstr>TariefOpbouwTotaalLoonkosten2</vt:lpstr>
      <vt:lpstr>TariefOpbouwTotaalLoonkosten3</vt:lpstr>
      <vt:lpstr>TariefOpbouwTotaalLoonkosten4</vt:lpstr>
      <vt:lpstr>TariefOpbouwTotaalLoonkosten5</vt:lpstr>
      <vt:lpstr>TariefOpbouwTotaalLoonkosten6</vt:lpstr>
      <vt:lpstr>TariefOpbouwTotaalLoonkosten7</vt:lpstr>
      <vt:lpstr>TariefOpbouwTotaalLoonkosten8</vt:lpstr>
      <vt:lpstr>TariefOpbouwUurloon1</vt:lpstr>
      <vt:lpstr>TariefOpbouwUurloon2</vt:lpstr>
      <vt:lpstr>TariefOpbouwUurloon3</vt:lpstr>
      <vt:lpstr>TariefOpbouwUurloon4</vt:lpstr>
      <vt:lpstr>TariefOpbouwUurloon5</vt:lpstr>
      <vt:lpstr>TariefOpbouwUurloon6</vt:lpstr>
      <vt:lpstr>TariefOpbouwUurloon7</vt:lpstr>
      <vt:lpstr>TariefOpbouwUurloon8</vt:lpstr>
      <vt:lpstr>TariefOpbouwUurloonkosten1</vt:lpstr>
      <vt:lpstr>TariefOpbouwUurloonkosten2</vt:lpstr>
      <vt:lpstr>TariefOpbouwUurloonkosten3</vt:lpstr>
      <vt:lpstr>TariefOpbouwUurloonkosten4</vt:lpstr>
      <vt:lpstr>TariefOpbouwUurloonkosten5</vt:lpstr>
      <vt:lpstr>TariefOpbouwUurloonkosten6</vt:lpstr>
      <vt:lpstr>TariefOpbouwUurloonkosten7</vt:lpstr>
      <vt:lpstr>TariefOpbouwUurloonkosten8</vt:lpstr>
      <vt:lpstr>tarieftabel1</vt:lpstr>
      <vt:lpstr>TariefUitvoering1</vt:lpstr>
      <vt:lpstr>TariefUitvoering2</vt:lpstr>
      <vt:lpstr>TariefUitvoering3</vt:lpstr>
      <vt:lpstr>TariefUitvoering4</vt:lpstr>
      <vt:lpstr>TariefUitvoering5</vt:lpstr>
      <vt:lpstr>TariefUitvoering6</vt:lpstr>
      <vt:lpstr>TariefUitvoering7</vt:lpstr>
      <vt:lpstr>urendag1</vt:lpstr>
      <vt:lpstr>urenjaar</vt:lpstr>
      <vt:lpstr>urenjaar1</vt:lpstr>
      <vt:lpstr>urenjaartotaal</vt:lpstr>
      <vt:lpstr>urenjaartotaal1</vt:lpstr>
      <vt:lpstr>urenjaartotaalhf</vt:lpstr>
      <vt:lpstr>urenjaartotaalhf1</vt:lpstr>
      <vt:lpstr>urenjaartotaaloverzicht</vt:lpstr>
      <vt:lpstr>urenjaartotaaloverzichthf</vt:lpstr>
      <vt:lpstr>uurfactortabel1</vt:lpstr>
      <vt:lpstr>uurtarief0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uurtarief47</vt:lpstr>
      <vt:lpstr>uurtarief48</vt:lpstr>
      <vt:lpstr>uurtarief49</vt:lpstr>
      <vt:lpstr>uurtarief5</vt:lpstr>
      <vt:lpstr>uurtarief50</vt:lpstr>
      <vt:lpstr>uurtarief51</vt:lpstr>
      <vt:lpstr>uurtarief52</vt:lpstr>
      <vt:lpstr>uurtarief53</vt:lpstr>
      <vt:lpstr>uurtarief54</vt:lpstr>
      <vt:lpstr>uurtarief55</vt:lpstr>
      <vt:lpstr>uurtarief56</vt:lpstr>
      <vt:lpstr>uurtarief57</vt:lpstr>
      <vt:lpstr>uurtarief58</vt:lpstr>
      <vt:lpstr>uurtarief59</vt:lpstr>
      <vt:lpstr>uurtarief6</vt:lpstr>
      <vt:lpstr>uurtarief60</vt:lpstr>
      <vt:lpstr>uurtarief61</vt:lpstr>
      <vt:lpstr>uurtarief62</vt:lpstr>
      <vt:lpstr>uurtarief63</vt:lpstr>
      <vt:lpstr>uurtarief64</vt:lpstr>
      <vt:lpstr>uurtarief7</vt:lpstr>
      <vt:lpstr>uurtarief8</vt:lpstr>
      <vt:lpstr>uurtarief9</vt:lpstr>
      <vt:lpstr>vp_additioneel</vt:lpstr>
      <vt:lpstr>vp_glas</vt:lpstr>
      <vt:lpstr>vp_regie</vt:lpstr>
      <vt:lpstr>vp_variant</vt:lpstr>
      <vt:lpstr>vu_variant</vt:lpstr>
      <vt:lpstr>wib_regulier</vt:lpstr>
      <vt:lpstr>wib_variant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Jarne van Schaik</dc:creator>
  <cp:lastModifiedBy>Jarne van Schaik</cp:lastModifiedBy>
  <dcterms:created xsi:type="dcterms:W3CDTF">2026-04-22T09:30:36Z</dcterms:created>
  <dcterms:modified xsi:type="dcterms:W3CDTF">2026-04-22T09:36:36Z</dcterms:modified>
</cp:coreProperties>
</file>