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https://corphhnk.sharepoint.com/sites/01265/Gedeelde documenten/General/Werkmappen/Ernst Schilpzand/01 - Projecten/15 - AM/PV installatie Den Helder/"/>
    </mc:Choice>
  </mc:AlternateContent>
  <xr:revisionPtr revIDLastSave="14" documentId="8_{7BB6ED7D-4812-4F5F-8E76-F0E5D7FC5372}" xr6:coauthVersionLast="47" xr6:coauthVersionMax="47" xr10:uidLastSave="{B2022B3D-473A-470A-8FAE-CD4507B929F6}"/>
  <bookViews>
    <workbookView xWindow="-108" yWindow="-108" windowWidth="23256" windowHeight="13896" xr2:uid="{00000000-000D-0000-FFFF-FFFF00000000}"/>
  </bookViews>
  <sheets>
    <sheet name="1" sheetId="1" r:id="rId1"/>
    <sheet name="2" sheetId="7" r:id="rId2"/>
    <sheet name="3" sheetId="2" r:id="rId3"/>
    <sheet name="4" sheetId="4" r:id="rId4"/>
  </sheets>
  <definedNames>
    <definedName name="_xlnm.Print_Area" localSheetId="1">'2'!$A$1:$R$61</definedName>
    <definedName name="_xlnm.Print_Area" localSheetId="2">'3'!$A$1:$S$22</definedName>
    <definedName name="_xlnm.Print_Area" localSheetId="3">'4'!$B$1:$U$56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62" i="7" l="1"/>
  <c r="P62" i="7"/>
  <c r="O62" i="7"/>
  <c r="N62" i="7"/>
  <c r="M62" i="7"/>
  <c r="L62" i="7"/>
  <c r="K62" i="7"/>
  <c r="J62" i="7"/>
  <c r="I62" i="7"/>
  <c r="H62" i="7"/>
  <c r="G62" i="7"/>
  <c r="F62" i="7"/>
  <c r="E62" i="7"/>
  <c r="D62" i="7"/>
  <c r="C62" i="7"/>
  <c r="Q57" i="7"/>
  <c r="P57" i="7"/>
  <c r="O57" i="7"/>
  <c r="N57" i="7"/>
  <c r="M57" i="7"/>
  <c r="L57" i="7"/>
  <c r="K57" i="7"/>
  <c r="J57" i="7"/>
  <c r="I57" i="7"/>
  <c r="H57" i="7"/>
  <c r="G57" i="7"/>
  <c r="F57" i="7"/>
  <c r="E57" i="7"/>
  <c r="D57" i="7"/>
  <c r="C57" i="7"/>
  <c r="Q52" i="7"/>
  <c r="P52" i="7"/>
  <c r="O52" i="7"/>
  <c r="N52" i="7"/>
  <c r="M52" i="7"/>
  <c r="L52" i="7"/>
  <c r="K52" i="7"/>
  <c r="J52" i="7"/>
  <c r="I52" i="7"/>
  <c r="H52" i="7"/>
  <c r="G52" i="7"/>
  <c r="F52" i="7"/>
  <c r="E52" i="7"/>
  <c r="D52" i="7"/>
  <c r="C52" i="7"/>
  <c r="Q47" i="7"/>
  <c r="P47" i="7"/>
  <c r="O47" i="7"/>
  <c r="N47" i="7"/>
  <c r="M47" i="7"/>
  <c r="L47" i="7"/>
  <c r="K47" i="7"/>
  <c r="J47" i="7"/>
  <c r="I47" i="7"/>
  <c r="H47" i="7"/>
  <c r="G47" i="7"/>
  <c r="F47" i="7"/>
  <c r="E47" i="7"/>
  <c r="D47" i="7"/>
  <c r="C47" i="7"/>
  <c r="Q42" i="7"/>
  <c r="P42" i="7"/>
  <c r="O42" i="7"/>
  <c r="N42" i="7"/>
  <c r="M42" i="7"/>
  <c r="L42" i="7"/>
  <c r="K42" i="7"/>
  <c r="J42" i="7"/>
  <c r="I42" i="7"/>
  <c r="H42" i="7"/>
  <c r="G42" i="7"/>
  <c r="F42" i="7"/>
  <c r="E42" i="7"/>
  <c r="D42" i="7"/>
  <c r="C42" i="7"/>
  <c r="Q37" i="7"/>
  <c r="P37" i="7"/>
  <c r="O37" i="7"/>
  <c r="N37" i="7"/>
  <c r="M37" i="7"/>
  <c r="L37" i="7"/>
  <c r="K37" i="7"/>
  <c r="J37" i="7"/>
  <c r="I37" i="7"/>
  <c r="H37" i="7"/>
  <c r="G37" i="7"/>
  <c r="F37" i="7"/>
  <c r="E37" i="7"/>
  <c r="D37" i="7"/>
  <c r="C37" i="7"/>
  <c r="C11" i="4"/>
  <c r="C10" i="4"/>
  <c r="C9" i="4"/>
  <c r="C11" i="2"/>
  <c r="C10" i="2"/>
  <c r="C9" i="2"/>
  <c r="C11" i="7" l="1"/>
  <c r="C8" i="7"/>
  <c r="C9" i="7"/>
  <c r="C10" i="7"/>
  <c r="I13" i="7"/>
  <c r="H13" i="7"/>
  <c r="G13" i="7"/>
  <c r="F13" i="7"/>
  <c r="E13" i="7"/>
  <c r="D13" i="7"/>
  <c r="C13" i="7"/>
  <c r="I26" i="7"/>
  <c r="C64" i="7" s="1"/>
  <c r="H26" i="7"/>
  <c r="C59" i="7" s="1"/>
  <c r="G26" i="7"/>
  <c r="C54" i="7" s="1"/>
  <c r="F26" i="7"/>
  <c r="C49" i="7" s="1"/>
  <c r="E26" i="7"/>
  <c r="C44" i="7" s="1"/>
  <c r="D26" i="7"/>
  <c r="C39" i="7" s="1"/>
  <c r="C26" i="7"/>
  <c r="C34" i="7" s="1"/>
  <c r="B61" i="7"/>
  <c r="B56" i="7"/>
  <c r="B51" i="7"/>
  <c r="B46" i="7"/>
  <c r="B41" i="7"/>
  <c r="B36" i="7"/>
  <c r="B31" i="7"/>
  <c r="C49" i="4"/>
  <c r="C37" i="1"/>
  <c r="E20" i="1"/>
  <c r="R23" i="1"/>
  <c r="D28" i="4"/>
  <c r="D29" i="4" s="1"/>
  <c r="E19" i="1"/>
  <c r="B20" i="2"/>
  <c r="C21" i="2" l="1"/>
  <c r="D21" i="2"/>
  <c r="C20" i="2"/>
  <c r="D64" i="7"/>
  <c r="D59" i="7"/>
  <c r="D54" i="7"/>
  <c r="D20" i="2" s="1"/>
  <c r="D49" i="7"/>
  <c r="D34" i="7"/>
  <c r="E34" i="7" s="1"/>
  <c r="F34" i="7" s="1"/>
  <c r="G34" i="7" s="1"/>
  <c r="H34" i="7" s="1"/>
  <c r="I34" i="7" s="1"/>
  <c r="J34" i="7" s="1"/>
  <c r="K34" i="7" s="1"/>
  <c r="L34" i="7" s="1"/>
  <c r="M34" i="7" s="1"/>
  <c r="D44" i="7"/>
  <c r="D39" i="7"/>
  <c r="E18" i="1"/>
  <c r="E19" i="2" l="1"/>
  <c r="D19" i="2"/>
  <c r="C19" i="2"/>
  <c r="E64" i="7"/>
  <c r="E59" i="7"/>
  <c r="E21" i="2" s="1"/>
  <c r="E54" i="7"/>
  <c r="E20" i="2" s="1"/>
  <c r="E49" i="7"/>
  <c r="N34" i="7"/>
  <c r="E44" i="7"/>
  <c r="E39" i="7"/>
  <c r="G19" i="1"/>
  <c r="S19" i="1" s="1"/>
  <c r="B17" i="2"/>
  <c r="B18" i="2"/>
  <c r="B19" i="2"/>
  <c r="B21" i="2"/>
  <c r="B22" i="2"/>
  <c r="B16" i="2"/>
  <c r="F64" i="7" l="1"/>
  <c r="F59" i="7"/>
  <c r="F21" i="2" s="1"/>
  <c r="F54" i="7"/>
  <c r="F20" i="2" s="1"/>
  <c r="F49" i="7"/>
  <c r="F19" i="2" s="1"/>
  <c r="O34" i="7"/>
  <c r="F44" i="7"/>
  <c r="F39" i="7"/>
  <c r="G64" i="7" l="1"/>
  <c r="G59" i="7"/>
  <c r="G21" i="2" s="1"/>
  <c r="G54" i="7"/>
  <c r="G20" i="2" s="1"/>
  <c r="G49" i="7"/>
  <c r="G19" i="2" s="1"/>
  <c r="P34" i="7"/>
  <c r="G44" i="7"/>
  <c r="G39" i="7"/>
  <c r="E17" i="1"/>
  <c r="T16" i="1"/>
  <c r="T21" i="1"/>
  <c r="T15" i="1"/>
  <c r="E18" i="2" l="1"/>
  <c r="F18" i="2"/>
  <c r="G18" i="2"/>
  <c r="D18" i="2"/>
  <c r="C18" i="2"/>
  <c r="H64" i="7"/>
  <c r="H59" i="7"/>
  <c r="H21" i="2" s="1"/>
  <c r="H54" i="7"/>
  <c r="H20" i="2" s="1"/>
  <c r="H49" i="7"/>
  <c r="H19" i="2" s="1"/>
  <c r="Q34" i="7"/>
  <c r="H44" i="7"/>
  <c r="H18" i="2" s="1"/>
  <c r="H39" i="7"/>
  <c r="G20" i="1"/>
  <c r="S20" i="1" s="1"/>
  <c r="G18" i="1"/>
  <c r="S18" i="1" s="1"/>
  <c r="G17" i="1"/>
  <c r="S17" i="1" s="1"/>
  <c r="F23" i="1"/>
  <c r="I64" i="7" l="1"/>
  <c r="I59" i="7"/>
  <c r="I21" i="2" s="1"/>
  <c r="I54" i="7"/>
  <c r="I20" i="2" s="1"/>
  <c r="I49" i="7"/>
  <c r="I19" i="2" s="1"/>
  <c r="I44" i="7"/>
  <c r="I18" i="2" s="1"/>
  <c r="I39" i="7"/>
  <c r="J64" i="7" l="1"/>
  <c r="J59" i="7"/>
  <c r="J21" i="2" s="1"/>
  <c r="J54" i="7"/>
  <c r="J20" i="2" s="1"/>
  <c r="J49" i="7"/>
  <c r="J19" i="2" s="1"/>
  <c r="J44" i="7"/>
  <c r="J18" i="2" s="1"/>
  <c r="J39" i="7"/>
  <c r="K64" i="7" l="1"/>
  <c r="K59" i="7"/>
  <c r="K21" i="2" s="1"/>
  <c r="K54" i="7"/>
  <c r="K20" i="2" s="1"/>
  <c r="K49" i="7"/>
  <c r="K19" i="2" s="1"/>
  <c r="K44" i="7"/>
  <c r="K18" i="2" s="1"/>
  <c r="K39" i="7"/>
  <c r="L64" i="7" l="1"/>
  <c r="L59" i="7"/>
  <c r="L21" i="2" s="1"/>
  <c r="L54" i="7"/>
  <c r="L20" i="2" s="1"/>
  <c r="L49" i="7"/>
  <c r="L19" i="2" s="1"/>
  <c r="L44" i="7"/>
  <c r="L18" i="2" s="1"/>
  <c r="L39" i="7"/>
  <c r="E15" i="1"/>
  <c r="O16" i="2" l="1"/>
  <c r="N16" i="2"/>
  <c r="M16" i="2"/>
  <c r="H16" i="2"/>
  <c r="L16" i="2"/>
  <c r="K16" i="2"/>
  <c r="E16" i="2"/>
  <c r="J16" i="2"/>
  <c r="I16" i="2"/>
  <c r="D16" i="2"/>
  <c r="C16" i="2"/>
  <c r="G16" i="2"/>
  <c r="F16" i="2"/>
  <c r="Q16" i="2"/>
  <c r="P16" i="2"/>
  <c r="M64" i="7"/>
  <c r="M59" i="7"/>
  <c r="M21" i="2" s="1"/>
  <c r="M54" i="7"/>
  <c r="M20" i="2" s="1"/>
  <c r="M49" i="7"/>
  <c r="M19" i="2" s="1"/>
  <c r="M44" i="7"/>
  <c r="M18" i="2" s="1"/>
  <c r="M39" i="7"/>
  <c r="G15" i="1"/>
  <c r="S15" i="1" s="1"/>
  <c r="N64" i="7" l="1"/>
  <c r="N59" i="7"/>
  <c r="N21" i="2" s="1"/>
  <c r="N54" i="7"/>
  <c r="N20" i="2" s="1"/>
  <c r="N49" i="7"/>
  <c r="N19" i="2" s="1"/>
  <c r="N44" i="7"/>
  <c r="N18" i="2" s="1"/>
  <c r="N39" i="7"/>
  <c r="O64" i="7" l="1"/>
  <c r="O59" i="7"/>
  <c r="O21" i="2" s="1"/>
  <c r="O54" i="7"/>
  <c r="O20" i="2" s="1"/>
  <c r="O49" i="7"/>
  <c r="O19" i="2" s="1"/>
  <c r="O44" i="7"/>
  <c r="O18" i="2" s="1"/>
  <c r="O39" i="7"/>
  <c r="E16" i="1"/>
  <c r="O17" i="2" l="1"/>
  <c r="N17" i="2"/>
  <c r="K17" i="2"/>
  <c r="M17" i="2"/>
  <c r="L17" i="2"/>
  <c r="J17" i="2"/>
  <c r="H17" i="2"/>
  <c r="I17" i="2"/>
  <c r="E17" i="2"/>
  <c r="G17" i="2"/>
  <c r="F17" i="2"/>
  <c r="D17" i="2"/>
  <c r="C17" i="2"/>
  <c r="P17" i="2"/>
  <c r="P64" i="7"/>
  <c r="P59" i="7"/>
  <c r="P21" i="2" s="1"/>
  <c r="P54" i="7"/>
  <c r="P20" i="2" s="1"/>
  <c r="P49" i="7"/>
  <c r="P19" i="2" s="1"/>
  <c r="P44" i="7"/>
  <c r="P18" i="2" s="1"/>
  <c r="P39" i="7"/>
  <c r="G16" i="1"/>
  <c r="S16" i="1" s="1"/>
  <c r="Q64" i="7" l="1"/>
  <c r="Q59" i="7"/>
  <c r="Q21" i="2" s="1"/>
  <c r="Q54" i="7"/>
  <c r="Q20" i="2" s="1"/>
  <c r="Q49" i="7"/>
  <c r="Q19" i="2" s="1"/>
  <c r="Q44" i="7"/>
  <c r="Q18" i="2" s="1"/>
  <c r="Q39" i="7"/>
  <c r="Q17" i="2" s="1"/>
  <c r="R19" i="2" l="1"/>
  <c r="O18" i="1" s="1"/>
  <c r="R20" i="2"/>
  <c r="O19" i="1" s="1"/>
  <c r="R16" i="2" l="1"/>
  <c r="O15" i="1" s="1"/>
  <c r="P18" i="1"/>
  <c r="E21" i="1"/>
  <c r="D22" i="2" l="1"/>
  <c r="C22" i="2"/>
  <c r="M22" i="2"/>
  <c r="I22" i="2"/>
  <c r="Q22" i="2"/>
  <c r="P22" i="2"/>
  <c r="O22" i="2"/>
  <c r="N22" i="2"/>
  <c r="L22" i="2"/>
  <c r="K22" i="2"/>
  <c r="J22" i="2"/>
  <c r="H22" i="2"/>
  <c r="G22" i="2"/>
  <c r="F22" i="2"/>
  <c r="E22" i="2"/>
  <c r="G21" i="1"/>
  <c r="S21" i="1" s="1"/>
  <c r="R21" i="2" l="1"/>
  <c r="O20" i="1" s="1"/>
  <c r="R22" i="2"/>
  <c r="O21" i="1" s="1"/>
  <c r="C23" i="1"/>
  <c r="P21" i="1" l="1"/>
  <c r="P20" i="1"/>
  <c r="P19" i="1"/>
  <c r="E23" i="1"/>
  <c r="R17" i="2" l="1"/>
  <c r="O16" i="1" s="1"/>
  <c r="R18" i="2"/>
  <c r="O17" i="1" s="1"/>
  <c r="O23" i="1" l="1"/>
  <c r="P16" i="1"/>
  <c r="P15" i="1"/>
  <c r="C27" i="1" l="1"/>
  <c r="D22" i="4" s="1"/>
  <c r="P17" i="1"/>
  <c r="F26" i="4" l="1"/>
  <c r="F31" i="4" s="1"/>
  <c r="F33" i="4" s="1"/>
  <c r="F35" i="4" s="1"/>
  <c r="C29" i="1" s="1"/>
  <c r="D26" i="4"/>
  <c r="D31" i="4" s="1"/>
  <c r="D33" i="4" s="1"/>
  <c r="D35" i="4" s="1"/>
</calcChain>
</file>

<file path=xl/sharedStrings.xml><?xml version="1.0" encoding="utf-8"?>
<sst xmlns="http://schemas.openxmlformats.org/spreadsheetml/2006/main" count="272" uniqueCount="158">
  <si>
    <t>BIJLAGE 2: STAAT VAN ONTLEDING INSCHRIJVINGSSOM</t>
  </si>
  <si>
    <t>EUROPESE OPENBARE AANBESTEDING LEVERING EN PLAATSING PV-INSTALLATIES</t>
  </si>
  <si>
    <t>TERREINEN VOORMALIG BAGGERDEPOT OOSTOEVER, BALGZAND, RWZI DEN HELDER</t>
  </si>
  <si>
    <t>Tabblad:</t>
  </si>
  <si>
    <t>Onderwerp:</t>
  </si>
  <si>
    <t xml:space="preserve">Tarievenblad </t>
  </si>
  <si>
    <t>Status:</t>
  </si>
  <si>
    <t>Concept</t>
  </si>
  <si>
    <t>Versie:</t>
  </si>
  <si>
    <t>Datum:</t>
  </si>
  <si>
    <t>Inschrijver:</t>
  </si>
  <si>
    <t>Locatie</t>
  </si>
  <si>
    <t>Input ten behoeve van berekening minimum opbrengstgarantie</t>
  </si>
  <si>
    <t>Prijs investering</t>
  </si>
  <si>
    <t>(1)
Aantal pv-panelen</t>
  </si>
  <si>
    <t>(5)
Totaal te plaatsen vermogen &gt;= Min. gevraagde totaal vermogen?</t>
  </si>
  <si>
    <t>(6)
Oriëntatie panelen</t>
  </si>
  <si>
    <r>
      <t>(7)
Helling [</t>
    </r>
    <r>
      <rPr>
        <b/>
        <sz val="9"/>
        <color theme="1"/>
        <rFont val="Roboto Slab"/>
      </rPr>
      <t>°]</t>
    </r>
  </si>
  <si>
    <t>(8)
Instraling plat vlak op locatie [kWh/m2/jr]</t>
  </si>
  <si>
    <t>(9)
Instraling paneelvlak helling graden en azimut  [kWh/m2/jr]</t>
  </si>
  <si>
    <t>(11)
Verwachte opbrengst-garantie per jaar gemiddeld 
[kWh]</t>
  </si>
  <si>
    <t>(12)
Verwachte opbrengst-garantie over 15 jaar
[kWh]</t>
  </si>
  <si>
    <t>(13)
Aangeboden opbrengst-garantie over 15 jaar
(tabblad 2 + 3)
[kWh]</t>
  </si>
  <si>
    <t>(14)
Aangeboden opbrengst-garantie &gt;= verwachte opbrengst-garantie?</t>
  </si>
  <si>
    <t>(15)
Investering 
excl. BTW 
[€]</t>
  </si>
  <si>
    <t>PV Oostoever 1 (VD-7)</t>
  </si>
  <si>
    <t>Zuid</t>
  </si>
  <si>
    <t>PV Oostoever 2 (VD-8)</t>
  </si>
  <si>
    <t>PV rwzi Den Helder (VD-3)</t>
  </si>
  <si>
    <t>Oost/West</t>
  </si>
  <si>
    <t>PV Balgzand 1 (VD-4)</t>
  </si>
  <si>
    <t>PV Balgzand 3 (VD-9)</t>
  </si>
  <si>
    <t>Totaal</t>
  </si>
  <si>
    <t>€/MWh (totaal over 15 jaar)</t>
  </si>
  <si>
    <t>Punten</t>
  </si>
  <si>
    <t>Toelichting</t>
  </si>
  <si>
    <t>Berekende waarde</t>
  </si>
  <si>
    <t>Nee</t>
  </si>
  <si>
    <t>Ja</t>
  </si>
  <si>
    <t>Dit is de door u aangeboden €/Mwh over 15 jaar, wordt automatisch berekend als alle tabbladen zijn ingevuld.</t>
  </si>
  <si>
    <t>Dit is de aanneemsom voor levering en realisatie van de PV-installaties en moet gelijk zijn aan de inschrijvingssom die op het inschrijvingsbiljet wordt ingevuld.</t>
  </si>
  <si>
    <t>(1)</t>
  </si>
  <si>
    <t>Aantal pv-panelen door ON op een locatie te plaatsen.</t>
  </si>
  <si>
    <t>(2)</t>
  </si>
  <si>
    <t>Het vermogen per paneel in Wp.</t>
  </si>
  <si>
    <t>(3)</t>
  </si>
  <si>
    <t>Het totaal vermogen wat ON gaat plaatsen.</t>
  </si>
  <si>
    <t>(4)</t>
  </si>
  <si>
    <t>(5)</t>
  </si>
  <si>
    <r>
      <t xml:space="preserve">Is het totaal te plaatsen vermogen groter dan of gelijk aan het minimaal totaal gevraagde vermogen? In de cel verschijnt "Ja" en de cel kleurt </t>
    </r>
    <r>
      <rPr>
        <sz val="9"/>
        <color rgb="FF92D050"/>
        <rFont val="Verdana"/>
        <family val="2"/>
      </rPr>
      <t>groen.</t>
    </r>
    <r>
      <rPr>
        <sz val="9"/>
        <color theme="1"/>
        <rFont val="Verdana"/>
        <family val="2"/>
      </rPr>
      <t xml:space="preserve"> </t>
    </r>
  </si>
  <si>
    <r>
      <t xml:space="preserve">Is het totaal te plaatsen vermogen kleiner dan het mimimaal totaal gevraagde vermogen? In de cel verschijnt "Nee" en de cel kleurt </t>
    </r>
    <r>
      <rPr>
        <sz val="9"/>
        <color rgb="FFFF0000"/>
        <rFont val="Verdana"/>
        <family val="2"/>
      </rPr>
      <t>rood.</t>
    </r>
    <r>
      <rPr>
        <sz val="9"/>
        <color theme="1"/>
        <rFont val="Verdana"/>
        <family val="2"/>
      </rPr>
      <t xml:space="preserve"> </t>
    </r>
  </si>
  <si>
    <t>(6)</t>
  </si>
  <si>
    <t>(7)</t>
  </si>
  <si>
    <t>De hellingshoek 10 graden (RWZI Den Helder) en de hellingshoek 38 graden (Oostoever en Balgzandkanaal) is voorgeschreven.</t>
  </si>
  <si>
    <t>(8)</t>
  </si>
  <si>
    <t>Instraling per locatie (horizontaal vlak).</t>
  </si>
  <si>
    <t>(9)</t>
  </si>
  <si>
    <t>Instraling per locatie, gecorrigeerd voor opstelling en hellingshoek.</t>
  </si>
  <si>
    <t>(10)</t>
  </si>
  <si>
    <t>Dit is de kWh/kWp opbrengst voor jaar 1 die OG verwacht bij normale instraling.</t>
  </si>
  <si>
    <t>(11)</t>
  </si>
  <si>
    <t>De minimale opbrengstgarantie in kWh die OG per jaar van ON verwacht.</t>
  </si>
  <si>
    <t>(12)</t>
  </si>
  <si>
    <t>De minimale opbrengstgarantie in kWh die OG van ON verwacht over een periode van 15 jaar.</t>
  </si>
  <si>
    <t>(13)</t>
  </si>
  <si>
    <t>De opbrengstgarantie van ON over 15 jaar, hiervoor moeten tabblad 2 en 3 ingevuld worden.</t>
  </si>
  <si>
    <t>(14)</t>
  </si>
  <si>
    <r>
      <t xml:space="preserve">Is de aangeboden opbrengstgarantie groter dan of gelijk aan de verwachte opbrengstgarantie? In de cel verschijnt "Ja" en de cel kleurt </t>
    </r>
    <r>
      <rPr>
        <sz val="9"/>
        <color rgb="FF92D050"/>
        <rFont val="Verdana"/>
        <family val="2"/>
      </rPr>
      <t>groen</t>
    </r>
    <r>
      <rPr>
        <sz val="9"/>
        <color theme="1"/>
        <rFont val="Verdana"/>
        <family val="2"/>
      </rPr>
      <t>.</t>
    </r>
  </si>
  <si>
    <r>
      <t xml:space="preserve">Is de aangeboden opbrengstgarantie lager de verwachte opbrengstgarantie? In de cel verschijnt "Nee" en de cel kleurt </t>
    </r>
    <r>
      <rPr>
        <sz val="9"/>
        <color rgb="FFFF0000"/>
        <rFont val="Verdana"/>
        <family val="2"/>
      </rPr>
      <t>rood</t>
    </r>
    <r>
      <rPr>
        <sz val="9"/>
        <color theme="1"/>
        <rFont val="Verdana"/>
        <family val="2"/>
      </rPr>
      <t>.</t>
    </r>
  </si>
  <si>
    <t>(15)</t>
  </si>
  <si>
    <t>Aanneemsom voor levering en realisatie van de pv-installaties.</t>
  </si>
  <si>
    <t>Invulblad technische eigenschappen pv-systeem</t>
  </si>
  <si>
    <t>Reflectiefactor (1)</t>
  </si>
  <si>
    <t>Reductie mismatch (2)</t>
  </si>
  <si>
    <t>Reductie lage lichtintensiteit (3)</t>
  </si>
  <si>
    <t>Reductie verhoogde (NOTC) temperatuur (4)</t>
  </si>
  <si>
    <t>Reductie vervuiling (5)</t>
  </si>
  <si>
    <t>Reductie beschaduwing (6)</t>
  </si>
  <si>
    <t>DC-kabelverliezen (7)</t>
  </si>
  <si>
    <t>MPP verliezen (8)</t>
  </si>
  <si>
    <t>Inverterverliezen (9)</t>
  </si>
  <si>
    <t>AC-kabelverliezen (10)</t>
  </si>
  <si>
    <t>De blauwe cellen moeten ingevuld worden.</t>
  </si>
  <si>
    <t>% verlies aan licht door reflectie op de panelen</t>
  </si>
  <si>
    <t>% verlies door verschillen tussen gekoppelde panelen</t>
  </si>
  <si>
    <t>% verlies aan opbrengst doordat het systeem bij lage lichtintensiteit niet opwekt</t>
  </si>
  <si>
    <t>% verlies door temperatuurstijging van de panelen</t>
  </si>
  <si>
    <t>% verlies door beschaduwing</t>
  </si>
  <si>
    <t>Rekenblad opbrengstgarantie over 15 jaar</t>
  </si>
  <si>
    <t xml:space="preserve">Opbrengstgarantie over 15 jaar </t>
  </si>
  <si>
    <t>Productie - Jaar 1</t>
  </si>
  <si>
    <t>Productie - Jaar 2</t>
  </si>
  <si>
    <t>Productie - Jaar 3</t>
  </si>
  <si>
    <t>Productie - Jaar 4</t>
  </si>
  <si>
    <t>Productie - Jaar 5</t>
  </si>
  <si>
    <t>Productie - Jaar 6</t>
  </si>
  <si>
    <t>Productie - Jaar 7</t>
  </si>
  <si>
    <t>Productie - Jaar 8</t>
  </si>
  <si>
    <t>Productie - Jaar 9</t>
  </si>
  <si>
    <t>Productie - Jaar 10</t>
  </si>
  <si>
    <t>Productie - Jaar 11</t>
  </si>
  <si>
    <t>Productie - Jaar 12</t>
  </si>
  <si>
    <t>Productie - Jaar 13</t>
  </si>
  <si>
    <t>Productie - Jaar 14</t>
  </si>
  <si>
    <t>Productie - Jaar 15</t>
  </si>
  <si>
    <t>Totaal 
Jaar 1 t/m 15</t>
  </si>
  <si>
    <t>[kWh]</t>
  </si>
  <si>
    <t>West</t>
  </si>
  <si>
    <t>PV Balgzand 2 (VD-5), West</t>
  </si>
  <si>
    <t>PV Balgzand 2 (VD-5), Zuid</t>
  </si>
  <si>
    <t>x</t>
  </si>
  <si>
    <t>xcalc</t>
  </si>
  <si>
    <t>X-as</t>
  </si>
  <si>
    <t>Y-as</t>
  </si>
  <si>
    <t>Limiet</t>
  </si>
  <si>
    <r>
      <t>P</t>
    </r>
    <r>
      <rPr>
        <b/>
        <vertAlign val="subscript"/>
        <sz val="8"/>
        <color theme="1"/>
        <rFont val="Verdana"/>
        <family val="2"/>
      </rPr>
      <t xml:space="preserve">1 </t>
    </r>
    <r>
      <rPr>
        <b/>
        <sz val="8"/>
        <color theme="1"/>
        <rFont val="Verdana"/>
        <family val="2"/>
      </rPr>
      <t>(X</t>
    </r>
    <r>
      <rPr>
        <b/>
        <vertAlign val="subscript"/>
        <sz val="8"/>
        <color theme="1"/>
        <rFont val="Verdana"/>
        <family val="2"/>
      </rPr>
      <t>1</t>
    </r>
    <r>
      <rPr>
        <b/>
        <sz val="8"/>
        <color theme="1"/>
        <rFont val="Verdana"/>
        <family val="2"/>
      </rPr>
      <t>,Y</t>
    </r>
    <r>
      <rPr>
        <b/>
        <vertAlign val="subscript"/>
        <sz val="8"/>
        <color theme="1"/>
        <rFont val="Verdana"/>
        <family val="2"/>
      </rPr>
      <t>1</t>
    </r>
    <r>
      <rPr>
        <b/>
        <sz val="8"/>
        <color theme="1"/>
        <rFont val="Verdana"/>
        <family val="2"/>
      </rPr>
      <t>)=</t>
    </r>
  </si>
  <si>
    <r>
      <t>P</t>
    </r>
    <r>
      <rPr>
        <b/>
        <vertAlign val="subscript"/>
        <sz val="8"/>
        <color theme="1"/>
        <rFont val="Verdana"/>
        <family val="2"/>
      </rPr>
      <t xml:space="preserve">2 </t>
    </r>
    <r>
      <rPr>
        <b/>
        <sz val="8"/>
        <color theme="1"/>
        <rFont val="Verdana"/>
        <family val="2"/>
      </rPr>
      <t>(X</t>
    </r>
    <r>
      <rPr>
        <b/>
        <vertAlign val="subscript"/>
        <sz val="8"/>
        <color theme="1"/>
        <rFont val="Verdana"/>
        <family val="2"/>
      </rPr>
      <t>2</t>
    </r>
    <r>
      <rPr>
        <b/>
        <sz val="8"/>
        <color theme="1"/>
        <rFont val="Verdana"/>
        <family val="2"/>
      </rPr>
      <t>,Y</t>
    </r>
    <r>
      <rPr>
        <b/>
        <vertAlign val="subscript"/>
        <sz val="8"/>
        <color theme="1"/>
        <rFont val="Verdana"/>
        <family val="2"/>
      </rPr>
      <t>2</t>
    </r>
    <r>
      <rPr>
        <b/>
        <sz val="8"/>
        <color theme="1"/>
        <rFont val="Verdana"/>
        <family val="2"/>
      </rPr>
      <t>)=</t>
    </r>
  </si>
  <si>
    <t>testwaarde</t>
  </si>
  <si>
    <t>Grenswaarden beoordelingsformule</t>
  </si>
  <si>
    <t>/MWh</t>
  </si>
  <si>
    <t>b</t>
  </si>
  <si>
    <t>a=RC</t>
  </si>
  <si>
    <t>Y = a * X + b</t>
  </si>
  <si>
    <t xml:space="preserve">(2)
Vermogen per 
pv-paneel 
[Wp, STC]
</t>
  </si>
  <si>
    <t>(3)
Vermogen installatie [Wp, STC]</t>
  </si>
  <si>
    <t>(4)
Minimaal gevraagde totaal vermogen,  
[Wp, STC]</t>
  </si>
  <si>
    <t>De blauwe cellen zijn verplicht in te vullen velden door ON (OpdrachtNemer).</t>
  </si>
  <si>
    <t>Berekende waarden.</t>
  </si>
  <si>
    <t>Ziet u een rode cel? Uw aanbod voldoet niet aan de minimumeisen en wordt terzijde gelegd.</t>
  </si>
  <si>
    <t>Ziet u een groene cel? Uw aanbod voldoet aan de mimimum eisen en wordt beoordeeld.</t>
  </si>
  <si>
    <t>Dit is het minimaal totaal te plaatsen vermogen waarvoor OG een SDE+ subsidie heeft aangevraagd.</t>
  </si>
  <si>
    <t xml:space="preserve">De oriëntatie Oost/West (RWZI Den Helder) en Zuid (Oostoever en Balgzandkanaal) is voorgeschreven. Klein aantal PV-panelen krijgen oriëntatie West (Balgzandkanaal). </t>
  </si>
  <si>
    <t xml:space="preserve">Daarbij gaat OG uit van een garantie op de kWh/kWp-verwachting van 95% en een jaarlijkse vermogensdegradatie van voor een kunststof glasloos paneel. </t>
  </si>
  <si>
    <t xml:space="preserve"> Dit is een cel met berekende waarde (tussen) voor het punten systeem.</t>
  </si>
  <si>
    <t xml:space="preserve"> Dit is de door u aangeboden €/Mwh over 15 jaar, wordt automatisch berekend als alle tabbladen zijn ingevuld.</t>
  </si>
  <si>
    <t xml:space="preserve"> Dit zijn door OG in te stellen invoervelden met normwaarden.</t>
  </si>
  <si>
    <t xml:space="preserve"> OG = OpdrachtGever</t>
  </si>
  <si>
    <t xml:space="preserve"> ON = OpdrachtNemer</t>
  </si>
  <si>
    <t>% verlies door vervuiling van de panelen</t>
  </si>
  <si>
    <t>Rekenblad punten.</t>
  </si>
  <si>
    <t>Overige verliezen (11)</t>
  </si>
  <si>
    <t xml:space="preserve">PV-systeem rendement </t>
  </si>
  <si>
    <t>[%]</t>
  </si>
  <si>
    <t>Totaal Rendement</t>
  </si>
  <si>
    <t>% verliezen door niet-optimaal power point tracking</t>
  </si>
  <si>
    <t>% verliezen in de PV-omvormers</t>
  </si>
  <si>
    <t>% verliezen in de AC-bekabeling</t>
  </si>
  <si>
    <t>% verliezen in de gelijkspanningskabels (DC)</t>
  </si>
  <si>
    <t>% overige gesommeerde verliezen in PV-systeem, die niet zijn benoemd bij (1) t/m (10)</t>
  </si>
  <si>
    <t>PV-modulen degeneratie percentage per jaar (13)</t>
  </si>
  <si>
    <t xml:space="preserve">Gegarandeerde Performance Ratio per jaar (14) </t>
  </si>
  <si>
    <t>Totaal PV-systeem rendement (12)</t>
  </si>
  <si>
    <t>% het totale PV-systeem rendement is berekend uit alle bovenstaande (technische) verliezen, uitgezonderd de degeneratie van de PV-modulen</t>
  </si>
  <si>
    <t>% de Performance Ratio (PR) door inschrijver per jaar gegarandeerd (werken cumulatief door), in te vullen voor 1e tot 15e jaar.</t>
  </si>
  <si>
    <t>% degeneratie van PV-modulen in percentage per jaar  (werken cumulatief door), de ingevoerde waarden voor het eerste PV-systeem gelden voor alle overige PV-systemen</t>
  </si>
  <si>
    <t xml:space="preserve">(10)
Verwachte kWh/kWp in jaar 1
[kWh/kWp/jr]
</t>
  </si>
  <si>
    <t>Naam inschrijver</t>
  </si>
  <si>
    <t>0.7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</si>
</sst>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 &quot;€&quot;\ * #,##0.00_ ;_ &quot;€&quot;\ * \-#,##0.00_ ;_ &quot;€&quot;\ * &quot;-&quot;??_ ;_ @_ "/>
    <numFmt numFmtId="164" formatCode="[$-413]d\ mmmm\ yyyy;@"/>
    <numFmt numFmtId="165" formatCode="#,##0.0000"/>
    <numFmt numFmtId="166" formatCode="#,##0.000000_ ;\-#,##0.000000\ "/>
    <numFmt numFmtId="167" formatCode="#,##0.0000_ ;\-#,##0.0000\ "/>
    <numFmt numFmtId="168" formatCode="&quot;€&quot;\ #,##0"/>
  </numFmts>
  <fonts count="16" x14ac:knownFonts="1">
    <font>
      <sz val="9"/>
      <color theme="1"/>
      <name val="Verdana"/>
      <family val="2"/>
    </font>
    <font>
      <b/>
      <sz val="9"/>
      <color theme="1"/>
      <name val="Verdana"/>
      <family val="2"/>
    </font>
    <font>
      <sz val="9"/>
      <color theme="0"/>
      <name val="Verdana"/>
      <family val="2"/>
    </font>
    <font>
      <b/>
      <sz val="11"/>
      <color theme="1"/>
      <name val="Verdana"/>
      <family val="2"/>
    </font>
    <font>
      <b/>
      <sz val="9"/>
      <color theme="1"/>
      <name val="Roboto Slab"/>
    </font>
    <font>
      <sz val="9"/>
      <color rgb="FFFF0000"/>
      <name val="Verdana"/>
      <family val="2"/>
    </font>
    <font>
      <sz val="9"/>
      <color rgb="FF92D050"/>
      <name val="Verdana"/>
      <family val="2"/>
    </font>
    <font>
      <sz val="9"/>
      <color rgb="FF3F3F76"/>
      <name val="Verdana"/>
      <family val="2"/>
    </font>
    <font>
      <b/>
      <sz val="9"/>
      <color rgb="FFFA7D00"/>
      <name val="Verdana"/>
      <family val="2"/>
    </font>
    <font>
      <b/>
      <sz val="9"/>
      <color theme="0"/>
      <name val="Verdana"/>
      <family val="2"/>
    </font>
    <font>
      <b/>
      <sz val="9"/>
      <color rgb="FFFF0000"/>
      <name val="Verdana"/>
      <family val="2"/>
    </font>
    <font>
      <b/>
      <sz val="8"/>
      <color theme="1"/>
      <name val="Verdana"/>
      <family val="2"/>
    </font>
    <font>
      <b/>
      <vertAlign val="subscript"/>
      <sz val="8"/>
      <color theme="1"/>
      <name val="Verdana"/>
      <family val="2"/>
    </font>
    <font>
      <sz val="8"/>
      <color theme="1"/>
      <name val="Verdana"/>
      <family val="2"/>
    </font>
    <font>
      <sz val="8"/>
      <name val="Verdana"/>
      <family val="2"/>
    </font>
    <font>
      <sz val="9"/>
      <name val="Verdana"/>
      <family val="2"/>
    </font>
  </fonts>
  <fills count="1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C000"/>
        <bgColor indexed="64"/>
      </patternFill>
    </fill>
    <fill>
      <patternFill patternType="solid">
        <fgColor rgb="FFF2F2F2"/>
      </patternFill>
    </fill>
    <fill>
      <patternFill patternType="solid">
        <fgColor theme="4" tint="0.59996337778862885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DEEAF6"/>
        <bgColor rgb="FFDEEAF6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rgb="FFDEEAF6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">
    <xf numFmtId="0" fontId="0" fillId="0" borderId="0"/>
    <xf numFmtId="0" fontId="7" fillId="11" borderId="5" applyNumberFormat="0" applyAlignment="0" applyProtection="0"/>
    <xf numFmtId="0" fontId="8" fillId="10" borderId="5" applyNumberFormat="0" applyAlignment="0" applyProtection="0"/>
  </cellStyleXfs>
  <cellXfs count="87">
    <xf numFmtId="0" fontId="0" fillId="0" borderId="0" xfId="0"/>
    <xf numFmtId="0" fontId="0" fillId="2" borderId="0" xfId="0" applyFill="1"/>
    <xf numFmtId="0" fontId="1" fillId="2" borderId="0" xfId="0" applyFont="1" applyFill="1"/>
    <xf numFmtId="0" fontId="0" fillId="2" borderId="1" xfId="0" applyFill="1" applyBorder="1"/>
    <xf numFmtId="0" fontId="1" fillId="2" borderId="1" xfId="0" applyFont="1" applyFill="1" applyBorder="1" applyAlignment="1">
      <alignment wrapText="1"/>
    </xf>
    <xf numFmtId="3" fontId="0" fillId="2" borderId="1" xfId="0" applyNumberFormat="1" applyFill="1" applyBorder="1"/>
    <xf numFmtId="1" fontId="0" fillId="2" borderId="0" xfId="0" applyNumberFormat="1" applyFill="1"/>
    <xf numFmtId="0" fontId="1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1" fillId="7" borderId="1" xfId="0" applyFont="1" applyFill="1" applyBorder="1" applyAlignment="1">
      <alignment horizontal="center" vertical="center"/>
    </xf>
    <xf numFmtId="0" fontId="3" fillId="2" borderId="0" xfId="0" applyFont="1" applyFill="1"/>
    <xf numFmtId="3" fontId="0" fillId="2" borderId="0" xfId="0" applyNumberFormat="1" applyFill="1"/>
    <xf numFmtId="3" fontId="1" fillId="2" borderId="1" xfId="0" applyNumberFormat="1" applyFont="1" applyFill="1" applyBorder="1" applyAlignment="1">
      <alignment horizontal="center" vertical="center" wrapText="1"/>
    </xf>
    <xf numFmtId="1" fontId="1" fillId="2" borderId="0" xfId="0" applyNumberFormat="1" applyFont="1" applyFill="1" applyAlignment="1">
      <alignment horizontal="right"/>
    </xf>
    <xf numFmtId="3" fontId="1" fillId="2" borderId="1" xfId="0" applyNumberFormat="1" applyFont="1" applyFill="1" applyBorder="1" applyAlignment="1">
      <alignment horizontal="center" vertical="center" textRotation="90" wrapText="1"/>
    </xf>
    <xf numFmtId="0" fontId="1" fillId="2" borderId="0" xfId="0" applyFont="1" applyFill="1" applyAlignment="1">
      <alignment horizontal="right"/>
    </xf>
    <xf numFmtId="1" fontId="1" fillId="2" borderId="0" xfId="0" applyNumberFormat="1" applyFont="1" applyFill="1" applyAlignment="1">
      <alignment horizontal="left"/>
    </xf>
    <xf numFmtId="0" fontId="1" fillId="2" borderId="0" xfId="0" applyFont="1" applyFill="1" applyAlignment="1">
      <alignment horizontal="left"/>
    </xf>
    <xf numFmtId="3" fontId="1" fillId="2" borderId="0" xfId="0" applyNumberFormat="1" applyFont="1" applyFill="1" applyAlignment="1">
      <alignment horizontal="left"/>
    </xf>
    <xf numFmtId="3" fontId="1" fillId="2" borderId="1" xfId="0" applyNumberFormat="1" applyFont="1" applyFill="1" applyBorder="1" applyAlignment="1">
      <alignment horizontal="right"/>
    </xf>
    <xf numFmtId="3" fontId="0" fillId="4" borderId="1" xfId="0" applyNumberFormat="1" applyFill="1" applyBorder="1" applyAlignment="1" applyProtection="1">
      <alignment horizontal="center"/>
      <protection locked="0"/>
    </xf>
    <xf numFmtId="1" fontId="0" fillId="4" borderId="1" xfId="0" applyNumberFormat="1" applyFill="1" applyBorder="1" applyAlignment="1" applyProtection="1">
      <alignment horizontal="center"/>
      <protection locked="0"/>
    </xf>
    <xf numFmtId="0" fontId="0" fillId="3" borderId="1" xfId="0" applyFill="1" applyBorder="1"/>
    <xf numFmtId="0" fontId="0" fillId="9" borderId="1" xfId="0" applyFill="1" applyBorder="1"/>
    <xf numFmtId="4" fontId="0" fillId="2" borderId="0" xfId="0" applyNumberFormat="1" applyFill="1"/>
    <xf numFmtId="44" fontId="0" fillId="3" borderId="1" xfId="0" applyNumberFormat="1" applyFill="1" applyBorder="1"/>
    <xf numFmtId="167" fontId="0" fillId="9" borderId="1" xfId="0" applyNumberFormat="1" applyFill="1" applyBorder="1"/>
    <xf numFmtId="49" fontId="0" fillId="2" borderId="0" xfId="0" applyNumberFormat="1" applyFill="1"/>
    <xf numFmtId="167" fontId="0" fillId="14" borderId="1" xfId="0" applyNumberFormat="1" applyFill="1" applyBorder="1"/>
    <xf numFmtId="0" fontId="11" fillId="2" borderId="0" xfId="0" applyFont="1" applyFill="1"/>
    <xf numFmtId="0" fontId="13" fillId="2" borderId="0" xfId="0" applyFont="1" applyFill="1"/>
    <xf numFmtId="168" fontId="0" fillId="4" borderId="1" xfId="0" applyNumberFormat="1" applyFill="1" applyBorder="1" applyProtection="1">
      <protection locked="0"/>
    </xf>
    <xf numFmtId="0" fontId="0" fillId="15" borderId="1" xfId="0" applyFill="1" applyBorder="1"/>
    <xf numFmtId="0" fontId="0" fillId="15" borderId="1" xfId="0" applyFill="1" applyBorder="1" applyProtection="1">
      <protection locked="0"/>
    </xf>
    <xf numFmtId="0" fontId="0" fillId="16" borderId="1" xfId="0" applyFill="1" applyBorder="1" applyAlignment="1">
      <alignment horizontal="center"/>
    </xf>
    <xf numFmtId="10" fontId="0" fillId="4" borderId="1" xfId="0" applyNumberFormat="1" applyFill="1" applyBorder="1" applyAlignment="1" applyProtection="1">
      <alignment horizontal="center" wrapText="1"/>
      <protection locked="0"/>
    </xf>
    <xf numFmtId="3" fontId="1" fillId="2" borderId="0" xfId="0" applyNumberFormat="1" applyFont="1" applyFill="1"/>
    <xf numFmtId="164" fontId="1" fillId="2" borderId="0" xfId="0" quotePrefix="1" applyNumberFormat="1" applyFont="1" applyFill="1" applyAlignment="1">
      <alignment horizontal="left"/>
    </xf>
    <xf numFmtId="10" fontId="8" fillId="10" borderId="1" xfId="2" applyNumberFormat="1" applyBorder="1" applyProtection="1"/>
    <xf numFmtId="0" fontId="1" fillId="2" borderId="1" xfId="0" applyFont="1" applyFill="1" applyBorder="1"/>
    <xf numFmtId="0" fontId="0" fillId="2" borderId="1" xfId="0" applyFill="1" applyBorder="1" applyAlignment="1">
      <alignment wrapText="1"/>
    </xf>
    <xf numFmtId="0" fontId="5" fillId="14" borderId="1" xfId="0" applyFont="1" applyFill="1" applyBorder="1"/>
    <xf numFmtId="10" fontId="5" fillId="14" borderId="1" xfId="0" applyNumberFormat="1" applyFont="1" applyFill="1" applyBorder="1" applyAlignment="1">
      <alignment horizontal="center"/>
    </xf>
    <xf numFmtId="10" fontId="1" fillId="2" borderId="0" xfId="0" applyNumberFormat="1" applyFont="1" applyFill="1"/>
    <xf numFmtId="0" fontId="0" fillId="4" borderId="1" xfId="0" applyFill="1" applyBorder="1"/>
    <xf numFmtId="0" fontId="0" fillId="2" borderId="0" xfId="0" quotePrefix="1" applyFill="1" applyAlignment="1">
      <alignment horizontal="center"/>
    </xf>
    <xf numFmtId="0" fontId="0" fillId="8" borderId="0" xfId="0" applyFill="1"/>
    <xf numFmtId="10" fontId="2" fillId="2" borderId="0" xfId="0" applyNumberFormat="1" applyFont="1" applyFill="1"/>
    <xf numFmtId="10" fontId="0" fillId="13" borderId="1" xfId="0" applyNumberFormat="1" applyFill="1" applyBorder="1" applyProtection="1">
      <protection locked="0"/>
    </xf>
    <xf numFmtId="10" fontId="0" fillId="17" borderId="1" xfId="0" applyNumberFormat="1" applyFill="1" applyBorder="1"/>
    <xf numFmtId="10" fontId="0" fillId="14" borderId="1" xfId="0" applyNumberFormat="1" applyFill="1" applyBorder="1" applyAlignment="1">
      <alignment horizontal="center" wrapText="1"/>
    </xf>
    <xf numFmtId="0" fontId="1" fillId="7" borderId="1" xfId="0" applyFont="1" applyFill="1" applyBorder="1" applyAlignment="1">
      <alignment horizontal="left" vertical="top" wrapText="1"/>
    </xf>
    <xf numFmtId="0" fontId="1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2" borderId="0" xfId="0" applyFill="1" applyAlignment="1">
      <alignment wrapText="1"/>
    </xf>
    <xf numFmtId="3" fontId="0" fillId="2" borderId="0" xfId="0" applyNumberFormat="1" applyFill="1" applyAlignment="1">
      <alignment wrapText="1"/>
    </xf>
    <xf numFmtId="3" fontId="8" fillId="10" borderId="1" xfId="2" applyNumberFormat="1" applyBorder="1" applyAlignment="1" applyProtection="1">
      <alignment horizontal="right"/>
    </xf>
    <xf numFmtId="3" fontId="0" fillId="2" borderId="1" xfId="0" applyNumberFormat="1" applyFill="1" applyBorder="1" applyAlignment="1">
      <alignment horizontal="right"/>
    </xf>
    <xf numFmtId="3" fontId="0" fillId="2" borderId="1" xfId="0" applyNumberFormat="1" applyFill="1" applyBorder="1" applyAlignment="1">
      <alignment horizontal="center"/>
    </xf>
    <xf numFmtId="3" fontId="10" fillId="2" borderId="0" xfId="0" applyNumberFormat="1" applyFont="1" applyFill="1"/>
    <xf numFmtId="0" fontId="2" fillId="2" borderId="0" xfId="0" applyFont="1" applyFill="1"/>
    <xf numFmtId="168" fontId="0" fillId="2" borderId="0" xfId="0" applyNumberFormat="1" applyFill="1"/>
    <xf numFmtId="0" fontId="1" fillId="2" borderId="1" xfId="0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3" fontId="1" fillId="2" borderId="0" xfId="0" applyNumberFormat="1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168" fontId="9" fillId="12" borderId="1" xfId="0" applyNumberFormat="1" applyFont="1" applyFill="1" applyBorder="1" applyAlignment="1">
      <alignment horizontal="center" vertical="center"/>
    </xf>
    <xf numFmtId="3" fontId="0" fillId="2" borderId="0" xfId="0" applyNumberFormat="1" applyFill="1" applyAlignment="1">
      <alignment horizontal="center"/>
    </xf>
    <xf numFmtId="44" fontId="0" fillId="2" borderId="0" xfId="0" applyNumberFormat="1" applyFill="1"/>
    <xf numFmtId="165" fontId="13" fillId="2" borderId="0" xfId="0" applyNumberFormat="1" applyFont="1" applyFill="1"/>
    <xf numFmtId="166" fontId="0" fillId="2" borderId="0" xfId="0" applyNumberFormat="1" applyFill="1"/>
    <xf numFmtId="44" fontId="1" fillId="3" borderId="1" xfId="0" applyNumberFormat="1" applyFont="1" applyFill="1" applyBorder="1" applyAlignment="1">
      <alignment horizontal="center" vertical="center"/>
    </xf>
    <xf numFmtId="165" fontId="0" fillId="2" borderId="0" xfId="0" applyNumberFormat="1" applyFill="1"/>
    <xf numFmtId="3" fontId="1" fillId="9" borderId="1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3" fontId="8" fillId="10" borderId="5" xfId="2" applyNumberFormat="1" applyProtection="1"/>
    <xf numFmtId="0" fontId="0" fillId="6" borderId="1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12" borderId="1" xfId="0" applyFill="1" applyBorder="1"/>
    <xf numFmtId="0" fontId="1" fillId="7" borderId="2" xfId="0" applyFont="1" applyFill="1" applyBorder="1" applyAlignment="1">
      <alignment horizontal="center" vertical="center"/>
    </xf>
    <xf numFmtId="0" fontId="1" fillId="7" borderId="3" xfId="0" applyFont="1" applyFill="1" applyBorder="1" applyAlignment="1">
      <alignment horizontal="center" vertical="center"/>
    </xf>
    <xf numFmtId="0" fontId="1" fillId="7" borderId="4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49" fontId="1" fillId="2" borderId="0" xfId="0" quotePrefix="1" applyNumberFormat="1" applyFont="1" applyFill="1" applyAlignment="1">
      <alignment horizontal="left"/>
    </xf>
    <xf numFmtId="3" fontId="15" fillId="2" borderId="1" xfId="2" applyNumberFormat="1" applyFont="1" applyFill="1" applyBorder="1" applyAlignment="1" applyProtection="1">
      <alignment horizontal="right"/>
    </xf>
  </cellXfs>
  <cellStyles count="3">
    <cellStyle name="Berekening" xfId="2" builtinId="22"/>
    <cellStyle name="Invoer" xfId="1" builtinId="20" customBuiltin="1"/>
    <cellStyle name="Standaard" xfId="0" builtinId="0"/>
  </cellStyles>
  <dxfs count="8"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 patternType="none">
          <bgColor auto="1"/>
        </patternFill>
      </fill>
    </dxf>
    <dxf>
      <font>
        <color rgb="FFFFC000"/>
      </font>
    </dxf>
    <dxf>
      <font>
        <color rgb="FFFFFF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500" b="1" i="0" u="none" strike="noStrike" kern="1200" cap="all" spc="100" normalizeH="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r>
              <a:rPr lang="nl-NL" cap="none" baseline="0"/>
              <a:t>Beoordelingsformule (€/MWh)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>
        <c:manualLayout>
          <c:layoutTarget val="inner"/>
          <c:xMode val="edge"/>
          <c:yMode val="edge"/>
          <c:x val="0.10144461942257219"/>
          <c:y val="0.12315043445102794"/>
          <c:w val="0.84028808042113823"/>
          <c:h val="0.76061234153183654"/>
        </c:manualLayout>
      </c:layout>
      <c:scatterChart>
        <c:scatterStyle val="lineMarker"/>
        <c:varyColors val="0"/>
        <c:ser>
          <c:idx val="0"/>
          <c:order val="0"/>
          <c:tx>
            <c:v>Beoordelingsformule</c:v>
          </c:tx>
          <c:spPr>
            <a:ln w="25400" cap="rnd">
              <a:noFill/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circle"/>
            <c:size val="6"/>
            <c:spPr>
              <a:solidFill>
                <a:schemeClr val="accent1"/>
              </a:solidFill>
              <a:ln w="22225">
                <a:solidFill>
                  <a:schemeClr val="lt1"/>
                </a:solidFill>
                <a:round/>
              </a:ln>
              <a:effectLst/>
            </c:spPr>
          </c:marker>
          <c:trendline>
            <c:spPr>
              <a:ln w="28575" cap="rnd">
                <a:solidFill>
                  <a:schemeClr val="lt1">
                    <a:alpha val="50000"/>
                  </a:schemeClr>
                </a:solidFill>
                <a:round/>
              </a:ln>
              <a:effectLst/>
            </c:spPr>
            <c:trendlineType val="poly"/>
            <c:order val="2"/>
            <c:dispRSqr val="0"/>
            <c:dispEq val="1"/>
            <c:trendlineLbl>
              <c:layout>
                <c:manualLayout>
                  <c:x val="-0.34823261967202213"/>
                  <c:y val="-0.37416896482249334"/>
                </c:manualLayout>
              </c:layout>
              <c:numFmt formatCode="General" sourceLinked="0"/>
              <c:spPr>
                <a:solidFill>
                  <a:schemeClr val="bg1">
                    <a:lumMod val="75000"/>
                  </a:schemeClr>
                </a:solidFill>
                <a:ln>
                  <a:solidFill>
                    <a:sysClr val="windowText" lastClr="000000"/>
                  </a:solidFill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nl-NL"/>
                </a:p>
              </c:txPr>
            </c:trendlineLbl>
          </c:trendline>
          <c:xVal>
            <c:numRef>
              <c:f>'4'!$D$18:$D$19</c:f>
              <c:numCache>
                <c:formatCode>General</c:formatCode>
                <c:ptCount val="2"/>
                <c:pt idx="0">
                  <c:v>40</c:v>
                </c:pt>
                <c:pt idx="1">
                  <c:v>100</c:v>
                </c:pt>
              </c:numCache>
            </c:numRef>
          </c:xVal>
          <c:yVal>
            <c:numRef>
              <c:f>'4'!$E$18:$E$19</c:f>
              <c:numCache>
                <c:formatCode>General</c:formatCode>
                <c:ptCount val="2"/>
                <c:pt idx="0">
                  <c:v>60</c:v>
                </c:pt>
                <c:pt idx="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7F6-43F8-ABFE-F45A01A0AD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2437296"/>
        <c:axId val="432438080"/>
      </c:scatterChart>
      <c:valAx>
        <c:axId val="4324372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lt1">
                  <a:alpha val="2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l-NL"/>
                  <a:t>€/</a:t>
                </a:r>
                <a:r>
                  <a:rPr lang="nl-NL" sz="1200"/>
                  <a:t>MWh</a:t>
                </a:r>
                <a:r>
                  <a:rPr lang="nl-NL"/>
                  <a:t> over 15 jaar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nl-NL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432438080"/>
        <c:crossesAt val="0"/>
        <c:crossBetween val="midCat"/>
      </c:valAx>
      <c:valAx>
        <c:axId val="432438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alpha val="2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l-NL" sz="1200"/>
                  <a:t>Aantal punten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nl-NL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432437296"/>
        <c:crossesAt val="0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 baseline="0"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7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>
            <a:alpha val="25000"/>
          </a:schemeClr>
        </a:solidFill>
        <a:round/>
      </a:ln>
    </cs:spPr>
    <cs:defRPr sz="900" b="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gradFill>
          <a:gsLst>
            <a:gs pos="79000">
              <a:schemeClr val="phClr"/>
            </a:gs>
            <a:gs pos="0">
              <a:schemeClr val="lt1">
                <a:alpha val="6000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427893</xdr:colOff>
      <xdr:row>13</xdr:row>
      <xdr:rowOff>128953</xdr:rowOff>
    </xdr:from>
    <xdr:to>
      <xdr:col>16</xdr:col>
      <xdr:colOff>64477</xdr:colOff>
      <xdr:row>43</xdr:row>
      <xdr:rowOff>93785</xdr:rowOff>
    </xdr:to>
    <xdr:graphicFrame macro="">
      <xdr:nvGraphicFramePr>
        <xdr:cNvPr id="3" name="Grafiek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V57"/>
  <sheetViews>
    <sheetView tabSelected="1" zoomScaleNormal="100" workbookViewId="0">
      <selection activeCell="A4" sqref="A4"/>
    </sheetView>
  </sheetViews>
  <sheetFormatPr defaultColWidth="9" defaultRowHeight="11.4" x14ac:dyDescent="0.2"/>
  <cols>
    <col min="1" max="1" width="2.59765625" style="1" customWidth="1"/>
    <col min="2" max="2" width="25.09765625" style="1" customWidth="1"/>
    <col min="3" max="3" width="13.8984375" style="11" customWidth="1"/>
    <col min="4" max="4" width="11.19921875" style="1" customWidth="1"/>
    <col min="5" max="5" width="12.5" style="11" customWidth="1"/>
    <col min="6" max="7" width="11.3984375" style="11" customWidth="1"/>
    <col min="8" max="8" width="11.09765625" style="11" customWidth="1"/>
    <col min="9" max="9" width="9.19921875" style="11" customWidth="1"/>
    <col min="10" max="10" width="13.09765625" style="11" customWidth="1"/>
    <col min="11" max="11" width="13.3984375" style="11" customWidth="1"/>
    <col min="12" max="12" width="15.296875" style="11" customWidth="1"/>
    <col min="13" max="13" width="12.3984375" style="11" customWidth="1"/>
    <col min="14" max="14" width="13.09765625" style="11" customWidth="1"/>
    <col min="15" max="15" width="14.59765625" style="1" customWidth="1"/>
    <col min="16" max="16" width="13.5" style="1" customWidth="1"/>
    <col min="17" max="17" width="2.5" style="1" customWidth="1"/>
    <col min="18" max="18" width="16.8984375" style="1" customWidth="1"/>
    <col min="19" max="19" width="9" style="1" hidden="1" customWidth="1"/>
    <col min="20" max="20" width="9.8984375" style="11" bestFit="1" customWidth="1"/>
    <col min="21" max="21" width="9" style="1"/>
    <col min="22" max="22" width="9" style="11"/>
    <col min="23" max="16384" width="9" style="1"/>
  </cols>
  <sheetData>
    <row r="2" spans="2:22" ht="13.8" x14ac:dyDescent="0.25">
      <c r="B2" s="10" t="s">
        <v>0</v>
      </c>
    </row>
    <row r="3" spans="2:22" ht="13.8" x14ac:dyDescent="0.25">
      <c r="B3" s="10" t="s">
        <v>1</v>
      </c>
    </row>
    <row r="4" spans="2:22" ht="13.8" x14ac:dyDescent="0.25">
      <c r="B4" s="10" t="s">
        <v>2</v>
      </c>
    </row>
    <row r="5" spans="2:22" ht="15.75" customHeight="1" x14ac:dyDescent="0.2"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</row>
    <row r="6" spans="2:22" x14ac:dyDescent="0.2">
      <c r="B6" s="2" t="s">
        <v>3</v>
      </c>
      <c r="C6" s="18">
        <v>1</v>
      </c>
      <c r="D6" s="2"/>
    </row>
    <row r="7" spans="2:22" x14ac:dyDescent="0.2">
      <c r="B7" s="2" t="s">
        <v>4</v>
      </c>
      <c r="C7" s="18" t="s">
        <v>5</v>
      </c>
      <c r="D7" s="2"/>
    </row>
    <row r="8" spans="2:22" x14ac:dyDescent="0.2">
      <c r="B8" s="2" t="s">
        <v>6</v>
      </c>
      <c r="C8" s="18" t="s">
        <v>7</v>
      </c>
      <c r="D8" s="2"/>
    </row>
    <row r="9" spans="2:22" x14ac:dyDescent="0.2">
      <c r="B9" s="2" t="s">
        <v>8</v>
      </c>
      <c r="C9" s="18" t="s">
        <v>157</v>
      </c>
      <c r="D9" s="2"/>
    </row>
    <row r="10" spans="2:22" x14ac:dyDescent="0.2">
      <c r="B10" s="2" t="s">
        <v>9</v>
      </c>
      <c r="C10" s="37">
        <v>46115</v>
      </c>
      <c r="D10" s="2"/>
    </row>
    <row r="11" spans="2:22" x14ac:dyDescent="0.2">
      <c r="B11" s="2" t="s">
        <v>10</v>
      </c>
      <c r="C11" s="83" t="s">
        <v>156</v>
      </c>
      <c r="D11" s="84"/>
    </row>
    <row r="13" spans="2:22" ht="21.75" customHeight="1" x14ac:dyDescent="0.2">
      <c r="B13" s="9" t="s">
        <v>11</v>
      </c>
      <c r="C13" s="80" t="s">
        <v>12</v>
      </c>
      <c r="D13" s="81"/>
      <c r="E13" s="81"/>
      <c r="F13" s="81"/>
      <c r="G13" s="81"/>
      <c r="H13" s="81"/>
      <c r="I13" s="81"/>
      <c r="J13" s="81"/>
      <c r="K13" s="81"/>
      <c r="L13" s="81"/>
      <c r="M13" s="81"/>
      <c r="N13" s="81"/>
      <c r="O13" s="81"/>
      <c r="P13" s="82"/>
      <c r="R13" s="9" t="s">
        <v>13</v>
      </c>
    </row>
    <row r="14" spans="2:22" s="54" customFormat="1" ht="91.2" x14ac:dyDescent="0.2">
      <c r="B14" s="4"/>
      <c r="C14" s="12" t="s">
        <v>14</v>
      </c>
      <c r="D14" s="53" t="s">
        <v>123</v>
      </c>
      <c r="E14" s="12" t="s">
        <v>124</v>
      </c>
      <c r="F14" s="12" t="s">
        <v>125</v>
      </c>
      <c r="G14" s="12" t="s">
        <v>15</v>
      </c>
      <c r="H14" s="12" t="s">
        <v>16</v>
      </c>
      <c r="I14" s="12" t="s">
        <v>17</v>
      </c>
      <c r="J14" s="12" t="s">
        <v>18</v>
      </c>
      <c r="K14" s="12" t="s">
        <v>19</v>
      </c>
      <c r="L14" s="12" t="s">
        <v>155</v>
      </c>
      <c r="M14" s="12" t="s">
        <v>20</v>
      </c>
      <c r="N14" s="12" t="s">
        <v>21</v>
      </c>
      <c r="O14" s="53" t="s">
        <v>22</v>
      </c>
      <c r="P14" s="53" t="s">
        <v>23</v>
      </c>
      <c r="R14" s="53" t="s">
        <v>24</v>
      </c>
      <c r="T14" s="55"/>
      <c r="V14" s="55"/>
    </row>
    <row r="15" spans="2:22" x14ac:dyDescent="0.2">
      <c r="B15" s="3" t="s">
        <v>25</v>
      </c>
      <c r="C15" s="20">
        <v>2112</v>
      </c>
      <c r="D15" s="21">
        <v>510</v>
      </c>
      <c r="E15" s="56">
        <f>C15*D15</f>
        <v>1077120</v>
      </c>
      <c r="F15" s="57">
        <v>1077120</v>
      </c>
      <c r="G15" s="58" t="str">
        <f>IF(C15="","",IF(E15&lt;F15,"Nee","Ja"))</f>
        <v>Ja</v>
      </c>
      <c r="H15" s="58" t="s">
        <v>26</v>
      </c>
      <c r="I15" s="58">
        <v>38</v>
      </c>
      <c r="J15" s="58">
        <v>1075</v>
      </c>
      <c r="K15" s="58">
        <v>1225</v>
      </c>
      <c r="L15" s="58">
        <v>1020</v>
      </c>
      <c r="M15" s="86">
        <v>894328.93033461622</v>
      </c>
      <c r="N15" s="86">
        <v>13414933.955019243</v>
      </c>
      <c r="O15" s="56">
        <f>'3'!R16</f>
        <v>13622629.322110238</v>
      </c>
      <c r="P15" s="58" t="str">
        <f>IF(C15="","",IF(AND(C15&gt;0,O15&gt;=N15),"Ja","Nee"))</f>
        <v>Ja</v>
      </c>
      <c r="R15" s="31">
        <v>1800000</v>
      </c>
      <c r="S15" s="11" t="str">
        <f>G15</f>
        <v>Ja</v>
      </c>
      <c r="T15" s="59" t="str">
        <f>IF(ISTEXT(R15),"Let op! Alleen numeriek waarden zijn toegestaan!","")</f>
        <v/>
      </c>
    </row>
    <row r="16" spans="2:22" x14ac:dyDescent="0.2">
      <c r="B16" s="3" t="s">
        <v>27</v>
      </c>
      <c r="C16" s="20">
        <v>2112</v>
      </c>
      <c r="D16" s="21">
        <v>510</v>
      </c>
      <c r="E16" s="56">
        <f>C16*D16</f>
        <v>1077120</v>
      </c>
      <c r="F16" s="57">
        <v>1077120</v>
      </c>
      <c r="G16" s="58" t="str">
        <f t="shared" ref="G16:G21" si="0">IF(C16="","",IF(E16&lt;F16,"Nee","Ja"))</f>
        <v>Ja</v>
      </c>
      <c r="H16" s="58" t="s">
        <v>26</v>
      </c>
      <c r="I16" s="58">
        <v>38</v>
      </c>
      <c r="J16" s="58">
        <v>1075</v>
      </c>
      <c r="K16" s="58">
        <v>1225</v>
      </c>
      <c r="L16" s="58">
        <v>1020</v>
      </c>
      <c r="M16" s="86">
        <v>894328.93033461622</v>
      </c>
      <c r="N16" s="86">
        <v>13414933.955019243</v>
      </c>
      <c r="O16" s="56">
        <f>'3'!R17</f>
        <v>13622629.322110238</v>
      </c>
      <c r="P16" s="58" t="str">
        <f t="shared" ref="P16:P21" si="1">IF(C16="","",IF(AND(C16&gt;0,O16&gt;=N16),"Ja","Nee"))</f>
        <v>Ja</v>
      </c>
      <c r="R16" s="31"/>
      <c r="S16" s="11" t="str">
        <f t="shared" ref="S16:S21" si="2">G16</f>
        <v>Ja</v>
      </c>
      <c r="T16" s="59" t="str">
        <f>IF(ISTEXT(R16),"Let op! Alleen numeriek waarden zijn toegestaan!","")</f>
        <v/>
      </c>
    </row>
    <row r="17" spans="2:20" x14ac:dyDescent="0.2">
      <c r="B17" s="3" t="s">
        <v>28</v>
      </c>
      <c r="C17" s="20">
        <v>1060</v>
      </c>
      <c r="D17" s="21">
        <v>510</v>
      </c>
      <c r="E17" s="56">
        <f t="shared" ref="E17:E20" si="3">C17*D17</f>
        <v>540600</v>
      </c>
      <c r="F17" s="57">
        <v>540600</v>
      </c>
      <c r="G17" s="58" t="str">
        <f t="shared" si="0"/>
        <v>Ja</v>
      </c>
      <c r="H17" s="58" t="s">
        <v>29</v>
      </c>
      <c r="I17" s="58">
        <v>10</v>
      </c>
      <c r="J17" s="58">
        <v>1075</v>
      </c>
      <c r="K17" s="58">
        <v>1025</v>
      </c>
      <c r="L17" s="58">
        <v>950</v>
      </c>
      <c r="M17" s="86">
        <v>418054.2710408119</v>
      </c>
      <c r="N17" s="86">
        <v>6270814.0656121783</v>
      </c>
      <c r="O17" s="56">
        <f>'3'!R18</f>
        <v>6367901.314321992</v>
      </c>
      <c r="P17" s="58" t="str">
        <f t="shared" si="1"/>
        <v>Ja</v>
      </c>
      <c r="R17" s="31">
        <v>450000</v>
      </c>
      <c r="S17" s="11" t="str">
        <f t="shared" si="2"/>
        <v>Ja</v>
      </c>
      <c r="T17" s="59"/>
    </row>
    <row r="18" spans="2:20" x14ac:dyDescent="0.2">
      <c r="B18" s="3" t="s">
        <v>30</v>
      </c>
      <c r="C18" s="20">
        <v>2266</v>
      </c>
      <c r="D18" s="21">
        <v>510</v>
      </c>
      <c r="E18" s="56">
        <f>C18*D18</f>
        <v>1155660</v>
      </c>
      <c r="F18" s="57">
        <v>1155660</v>
      </c>
      <c r="G18" s="58" t="str">
        <f t="shared" si="0"/>
        <v>Ja</v>
      </c>
      <c r="H18" s="58" t="s">
        <v>26</v>
      </c>
      <c r="I18" s="58">
        <v>38</v>
      </c>
      <c r="J18" s="58">
        <v>1075</v>
      </c>
      <c r="K18" s="58">
        <v>1225</v>
      </c>
      <c r="L18" s="58">
        <v>1020</v>
      </c>
      <c r="M18" s="86">
        <v>959540.41483818193</v>
      </c>
      <c r="N18" s="86">
        <v>14393106.222572729</v>
      </c>
      <c r="O18" s="56">
        <f>'3'!R19</f>
        <v>14615946.04351411</v>
      </c>
      <c r="P18" s="58" t="str">
        <f t="shared" si="1"/>
        <v>Ja</v>
      </c>
      <c r="R18" s="31">
        <v>4077000</v>
      </c>
      <c r="S18" s="11" t="str">
        <f t="shared" si="2"/>
        <v>Ja</v>
      </c>
      <c r="T18" s="59"/>
    </row>
    <row r="19" spans="2:20" x14ac:dyDescent="0.2">
      <c r="B19" s="3" t="s">
        <v>109</v>
      </c>
      <c r="C19" s="20">
        <v>2264</v>
      </c>
      <c r="D19" s="21">
        <v>510</v>
      </c>
      <c r="E19" s="56">
        <f t="shared" ref="E19" si="4">C19*D19</f>
        <v>1154640</v>
      </c>
      <c r="F19" s="57">
        <v>1154640</v>
      </c>
      <c r="G19" s="58" t="str">
        <f t="shared" si="0"/>
        <v>Ja</v>
      </c>
      <c r="H19" s="58" t="s">
        <v>26</v>
      </c>
      <c r="I19" s="58">
        <v>38</v>
      </c>
      <c r="J19" s="58">
        <v>1075</v>
      </c>
      <c r="K19" s="58">
        <v>1225</v>
      </c>
      <c r="L19" s="58">
        <v>1020</v>
      </c>
      <c r="M19" s="86">
        <v>958693.51244203176</v>
      </c>
      <c r="N19" s="86">
        <v>14380402.686630476</v>
      </c>
      <c r="O19" s="56">
        <f>'3'!R20</f>
        <v>14603045.826353023</v>
      </c>
      <c r="P19" s="58" t="str">
        <f t="shared" ref="P19" si="5">IF(C19="","",IF(AND(C19&gt;0,O19&gt;=N19),"Ja","Nee"))</f>
        <v>Ja</v>
      </c>
      <c r="R19" s="31"/>
      <c r="S19" s="11" t="str">
        <f>+G19</f>
        <v>Ja</v>
      </c>
      <c r="T19" s="59"/>
    </row>
    <row r="20" spans="2:20" x14ac:dyDescent="0.2">
      <c r="B20" s="3" t="s">
        <v>108</v>
      </c>
      <c r="C20" s="20">
        <v>156</v>
      </c>
      <c r="D20" s="21">
        <v>510</v>
      </c>
      <c r="E20" s="56">
        <f t="shared" si="3"/>
        <v>79560</v>
      </c>
      <c r="F20" s="57">
        <v>79560</v>
      </c>
      <c r="G20" s="58" t="str">
        <f t="shared" si="0"/>
        <v>Ja</v>
      </c>
      <c r="H20" s="58" t="s">
        <v>107</v>
      </c>
      <c r="I20" s="58">
        <v>38</v>
      </c>
      <c r="J20" s="58">
        <v>1075</v>
      </c>
      <c r="K20" s="58">
        <v>1225</v>
      </c>
      <c r="L20" s="58">
        <v>980</v>
      </c>
      <c r="M20" s="86">
        <v>63467.861923256518</v>
      </c>
      <c r="N20" s="86">
        <v>952017.92884884775</v>
      </c>
      <c r="O20" s="56">
        <f>'3'!R21</f>
        <v>966757.45077809948</v>
      </c>
      <c r="P20" s="58" t="str">
        <f t="shared" si="1"/>
        <v>Ja</v>
      </c>
      <c r="R20" s="31"/>
      <c r="S20" s="11" t="str">
        <f t="shared" si="2"/>
        <v>Ja</v>
      </c>
      <c r="T20" s="59"/>
    </row>
    <row r="21" spans="2:20" x14ac:dyDescent="0.2">
      <c r="B21" s="3" t="s">
        <v>31</v>
      </c>
      <c r="C21" s="20">
        <v>2266</v>
      </c>
      <c r="D21" s="21">
        <v>510</v>
      </c>
      <c r="E21" s="56">
        <f>C21*D21</f>
        <v>1155660</v>
      </c>
      <c r="F21" s="57">
        <v>1155660</v>
      </c>
      <c r="G21" s="58" t="str">
        <f t="shared" si="0"/>
        <v>Ja</v>
      </c>
      <c r="H21" s="58" t="s">
        <v>26</v>
      </c>
      <c r="I21" s="58">
        <v>38</v>
      </c>
      <c r="J21" s="58">
        <v>1075</v>
      </c>
      <c r="K21" s="58">
        <v>1225</v>
      </c>
      <c r="L21" s="58">
        <v>1020</v>
      </c>
      <c r="M21" s="86">
        <v>959540.41483818193</v>
      </c>
      <c r="N21" s="86">
        <v>14393106.222572729</v>
      </c>
      <c r="O21" s="56">
        <f>'3'!R22</f>
        <v>14615946.04351411</v>
      </c>
      <c r="P21" s="58" t="str">
        <f t="shared" si="1"/>
        <v>Ja</v>
      </c>
      <c r="R21" s="31"/>
      <c r="S21" s="11" t="str">
        <f t="shared" si="2"/>
        <v>Ja</v>
      </c>
      <c r="T21" s="59" t="str">
        <f>IF(ISTEXT(R21),"Let op! Alleen numeriek waarden zijn toegestaan!","")</f>
        <v/>
      </c>
    </row>
    <row r="22" spans="2:20" x14ac:dyDescent="0.2">
      <c r="P22" s="60"/>
      <c r="R22" s="61"/>
    </row>
    <row r="23" spans="2:20" ht="16.5" customHeight="1" x14ac:dyDescent="0.2">
      <c r="B23" s="62" t="s">
        <v>32</v>
      </c>
      <c r="C23" s="63">
        <f>SUM(C15:C21)</f>
        <v>12236</v>
      </c>
      <c r="D23" s="64"/>
      <c r="E23" s="63">
        <f>SUM(E15:E21)</f>
        <v>6240360</v>
      </c>
      <c r="F23" s="63">
        <f>SUM(F15:F21)</f>
        <v>6240360</v>
      </c>
      <c r="G23" s="65"/>
      <c r="H23" s="65"/>
      <c r="I23" s="65"/>
      <c r="J23" s="65"/>
      <c r="K23" s="65"/>
      <c r="L23" s="65"/>
      <c r="M23" s="65"/>
      <c r="N23" s="65"/>
      <c r="O23" s="63">
        <f>SUM(O15:O21)</f>
        <v>78414855.322701812</v>
      </c>
      <c r="P23" s="66"/>
      <c r="R23" s="67">
        <f>SUM(R15:R21)</f>
        <v>6327000</v>
      </c>
    </row>
    <row r="24" spans="2:20" x14ac:dyDescent="0.2">
      <c r="H24" s="68"/>
    </row>
    <row r="25" spans="2:20" x14ac:dyDescent="0.2">
      <c r="H25" s="68"/>
      <c r="J25" s="6"/>
      <c r="K25" s="6"/>
      <c r="L25" s="24"/>
      <c r="M25" s="24"/>
      <c r="N25" s="24"/>
      <c r="R25" s="69"/>
    </row>
    <row r="26" spans="2:20" x14ac:dyDescent="0.2">
      <c r="H26" s="68"/>
      <c r="J26" s="6"/>
      <c r="K26" s="6"/>
      <c r="M26" s="1"/>
      <c r="N26" s="70"/>
      <c r="P26" s="11"/>
      <c r="R26" s="71"/>
    </row>
    <row r="27" spans="2:20" ht="23.25" customHeight="1" x14ac:dyDescent="0.2">
      <c r="C27" s="72">
        <f>(IF(C23=0,"",R23)/(O23/1000))</f>
        <v>80.686242089746941</v>
      </c>
      <c r="D27" s="7" t="s">
        <v>33</v>
      </c>
      <c r="H27" s="68"/>
      <c r="I27" s="24"/>
      <c r="K27" s="24"/>
      <c r="L27" s="24"/>
      <c r="M27" s="1"/>
      <c r="N27" s="73"/>
      <c r="P27" s="11"/>
      <c r="R27" s="71"/>
    </row>
    <row r="28" spans="2:20" x14ac:dyDescent="0.2">
      <c r="K28" s="24"/>
      <c r="M28" s="1"/>
      <c r="N28" s="73"/>
      <c r="P28" s="11"/>
      <c r="R28" s="71"/>
    </row>
    <row r="29" spans="2:20" ht="22.5" customHeight="1" x14ac:dyDescent="0.2">
      <c r="C29" s="74">
        <f>'4'!$F$35</f>
        <v>19</v>
      </c>
      <c r="D29" s="75" t="s">
        <v>34</v>
      </c>
      <c r="M29" s="1"/>
      <c r="N29" s="73"/>
      <c r="P29" s="11"/>
      <c r="R29" s="71"/>
    </row>
    <row r="30" spans="2:20" x14ac:dyDescent="0.2">
      <c r="K30" s="24"/>
      <c r="M30" s="1"/>
      <c r="N30" s="73"/>
      <c r="P30" s="11"/>
      <c r="R30" s="71"/>
    </row>
    <row r="31" spans="2:20" x14ac:dyDescent="0.2">
      <c r="C31" s="36" t="s">
        <v>35</v>
      </c>
      <c r="L31" s="24"/>
      <c r="M31" s="1"/>
      <c r="N31" s="73"/>
      <c r="P31" s="11"/>
      <c r="R31" s="71"/>
    </row>
    <row r="32" spans="2:20" x14ac:dyDescent="0.2">
      <c r="B32" s="44"/>
      <c r="C32" s="11" t="s">
        <v>126</v>
      </c>
      <c r="R32" s="69"/>
    </row>
    <row r="33" spans="2:15" x14ac:dyDescent="0.2">
      <c r="B33" s="76">
        <v>1076020</v>
      </c>
      <c r="C33" s="11" t="s">
        <v>127</v>
      </c>
      <c r="O33" s="11"/>
    </row>
    <row r="34" spans="2:15" x14ac:dyDescent="0.2">
      <c r="B34" s="77" t="s">
        <v>37</v>
      </c>
      <c r="C34" s="11" t="s">
        <v>128</v>
      </c>
    </row>
    <row r="35" spans="2:15" x14ac:dyDescent="0.2">
      <c r="B35" s="78" t="s">
        <v>38</v>
      </c>
      <c r="C35" s="11" t="s">
        <v>129</v>
      </c>
    </row>
    <row r="36" spans="2:15" x14ac:dyDescent="0.2">
      <c r="B36" s="22"/>
      <c r="C36" s="11" t="s">
        <v>39</v>
      </c>
    </row>
    <row r="37" spans="2:15" x14ac:dyDescent="0.2">
      <c r="B37" s="23"/>
      <c r="C37" s="11" t="str">
        <f>"Dit is het aantal afgeronde punten wat u scoort met uw aangeboden €/Mwh: minimaal "&amp;MIN('4'!E18:E19)&amp;" punten, maximaal "&amp;MAX('4'!E18:E19)&amp;" punten. Zie § 5 in bijlage 4 van de Inschrijvingsleidraad voor de berekeningswijze."</f>
        <v>Dit is het aantal afgeronde punten wat u scoort met uw aangeboden €/Mwh: minimaal 0 punten, maximaal 60 punten. Zie § 5 in bijlage 4 van de Inschrijvingsleidraad voor de berekeningswijze.</v>
      </c>
    </row>
    <row r="38" spans="2:15" x14ac:dyDescent="0.2">
      <c r="B38" s="79"/>
      <c r="C38" s="11" t="s">
        <v>40</v>
      </c>
    </row>
    <row r="40" spans="2:15" x14ac:dyDescent="0.2">
      <c r="B40" s="45" t="s">
        <v>41</v>
      </c>
      <c r="C40" s="11" t="s">
        <v>42</v>
      </c>
    </row>
    <row r="41" spans="2:15" x14ac:dyDescent="0.2">
      <c r="B41" s="45" t="s">
        <v>43</v>
      </c>
      <c r="C41" s="11" t="s">
        <v>44</v>
      </c>
    </row>
    <row r="42" spans="2:15" x14ac:dyDescent="0.2">
      <c r="B42" s="45" t="s">
        <v>45</v>
      </c>
      <c r="C42" s="11" t="s">
        <v>46</v>
      </c>
    </row>
    <row r="43" spans="2:15" x14ac:dyDescent="0.2">
      <c r="B43" s="45" t="s">
        <v>47</v>
      </c>
      <c r="C43" s="11" t="s">
        <v>130</v>
      </c>
    </row>
    <row r="44" spans="2:15" x14ac:dyDescent="0.2">
      <c r="B44" s="45" t="s">
        <v>48</v>
      </c>
      <c r="C44" s="11" t="s">
        <v>49</v>
      </c>
    </row>
    <row r="45" spans="2:15" x14ac:dyDescent="0.2">
      <c r="B45" s="45"/>
      <c r="C45" s="11" t="s">
        <v>50</v>
      </c>
    </row>
    <row r="46" spans="2:15" x14ac:dyDescent="0.2">
      <c r="B46" s="45" t="s">
        <v>51</v>
      </c>
      <c r="C46" s="11" t="s">
        <v>131</v>
      </c>
    </row>
    <row r="47" spans="2:15" x14ac:dyDescent="0.2">
      <c r="B47" s="45" t="s">
        <v>52</v>
      </c>
      <c r="C47" s="11" t="s">
        <v>53</v>
      </c>
    </row>
    <row r="48" spans="2:15" x14ac:dyDescent="0.2">
      <c r="B48" s="45" t="s">
        <v>54</v>
      </c>
      <c r="C48" s="11" t="s">
        <v>55</v>
      </c>
    </row>
    <row r="49" spans="2:3" x14ac:dyDescent="0.2">
      <c r="B49" s="45" t="s">
        <v>56</v>
      </c>
      <c r="C49" s="1" t="s">
        <v>57</v>
      </c>
    </row>
    <row r="50" spans="2:3" x14ac:dyDescent="0.2">
      <c r="B50" s="45" t="s">
        <v>58</v>
      </c>
      <c r="C50" s="1" t="s">
        <v>59</v>
      </c>
    </row>
    <row r="51" spans="2:3" x14ac:dyDescent="0.2">
      <c r="B51" s="45" t="s">
        <v>60</v>
      </c>
      <c r="C51" s="11" t="s">
        <v>61</v>
      </c>
    </row>
    <row r="52" spans="2:3" x14ac:dyDescent="0.2">
      <c r="B52" s="45"/>
      <c r="C52" s="11" t="s">
        <v>132</v>
      </c>
    </row>
    <row r="53" spans="2:3" x14ac:dyDescent="0.2">
      <c r="B53" s="45" t="s">
        <v>62</v>
      </c>
      <c r="C53" s="11" t="s">
        <v>63</v>
      </c>
    </row>
    <row r="54" spans="2:3" x14ac:dyDescent="0.2">
      <c r="B54" s="45" t="s">
        <v>64</v>
      </c>
      <c r="C54" s="11" t="s">
        <v>65</v>
      </c>
    </row>
    <row r="55" spans="2:3" x14ac:dyDescent="0.2">
      <c r="B55" s="45" t="s">
        <v>66</v>
      </c>
      <c r="C55" s="11" t="s">
        <v>67</v>
      </c>
    </row>
    <row r="56" spans="2:3" x14ac:dyDescent="0.2">
      <c r="B56" s="45"/>
      <c r="C56" s="11" t="s">
        <v>68</v>
      </c>
    </row>
    <row r="57" spans="2:3" x14ac:dyDescent="0.2">
      <c r="B57" s="45" t="s">
        <v>69</v>
      </c>
      <c r="C57" s="11" t="s">
        <v>70</v>
      </c>
    </row>
  </sheetData>
  <mergeCells count="2">
    <mergeCell ref="C13:P13"/>
    <mergeCell ref="C11:D11"/>
  </mergeCells>
  <phoneticPr fontId="14" type="noConversion"/>
  <conditionalFormatting sqref="C27">
    <cfRule type="containsErrors" dxfId="7" priority="73">
      <formula>ISERROR(C27)</formula>
    </cfRule>
  </conditionalFormatting>
  <conditionalFormatting sqref="C29">
    <cfRule type="containsErrors" dxfId="6" priority="1">
      <formula>ISERROR(C29)</formula>
    </cfRule>
  </conditionalFormatting>
  <conditionalFormatting sqref="G15:G21">
    <cfRule type="expression" dxfId="5" priority="44">
      <formula>S15=""</formula>
    </cfRule>
    <cfRule type="expression" dxfId="4" priority="45">
      <formula>S15="Ja"</formula>
    </cfRule>
    <cfRule type="expression" dxfId="3" priority="47">
      <formula>S15="Nee"</formula>
    </cfRule>
  </conditionalFormatting>
  <conditionalFormatting sqref="J23">
    <cfRule type="iconSet" priority="42">
      <iconSet>
        <cfvo type="percent" val="0"/>
        <cfvo type="num" val="884400"/>
        <cfvo type="num" val="884400"/>
      </iconSet>
    </cfRule>
  </conditionalFormatting>
  <conditionalFormatting sqref="O15:O21">
    <cfRule type="iconSet" priority="33">
      <iconSet>
        <cfvo type="percent" val="0"/>
        <cfvo type="formula" val="&quot;U15&gt;N15&quot;" gte="0"/>
        <cfvo type="formula" val="&quot;U15&gt;N15&quot;"/>
      </iconSet>
    </cfRule>
  </conditionalFormatting>
  <conditionalFormatting sqref="O25:O31">
    <cfRule type="iconSet" priority="40">
      <iconSet>
        <cfvo type="percent" val="0"/>
        <cfvo type="formula" val="&quot;O15&lt;N15&quot;"/>
        <cfvo type="formula" val="&quot;O15&gt;=N15&quot;"/>
      </iconSet>
    </cfRule>
    <cfRule type="iconSet" priority="41">
      <iconSet>
        <cfvo type="percent" val="0"/>
        <cfvo type="formula" val="&quot;N15&quot;"/>
        <cfvo type="formula" val="&quot;N15&quot;"/>
      </iconSet>
    </cfRule>
  </conditionalFormatting>
  <conditionalFormatting sqref="P15:P21">
    <cfRule type="expression" dxfId="2" priority="7">
      <formula>C15=""</formula>
    </cfRule>
    <cfRule type="expression" dxfId="1" priority="8">
      <formula>O15&lt;N15</formula>
    </cfRule>
    <cfRule type="expression" dxfId="0" priority="9">
      <formula>O15&gt;=N15</formula>
    </cfRule>
  </conditionalFormatting>
  <pageMargins left="0.7" right="0.7" top="0.75" bottom="0.75" header="0.3" footer="0.3"/>
  <pageSetup paperSize="9" orientation="portrait" r:id="rId1"/>
  <ignoredErrors>
    <ignoredError sqref="B40:B44 B46:B51 B53:B55 B57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94DBAD-CBF2-4B8A-970A-0767A5DD1EF8}">
  <sheetPr>
    <pageSetUpPr fitToPage="1"/>
  </sheetPr>
  <dimension ref="B1:S87"/>
  <sheetViews>
    <sheetView topLeftCell="C12" workbookViewId="0">
      <selection activeCell="I41" sqref="I41"/>
    </sheetView>
  </sheetViews>
  <sheetFormatPr defaultColWidth="9" defaultRowHeight="11.4" x14ac:dyDescent="0.2"/>
  <cols>
    <col min="1" max="1" width="2.19921875" style="1" customWidth="1"/>
    <col min="2" max="2" width="38.69921875" style="1" customWidth="1"/>
    <col min="3" max="4" width="13.8984375" style="1" customWidth="1"/>
    <col min="5" max="17" width="11.8984375" style="1" customWidth="1"/>
    <col min="18" max="16384" width="9" style="1"/>
  </cols>
  <sheetData>
    <row r="1" spans="2:19" x14ac:dyDescent="0.2">
      <c r="C1" s="6"/>
    </row>
    <row r="2" spans="2:19" ht="13.8" x14ac:dyDescent="0.25">
      <c r="B2" s="10" t="s">
        <v>0</v>
      </c>
      <c r="C2" s="6"/>
    </row>
    <row r="3" spans="2:19" ht="13.8" x14ac:dyDescent="0.25">
      <c r="B3" s="10" t="s">
        <v>1</v>
      </c>
      <c r="C3" s="11"/>
      <c r="E3" s="11"/>
      <c r="F3" s="11"/>
      <c r="G3" s="11"/>
      <c r="H3" s="11"/>
      <c r="I3" s="11"/>
      <c r="J3" s="11"/>
      <c r="K3" s="11"/>
      <c r="S3" s="11"/>
    </row>
    <row r="4" spans="2:19" ht="13.8" x14ac:dyDescent="0.25">
      <c r="B4" s="10" t="s">
        <v>2</v>
      </c>
      <c r="C4" s="11"/>
      <c r="E4" s="11"/>
      <c r="F4" s="11"/>
      <c r="G4" s="11"/>
      <c r="H4" s="11"/>
      <c r="I4" s="11"/>
      <c r="J4" s="11"/>
      <c r="K4" s="11"/>
      <c r="S4" s="11"/>
    </row>
    <row r="5" spans="2:19" ht="15.75" customHeight="1" x14ac:dyDescent="0.2">
      <c r="C5" s="6"/>
      <c r="F5" s="7"/>
      <c r="G5" s="8"/>
      <c r="H5" s="8"/>
      <c r="I5" s="8"/>
      <c r="J5" s="8"/>
      <c r="K5" s="8"/>
    </row>
    <row r="6" spans="2:19" x14ac:dyDescent="0.2">
      <c r="B6" s="2" t="s">
        <v>3</v>
      </c>
      <c r="C6" s="16">
        <v>2</v>
      </c>
      <c r="D6" s="2"/>
    </row>
    <row r="7" spans="2:19" x14ac:dyDescent="0.2">
      <c r="B7" s="2" t="s">
        <v>4</v>
      </c>
      <c r="C7" s="17" t="s">
        <v>71</v>
      </c>
      <c r="D7" s="15"/>
      <c r="H7" s="13"/>
    </row>
    <row r="8" spans="2:19" x14ac:dyDescent="0.2">
      <c r="B8" s="2" t="s">
        <v>6</v>
      </c>
      <c r="C8" s="18" t="str">
        <f>'1'!C8</f>
        <v>Concept</v>
      </c>
      <c r="D8" s="36"/>
      <c r="E8" s="11"/>
      <c r="F8" s="11"/>
      <c r="G8" s="11"/>
      <c r="H8" s="11"/>
      <c r="I8" s="11"/>
      <c r="J8" s="11"/>
      <c r="K8" s="11"/>
      <c r="S8" s="11"/>
    </row>
    <row r="9" spans="2:19" x14ac:dyDescent="0.2">
      <c r="B9" s="2" t="s">
        <v>8</v>
      </c>
      <c r="C9" s="18" t="str">
        <f>'1'!C9</f>
        <v>0.7</v>
      </c>
      <c r="D9" s="36"/>
    </row>
    <row r="10" spans="2:19" x14ac:dyDescent="0.2">
      <c r="B10" s="2" t="s">
        <v>9</v>
      </c>
      <c r="C10" s="37">
        <f>'1'!C10</f>
        <v>46115</v>
      </c>
      <c r="D10" s="36"/>
    </row>
    <row r="11" spans="2:19" x14ac:dyDescent="0.2">
      <c r="B11" s="2" t="s">
        <v>10</v>
      </c>
      <c r="C11" s="85" t="str">
        <f>'1'!$C$11</f>
        <v>Naam inschrijver</v>
      </c>
      <c r="D11" s="85"/>
    </row>
    <row r="12" spans="2:19" x14ac:dyDescent="0.2">
      <c r="B12" s="2"/>
      <c r="C12" s="37"/>
      <c r="D12" s="37"/>
    </row>
    <row r="13" spans="2:19" ht="34.200000000000003" x14ac:dyDescent="0.2">
      <c r="B13" s="9" t="s">
        <v>141</v>
      </c>
      <c r="C13" s="51" t="str">
        <f>'1'!$B15</f>
        <v>PV Oostoever 1 (VD-7)</v>
      </c>
      <c r="D13" s="51" t="str">
        <f>'1'!$B16</f>
        <v>PV Oostoever 2 (VD-8)</v>
      </c>
      <c r="E13" s="51" t="str">
        <f>'1'!$B17</f>
        <v>PV rwzi Den Helder (VD-3)</v>
      </c>
      <c r="F13" s="51" t="str">
        <f>'1'!$B18</f>
        <v>PV Balgzand 1 (VD-4)</v>
      </c>
      <c r="G13" s="51" t="str">
        <f>'1'!$B19</f>
        <v>PV Balgzand 2 (VD-5), Zuid</v>
      </c>
      <c r="H13" s="51" t="str">
        <f>'1'!$B20</f>
        <v>PV Balgzand 2 (VD-5), West</v>
      </c>
      <c r="I13" s="51" t="str">
        <f>'1'!$B21</f>
        <v>PV Balgzand 3 (VD-9)</v>
      </c>
    </row>
    <row r="14" spans="2:19" x14ac:dyDescent="0.2">
      <c r="B14" s="3" t="s">
        <v>72</v>
      </c>
      <c r="C14" s="38"/>
      <c r="D14" s="38"/>
      <c r="E14" s="38"/>
      <c r="F14" s="38"/>
      <c r="G14" s="38"/>
      <c r="H14" s="38"/>
      <c r="I14" s="38"/>
    </row>
    <row r="15" spans="2:19" x14ac:dyDescent="0.2">
      <c r="B15" s="3" t="s">
        <v>73</v>
      </c>
      <c r="C15" s="48">
        <v>0</v>
      </c>
      <c r="D15" s="48">
        <v>0</v>
      </c>
      <c r="E15" s="48">
        <v>0</v>
      </c>
      <c r="F15" s="48">
        <v>0</v>
      </c>
      <c r="G15" s="48">
        <v>0</v>
      </c>
      <c r="H15" s="48">
        <v>0</v>
      </c>
      <c r="I15" s="48">
        <v>0</v>
      </c>
    </row>
    <row r="16" spans="2:19" x14ac:dyDescent="0.2">
      <c r="B16" s="3" t="s">
        <v>74</v>
      </c>
      <c r="C16" s="48">
        <v>0</v>
      </c>
      <c r="D16" s="48">
        <v>0</v>
      </c>
      <c r="E16" s="48">
        <v>0</v>
      </c>
      <c r="F16" s="48">
        <v>0</v>
      </c>
      <c r="G16" s="48">
        <v>0</v>
      </c>
      <c r="H16" s="48">
        <v>0</v>
      </c>
      <c r="I16" s="48">
        <v>0</v>
      </c>
    </row>
    <row r="17" spans="2:17" x14ac:dyDescent="0.2">
      <c r="B17" s="3" t="s">
        <v>75</v>
      </c>
      <c r="C17" s="48">
        <v>0</v>
      </c>
      <c r="D17" s="48">
        <v>0</v>
      </c>
      <c r="E17" s="48">
        <v>0</v>
      </c>
      <c r="F17" s="48">
        <v>0</v>
      </c>
      <c r="G17" s="48">
        <v>0</v>
      </c>
      <c r="H17" s="48">
        <v>0</v>
      </c>
      <c r="I17" s="48">
        <v>0</v>
      </c>
    </row>
    <row r="18" spans="2:17" x14ac:dyDescent="0.2">
      <c r="B18" s="3" t="s">
        <v>76</v>
      </c>
      <c r="C18" s="48">
        <v>0</v>
      </c>
      <c r="D18" s="48">
        <v>0</v>
      </c>
      <c r="E18" s="48">
        <v>0</v>
      </c>
      <c r="F18" s="48">
        <v>0</v>
      </c>
      <c r="G18" s="48">
        <v>0</v>
      </c>
      <c r="H18" s="48">
        <v>0</v>
      </c>
      <c r="I18" s="48">
        <v>0</v>
      </c>
    </row>
    <row r="19" spans="2:17" x14ac:dyDescent="0.2">
      <c r="B19" s="3" t="s">
        <v>77</v>
      </c>
      <c r="C19" s="48">
        <v>0</v>
      </c>
      <c r="D19" s="48">
        <v>0</v>
      </c>
      <c r="E19" s="48">
        <v>0</v>
      </c>
      <c r="F19" s="48">
        <v>0</v>
      </c>
      <c r="G19" s="48">
        <v>0</v>
      </c>
      <c r="H19" s="48">
        <v>0</v>
      </c>
      <c r="I19" s="48">
        <v>0</v>
      </c>
    </row>
    <row r="20" spans="2:17" x14ac:dyDescent="0.2">
      <c r="B20" s="3" t="s">
        <v>78</v>
      </c>
      <c r="C20" s="48">
        <v>0</v>
      </c>
      <c r="D20" s="48">
        <v>0</v>
      </c>
      <c r="E20" s="48">
        <v>0</v>
      </c>
      <c r="F20" s="48">
        <v>0</v>
      </c>
      <c r="G20" s="48">
        <v>0</v>
      </c>
      <c r="H20" s="48">
        <v>0</v>
      </c>
      <c r="I20" s="48">
        <v>0</v>
      </c>
    </row>
    <row r="21" spans="2:17" x14ac:dyDescent="0.2">
      <c r="B21" s="3" t="s">
        <v>79</v>
      </c>
      <c r="C21" s="48">
        <v>0</v>
      </c>
      <c r="D21" s="48">
        <v>0</v>
      </c>
      <c r="E21" s="48">
        <v>0</v>
      </c>
      <c r="F21" s="48">
        <v>0</v>
      </c>
      <c r="G21" s="48">
        <v>0</v>
      </c>
      <c r="H21" s="48">
        <v>0</v>
      </c>
      <c r="I21" s="48">
        <v>0</v>
      </c>
    </row>
    <row r="22" spans="2:17" x14ac:dyDescent="0.2">
      <c r="B22" s="3" t="s">
        <v>80</v>
      </c>
      <c r="C22" s="48">
        <v>0</v>
      </c>
      <c r="D22" s="48">
        <v>0</v>
      </c>
      <c r="E22" s="48">
        <v>0</v>
      </c>
      <c r="F22" s="48">
        <v>0</v>
      </c>
      <c r="G22" s="48">
        <v>0</v>
      </c>
      <c r="H22" s="48">
        <v>0</v>
      </c>
      <c r="I22" s="48">
        <v>0</v>
      </c>
    </row>
    <row r="23" spans="2:17" x14ac:dyDescent="0.2">
      <c r="B23" s="3" t="s">
        <v>81</v>
      </c>
      <c r="C23" s="48">
        <v>0</v>
      </c>
      <c r="D23" s="48">
        <v>0</v>
      </c>
      <c r="E23" s="48">
        <v>0</v>
      </c>
      <c r="F23" s="48">
        <v>0</v>
      </c>
      <c r="G23" s="48">
        <v>0</v>
      </c>
      <c r="H23" s="48">
        <v>0</v>
      </c>
      <c r="I23" s="48">
        <v>0</v>
      </c>
    </row>
    <row r="24" spans="2:17" x14ac:dyDescent="0.2">
      <c r="B24" s="3" t="s">
        <v>140</v>
      </c>
      <c r="C24" s="48">
        <v>0.08</v>
      </c>
      <c r="D24" s="48">
        <v>0.08</v>
      </c>
      <c r="E24" s="48">
        <v>0.08</v>
      </c>
      <c r="F24" s="48">
        <v>0.08</v>
      </c>
      <c r="G24" s="48">
        <v>0.08</v>
      </c>
      <c r="H24" s="48">
        <v>0.08</v>
      </c>
      <c r="I24" s="48">
        <v>0.08</v>
      </c>
    </row>
    <row r="25" spans="2:17" x14ac:dyDescent="0.2">
      <c r="B25" s="3"/>
      <c r="C25" s="49"/>
      <c r="D25" s="49"/>
      <c r="E25" s="49"/>
      <c r="F25" s="49"/>
      <c r="G25" s="49"/>
      <c r="H25" s="49"/>
      <c r="I25" s="49"/>
    </row>
    <row r="26" spans="2:17" x14ac:dyDescent="0.2">
      <c r="B26" s="3" t="s">
        <v>151</v>
      </c>
      <c r="C26" s="38">
        <f>(1-C15)*(1-C16)*(1-C17)*(1-C18)*(1-C19)*(1-C20)*(1-C21)*(1-C22)*(1-C23)*(1-C24)*(1-C25)</f>
        <v>0.92</v>
      </c>
      <c r="D26" s="38">
        <f t="shared" ref="D26:I26" si="0">(1-D15)*(1-D16)*(1-D17)*(1-D18)*(1-D19)*(1-D20)*(1-D21)*(1-D22)*(1-D23)*(1-D24)*(1-D25)</f>
        <v>0.92</v>
      </c>
      <c r="E26" s="38">
        <f t="shared" si="0"/>
        <v>0.92</v>
      </c>
      <c r="F26" s="38">
        <f t="shared" si="0"/>
        <v>0.92</v>
      </c>
      <c r="G26" s="38">
        <f t="shared" si="0"/>
        <v>0.92</v>
      </c>
      <c r="H26" s="38">
        <f t="shared" si="0"/>
        <v>0.92</v>
      </c>
      <c r="I26" s="38">
        <f t="shared" si="0"/>
        <v>0.92</v>
      </c>
    </row>
    <row r="27" spans="2:17" x14ac:dyDescent="0.2">
      <c r="B27" s="2"/>
      <c r="C27" s="37"/>
      <c r="D27" s="37"/>
    </row>
    <row r="28" spans="2:17" ht="25.5" customHeight="1" x14ac:dyDescent="0.2">
      <c r="B28" s="9" t="s">
        <v>11</v>
      </c>
      <c r="C28" s="80" t="s">
        <v>89</v>
      </c>
      <c r="D28" s="81"/>
      <c r="E28" s="81"/>
      <c r="F28" s="81"/>
      <c r="G28" s="81"/>
      <c r="H28" s="81"/>
      <c r="I28" s="81"/>
      <c r="J28" s="81"/>
      <c r="K28" s="81"/>
      <c r="L28" s="81"/>
      <c r="M28" s="81"/>
      <c r="N28" s="81"/>
      <c r="O28" s="81"/>
      <c r="P28" s="81"/>
      <c r="Q28" s="81"/>
    </row>
    <row r="29" spans="2:17" ht="79.5" customHeight="1" x14ac:dyDescent="0.2">
      <c r="B29" s="4"/>
      <c r="C29" s="14" t="s">
        <v>90</v>
      </c>
      <c r="D29" s="14" t="s">
        <v>91</v>
      </c>
      <c r="E29" s="14" t="s">
        <v>92</v>
      </c>
      <c r="F29" s="14" t="s">
        <v>93</v>
      </c>
      <c r="G29" s="14" t="s">
        <v>94</v>
      </c>
      <c r="H29" s="14" t="s">
        <v>95</v>
      </c>
      <c r="I29" s="14" t="s">
        <v>96</v>
      </c>
      <c r="J29" s="14" t="s">
        <v>97</v>
      </c>
      <c r="K29" s="14" t="s">
        <v>98</v>
      </c>
      <c r="L29" s="14" t="s">
        <v>99</v>
      </c>
      <c r="M29" s="14" t="s">
        <v>100</v>
      </c>
      <c r="N29" s="14" t="s">
        <v>101</v>
      </c>
      <c r="O29" s="14" t="s">
        <v>102</v>
      </c>
      <c r="P29" s="14" t="s">
        <v>103</v>
      </c>
      <c r="Q29" s="14" t="s">
        <v>104</v>
      </c>
    </row>
    <row r="30" spans="2:17" ht="19.5" customHeight="1" x14ac:dyDescent="0.2">
      <c r="B30" s="4"/>
      <c r="C30" s="12" t="s">
        <v>142</v>
      </c>
      <c r="D30" s="12" t="s">
        <v>142</v>
      </c>
      <c r="E30" s="12" t="s">
        <v>142</v>
      </c>
      <c r="F30" s="12" t="s">
        <v>142</v>
      </c>
      <c r="G30" s="12" t="s">
        <v>142</v>
      </c>
      <c r="H30" s="12" t="s">
        <v>142</v>
      </c>
      <c r="I30" s="12" t="s">
        <v>142</v>
      </c>
      <c r="J30" s="12" t="s">
        <v>142</v>
      </c>
      <c r="K30" s="12" t="s">
        <v>142</v>
      </c>
      <c r="L30" s="12" t="s">
        <v>142</v>
      </c>
      <c r="M30" s="12" t="s">
        <v>142</v>
      </c>
      <c r="N30" s="12" t="s">
        <v>142</v>
      </c>
      <c r="O30" s="12" t="s">
        <v>142</v>
      </c>
      <c r="P30" s="12" t="s">
        <v>142</v>
      </c>
      <c r="Q30" s="12" t="s">
        <v>142</v>
      </c>
    </row>
    <row r="31" spans="2:17" ht="19.5" customHeight="1" x14ac:dyDescent="0.2">
      <c r="B31" s="39" t="str">
        <f>+'1'!B15</f>
        <v>PV Oostoever 1 (VD-7)</v>
      </c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</row>
    <row r="32" spans="2:17" ht="11.4" customHeight="1" x14ac:dyDescent="0.2">
      <c r="B32" s="40" t="s">
        <v>149</v>
      </c>
      <c r="C32" s="35">
        <v>7.0000000000000001E-3</v>
      </c>
      <c r="D32" s="35">
        <v>7.0000000000000001E-3</v>
      </c>
      <c r="E32" s="35">
        <v>7.0000000000000001E-3</v>
      </c>
      <c r="F32" s="35">
        <v>7.0000000000000001E-3</v>
      </c>
      <c r="G32" s="35">
        <v>7.0000000000000001E-3</v>
      </c>
      <c r="H32" s="35">
        <v>7.0000000000000001E-3</v>
      </c>
      <c r="I32" s="35">
        <v>7.0000000000000001E-3</v>
      </c>
      <c r="J32" s="35">
        <v>7.0000000000000001E-3</v>
      </c>
      <c r="K32" s="35">
        <v>7.0000000000000001E-3</v>
      </c>
      <c r="L32" s="35">
        <v>7.0000000000000001E-3</v>
      </c>
      <c r="M32" s="35">
        <v>7.0000000000000001E-3</v>
      </c>
      <c r="N32" s="35">
        <v>7.0000000000000001E-3</v>
      </c>
      <c r="O32" s="35">
        <v>7.0000000000000001E-3</v>
      </c>
      <c r="P32" s="35">
        <v>7.0000000000000001E-3</v>
      </c>
      <c r="Q32" s="35">
        <v>7.0000000000000001E-3</v>
      </c>
    </row>
    <row r="33" spans="2:17" x14ac:dyDescent="0.2">
      <c r="B33" s="3" t="s">
        <v>150</v>
      </c>
      <c r="C33" s="35">
        <v>0.95</v>
      </c>
      <c r="D33" s="35">
        <v>1</v>
      </c>
      <c r="E33" s="35">
        <v>1</v>
      </c>
      <c r="F33" s="35">
        <v>1</v>
      </c>
      <c r="G33" s="35">
        <v>1</v>
      </c>
      <c r="H33" s="35">
        <v>1</v>
      </c>
      <c r="I33" s="35">
        <v>1</v>
      </c>
      <c r="J33" s="35">
        <v>1</v>
      </c>
      <c r="K33" s="35">
        <v>1</v>
      </c>
      <c r="L33" s="35">
        <v>1</v>
      </c>
      <c r="M33" s="35">
        <v>1</v>
      </c>
      <c r="N33" s="35">
        <v>1</v>
      </c>
      <c r="O33" s="35">
        <v>1</v>
      </c>
      <c r="P33" s="35">
        <v>1</v>
      </c>
      <c r="Q33" s="35">
        <v>1</v>
      </c>
    </row>
    <row r="34" spans="2:17" x14ac:dyDescent="0.2">
      <c r="B34" s="41" t="s">
        <v>143</v>
      </c>
      <c r="C34" s="42">
        <f>+(C$26)*(1-C32)*(C33)</f>
        <v>0.86788200000000004</v>
      </c>
      <c r="D34" s="42">
        <f>+(C34)*(1-D32)*(D33)</f>
        <v>0.86180682600000003</v>
      </c>
      <c r="E34" s="42">
        <f t="shared" ref="E34:Q34" si="1">+(D34)*(1-E32)*(E33)</f>
        <v>0.85577417821800006</v>
      </c>
      <c r="F34" s="42">
        <f t="shared" si="1"/>
        <v>0.84978375897047409</v>
      </c>
      <c r="G34" s="42">
        <f t="shared" si="1"/>
        <v>0.84383527265768077</v>
      </c>
      <c r="H34" s="42">
        <f t="shared" si="1"/>
        <v>0.837928425749077</v>
      </c>
      <c r="I34" s="42">
        <f t="shared" si="1"/>
        <v>0.83206292676883342</v>
      </c>
      <c r="J34" s="42">
        <f t="shared" si="1"/>
        <v>0.82623848628145158</v>
      </c>
      <c r="K34" s="42">
        <f t="shared" si="1"/>
        <v>0.82045481687748145</v>
      </c>
      <c r="L34" s="42">
        <f t="shared" si="1"/>
        <v>0.81471163315933903</v>
      </c>
      <c r="M34" s="42">
        <f t="shared" si="1"/>
        <v>0.80900865172722369</v>
      </c>
      <c r="N34" s="42">
        <f t="shared" si="1"/>
        <v>0.80334559116513315</v>
      </c>
      <c r="O34" s="42">
        <f t="shared" si="1"/>
        <v>0.79772217202697726</v>
      </c>
      <c r="P34" s="42">
        <f t="shared" si="1"/>
        <v>0.79213811682278845</v>
      </c>
      <c r="Q34" s="42">
        <f t="shared" si="1"/>
        <v>0.78659315000502894</v>
      </c>
    </row>
    <row r="35" spans="2:17" x14ac:dyDescent="0.2">
      <c r="B35" s="3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</row>
    <row r="36" spans="2:17" x14ac:dyDescent="0.2">
      <c r="B36" s="39" t="str">
        <f>+'1'!B16</f>
        <v>PV Oostoever 2 (VD-8)</v>
      </c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</row>
    <row r="37" spans="2:17" ht="11.4" hidden="1" customHeight="1" x14ac:dyDescent="0.2">
      <c r="B37" s="40" t="s">
        <v>149</v>
      </c>
      <c r="C37" s="50">
        <f>+$C$32</f>
        <v>7.0000000000000001E-3</v>
      </c>
      <c r="D37" s="50">
        <f>+$D$32</f>
        <v>7.0000000000000001E-3</v>
      </c>
      <c r="E37" s="50">
        <f>+$E$32</f>
        <v>7.0000000000000001E-3</v>
      </c>
      <c r="F37" s="50">
        <f>+$F$32</f>
        <v>7.0000000000000001E-3</v>
      </c>
      <c r="G37" s="50">
        <f>+$G$32</f>
        <v>7.0000000000000001E-3</v>
      </c>
      <c r="H37" s="50">
        <f>+$H$32</f>
        <v>7.0000000000000001E-3</v>
      </c>
      <c r="I37" s="50">
        <f>+$I$32</f>
        <v>7.0000000000000001E-3</v>
      </c>
      <c r="J37" s="50">
        <f>+$J$32</f>
        <v>7.0000000000000001E-3</v>
      </c>
      <c r="K37" s="50">
        <f>+$K$32</f>
        <v>7.0000000000000001E-3</v>
      </c>
      <c r="L37" s="50">
        <f>+$L$32</f>
        <v>7.0000000000000001E-3</v>
      </c>
      <c r="M37" s="50">
        <f>+$M$32</f>
        <v>7.0000000000000001E-3</v>
      </c>
      <c r="N37" s="50">
        <f>+$N$32</f>
        <v>7.0000000000000001E-3</v>
      </c>
      <c r="O37" s="50">
        <f>+$O$32</f>
        <v>7.0000000000000001E-3</v>
      </c>
      <c r="P37" s="50">
        <f>+$P$32</f>
        <v>7.0000000000000001E-3</v>
      </c>
      <c r="Q37" s="50">
        <f>+$Q$32</f>
        <v>7.0000000000000001E-3</v>
      </c>
    </row>
    <row r="38" spans="2:17" ht="11.4" customHeight="1" x14ac:dyDescent="0.2">
      <c r="B38" s="3" t="s">
        <v>150</v>
      </c>
      <c r="C38" s="35">
        <v>0.95</v>
      </c>
      <c r="D38" s="35">
        <v>1</v>
      </c>
      <c r="E38" s="35">
        <v>1</v>
      </c>
      <c r="F38" s="35">
        <v>1</v>
      </c>
      <c r="G38" s="35">
        <v>1</v>
      </c>
      <c r="H38" s="35">
        <v>1</v>
      </c>
      <c r="I38" s="35">
        <v>1</v>
      </c>
      <c r="J38" s="35">
        <v>1</v>
      </c>
      <c r="K38" s="35">
        <v>1</v>
      </c>
      <c r="L38" s="35">
        <v>1</v>
      </c>
      <c r="M38" s="35">
        <v>1</v>
      </c>
      <c r="N38" s="35">
        <v>1</v>
      </c>
      <c r="O38" s="35">
        <v>1</v>
      </c>
      <c r="P38" s="35">
        <v>1</v>
      </c>
      <c r="Q38" s="35">
        <v>1</v>
      </c>
    </row>
    <row r="39" spans="2:17" x14ac:dyDescent="0.2">
      <c r="B39" s="41" t="s">
        <v>143</v>
      </c>
      <c r="C39" s="42">
        <f>+(D$26)*(1-C37)*(C38)</f>
        <v>0.86788200000000004</v>
      </c>
      <c r="D39" s="42">
        <f>+(C39)*(1-D37)*(D38)</f>
        <v>0.86180682600000003</v>
      </c>
      <c r="E39" s="42">
        <f t="shared" ref="E39:Q39" si="2">+(D39)*(1-E37)*(E38)</f>
        <v>0.85577417821800006</v>
      </c>
      <c r="F39" s="42">
        <f t="shared" si="2"/>
        <v>0.84978375897047409</v>
      </c>
      <c r="G39" s="42">
        <f t="shared" si="2"/>
        <v>0.84383527265768077</v>
      </c>
      <c r="H39" s="42">
        <f t="shared" si="2"/>
        <v>0.837928425749077</v>
      </c>
      <c r="I39" s="42">
        <f t="shared" si="2"/>
        <v>0.83206292676883342</v>
      </c>
      <c r="J39" s="42">
        <f t="shared" si="2"/>
        <v>0.82623848628145158</v>
      </c>
      <c r="K39" s="42">
        <f t="shared" si="2"/>
        <v>0.82045481687748145</v>
      </c>
      <c r="L39" s="42">
        <f t="shared" si="2"/>
        <v>0.81471163315933903</v>
      </c>
      <c r="M39" s="42">
        <f t="shared" si="2"/>
        <v>0.80900865172722369</v>
      </c>
      <c r="N39" s="42">
        <f t="shared" si="2"/>
        <v>0.80334559116513315</v>
      </c>
      <c r="O39" s="42">
        <f t="shared" si="2"/>
        <v>0.79772217202697726</v>
      </c>
      <c r="P39" s="42">
        <f t="shared" si="2"/>
        <v>0.79213811682278845</v>
      </c>
      <c r="Q39" s="42">
        <f t="shared" si="2"/>
        <v>0.78659315000502894</v>
      </c>
    </row>
    <row r="40" spans="2:17" x14ac:dyDescent="0.2">
      <c r="B40" s="3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</row>
    <row r="41" spans="2:17" x14ac:dyDescent="0.2">
      <c r="B41" s="39" t="str">
        <f>+'1'!B17</f>
        <v>PV rwzi Den Helder (VD-3)</v>
      </c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</row>
    <row r="42" spans="2:17" ht="11.4" hidden="1" customHeight="1" x14ac:dyDescent="0.2">
      <c r="B42" s="40" t="s">
        <v>149</v>
      </c>
      <c r="C42" s="50">
        <f>+$C$32</f>
        <v>7.0000000000000001E-3</v>
      </c>
      <c r="D42" s="50">
        <f>+$D$32</f>
        <v>7.0000000000000001E-3</v>
      </c>
      <c r="E42" s="50">
        <f>+$E$32</f>
        <v>7.0000000000000001E-3</v>
      </c>
      <c r="F42" s="50">
        <f>+$F$32</f>
        <v>7.0000000000000001E-3</v>
      </c>
      <c r="G42" s="50">
        <f>+$G$32</f>
        <v>7.0000000000000001E-3</v>
      </c>
      <c r="H42" s="50">
        <f>+$H$32</f>
        <v>7.0000000000000001E-3</v>
      </c>
      <c r="I42" s="50">
        <f>+$I$32</f>
        <v>7.0000000000000001E-3</v>
      </c>
      <c r="J42" s="50">
        <f>+$J$32</f>
        <v>7.0000000000000001E-3</v>
      </c>
      <c r="K42" s="50">
        <f>+$K$32</f>
        <v>7.0000000000000001E-3</v>
      </c>
      <c r="L42" s="50">
        <f>+$L$32</f>
        <v>7.0000000000000001E-3</v>
      </c>
      <c r="M42" s="50">
        <f>+$M$32</f>
        <v>7.0000000000000001E-3</v>
      </c>
      <c r="N42" s="50">
        <f>+$N$32</f>
        <v>7.0000000000000001E-3</v>
      </c>
      <c r="O42" s="50">
        <f>+$O$32</f>
        <v>7.0000000000000001E-3</v>
      </c>
      <c r="P42" s="50">
        <f>+$P$32</f>
        <v>7.0000000000000001E-3</v>
      </c>
      <c r="Q42" s="50">
        <f>+$Q$32</f>
        <v>7.0000000000000001E-3</v>
      </c>
    </row>
    <row r="43" spans="2:17" x14ac:dyDescent="0.2">
      <c r="B43" s="3" t="s">
        <v>150</v>
      </c>
      <c r="C43" s="35">
        <v>0.95</v>
      </c>
      <c r="D43" s="35">
        <v>1</v>
      </c>
      <c r="E43" s="35">
        <v>1</v>
      </c>
      <c r="F43" s="35">
        <v>1</v>
      </c>
      <c r="G43" s="35">
        <v>1</v>
      </c>
      <c r="H43" s="35">
        <v>1</v>
      </c>
      <c r="I43" s="35">
        <v>1</v>
      </c>
      <c r="J43" s="35">
        <v>1</v>
      </c>
      <c r="K43" s="35">
        <v>1</v>
      </c>
      <c r="L43" s="35">
        <v>1</v>
      </c>
      <c r="M43" s="35">
        <v>1</v>
      </c>
      <c r="N43" s="35">
        <v>1</v>
      </c>
      <c r="O43" s="35">
        <v>1</v>
      </c>
      <c r="P43" s="35">
        <v>1</v>
      </c>
      <c r="Q43" s="35">
        <v>1</v>
      </c>
    </row>
    <row r="44" spans="2:17" x14ac:dyDescent="0.2">
      <c r="B44" s="41" t="s">
        <v>143</v>
      </c>
      <c r="C44" s="42">
        <f>+(E$26)*(1-C42)*(C43)</f>
        <v>0.86788200000000004</v>
      </c>
      <c r="D44" s="42">
        <f>+(C44)*(1-D42)*(D43)</f>
        <v>0.86180682600000003</v>
      </c>
      <c r="E44" s="42">
        <f t="shared" ref="E44:Q44" si="3">+(D44)*(1-E42)*(E43)</f>
        <v>0.85577417821800006</v>
      </c>
      <c r="F44" s="42">
        <f t="shared" si="3"/>
        <v>0.84978375897047409</v>
      </c>
      <c r="G44" s="42">
        <f t="shared" si="3"/>
        <v>0.84383527265768077</v>
      </c>
      <c r="H44" s="42">
        <f t="shared" si="3"/>
        <v>0.837928425749077</v>
      </c>
      <c r="I44" s="42">
        <f t="shared" si="3"/>
        <v>0.83206292676883342</v>
      </c>
      <c r="J44" s="42">
        <f t="shared" si="3"/>
        <v>0.82623848628145158</v>
      </c>
      <c r="K44" s="42">
        <f t="shared" si="3"/>
        <v>0.82045481687748145</v>
      </c>
      <c r="L44" s="42">
        <f t="shared" si="3"/>
        <v>0.81471163315933903</v>
      </c>
      <c r="M44" s="42">
        <f t="shared" si="3"/>
        <v>0.80900865172722369</v>
      </c>
      <c r="N44" s="42">
        <f t="shared" si="3"/>
        <v>0.80334559116513315</v>
      </c>
      <c r="O44" s="42">
        <f t="shared" si="3"/>
        <v>0.79772217202697726</v>
      </c>
      <c r="P44" s="42">
        <f t="shared" si="3"/>
        <v>0.79213811682278845</v>
      </c>
      <c r="Q44" s="42">
        <f t="shared" si="3"/>
        <v>0.78659315000502894</v>
      </c>
    </row>
    <row r="45" spans="2:17" x14ac:dyDescent="0.2">
      <c r="B45" s="3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</row>
    <row r="46" spans="2:17" x14ac:dyDescent="0.2">
      <c r="B46" s="39" t="str">
        <f>+'1'!B18</f>
        <v>PV Balgzand 1 (VD-4)</v>
      </c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</row>
    <row r="47" spans="2:17" ht="11.4" hidden="1" customHeight="1" x14ac:dyDescent="0.2">
      <c r="B47" s="40" t="s">
        <v>149</v>
      </c>
      <c r="C47" s="50">
        <f>+$C$32</f>
        <v>7.0000000000000001E-3</v>
      </c>
      <c r="D47" s="50">
        <f>+$D$32</f>
        <v>7.0000000000000001E-3</v>
      </c>
      <c r="E47" s="50">
        <f>+$E$32</f>
        <v>7.0000000000000001E-3</v>
      </c>
      <c r="F47" s="50">
        <f>+$F$32</f>
        <v>7.0000000000000001E-3</v>
      </c>
      <c r="G47" s="50">
        <f>+$G$32</f>
        <v>7.0000000000000001E-3</v>
      </c>
      <c r="H47" s="50">
        <f>+$H$32</f>
        <v>7.0000000000000001E-3</v>
      </c>
      <c r="I47" s="50">
        <f>+$I$32</f>
        <v>7.0000000000000001E-3</v>
      </c>
      <c r="J47" s="50">
        <f>+$J$32</f>
        <v>7.0000000000000001E-3</v>
      </c>
      <c r="K47" s="50">
        <f>+$K$32</f>
        <v>7.0000000000000001E-3</v>
      </c>
      <c r="L47" s="50">
        <f>+$L$32</f>
        <v>7.0000000000000001E-3</v>
      </c>
      <c r="M47" s="50">
        <f>+$M$32</f>
        <v>7.0000000000000001E-3</v>
      </c>
      <c r="N47" s="50">
        <f>+$N$32</f>
        <v>7.0000000000000001E-3</v>
      </c>
      <c r="O47" s="50">
        <f>+$O$32</f>
        <v>7.0000000000000001E-3</v>
      </c>
      <c r="P47" s="50">
        <f>+$P$32</f>
        <v>7.0000000000000001E-3</v>
      </c>
      <c r="Q47" s="50">
        <f>+$Q$32</f>
        <v>7.0000000000000001E-3</v>
      </c>
    </row>
    <row r="48" spans="2:17" x14ac:dyDescent="0.2">
      <c r="B48" s="3" t="s">
        <v>150</v>
      </c>
      <c r="C48" s="35">
        <v>0.95</v>
      </c>
      <c r="D48" s="35">
        <v>1</v>
      </c>
      <c r="E48" s="35">
        <v>1</v>
      </c>
      <c r="F48" s="35">
        <v>1</v>
      </c>
      <c r="G48" s="35">
        <v>1</v>
      </c>
      <c r="H48" s="35">
        <v>1</v>
      </c>
      <c r="I48" s="35">
        <v>1</v>
      </c>
      <c r="J48" s="35">
        <v>1</v>
      </c>
      <c r="K48" s="35">
        <v>1</v>
      </c>
      <c r="L48" s="35">
        <v>1</v>
      </c>
      <c r="M48" s="35">
        <v>1</v>
      </c>
      <c r="N48" s="35">
        <v>1</v>
      </c>
      <c r="O48" s="35">
        <v>1</v>
      </c>
      <c r="P48" s="35">
        <v>1</v>
      </c>
      <c r="Q48" s="35">
        <v>1</v>
      </c>
    </row>
    <row r="49" spans="2:17" x14ac:dyDescent="0.2">
      <c r="B49" s="41" t="s">
        <v>143</v>
      </c>
      <c r="C49" s="42">
        <f>+(F$26)*(1-C47)*(C48)</f>
        <v>0.86788200000000004</v>
      </c>
      <c r="D49" s="42">
        <f>+(C49)*(1-D47)*(D48)</f>
        <v>0.86180682600000003</v>
      </c>
      <c r="E49" s="42">
        <f t="shared" ref="E49:Q49" si="4">+(D49)*(1-E47)*(E48)</f>
        <v>0.85577417821800006</v>
      </c>
      <c r="F49" s="42">
        <f t="shared" si="4"/>
        <v>0.84978375897047409</v>
      </c>
      <c r="G49" s="42">
        <f t="shared" si="4"/>
        <v>0.84383527265768077</v>
      </c>
      <c r="H49" s="42">
        <f t="shared" si="4"/>
        <v>0.837928425749077</v>
      </c>
      <c r="I49" s="42">
        <f t="shared" si="4"/>
        <v>0.83206292676883342</v>
      </c>
      <c r="J49" s="42">
        <f t="shared" si="4"/>
        <v>0.82623848628145158</v>
      </c>
      <c r="K49" s="42">
        <f t="shared" si="4"/>
        <v>0.82045481687748145</v>
      </c>
      <c r="L49" s="42">
        <f t="shared" si="4"/>
        <v>0.81471163315933903</v>
      </c>
      <c r="M49" s="42">
        <f t="shared" si="4"/>
        <v>0.80900865172722369</v>
      </c>
      <c r="N49" s="42">
        <f t="shared" si="4"/>
        <v>0.80334559116513315</v>
      </c>
      <c r="O49" s="42">
        <f t="shared" si="4"/>
        <v>0.79772217202697726</v>
      </c>
      <c r="P49" s="42">
        <f t="shared" si="4"/>
        <v>0.79213811682278845</v>
      </c>
      <c r="Q49" s="42">
        <f t="shared" si="4"/>
        <v>0.78659315000502894</v>
      </c>
    </row>
    <row r="50" spans="2:17" x14ac:dyDescent="0.2">
      <c r="B50" s="3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</row>
    <row r="51" spans="2:17" x14ac:dyDescent="0.2">
      <c r="B51" s="39" t="str">
        <f>+'1'!B19</f>
        <v>PV Balgzand 2 (VD-5), Zuid</v>
      </c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</row>
    <row r="52" spans="2:17" ht="11.4" hidden="1" customHeight="1" x14ac:dyDescent="0.2">
      <c r="B52" s="40" t="s">
        <v>149</v>
      </c>
      <c r="C52" s="50">
        <f>+$C$32</f>
        <v>7.0000000000000001E-3</v>
      </c>
      <c r="D52" s="50">
        <f>+$D$32</f>
        <v>7.0000000000000001E-3</v>
      </c>
      <c r="E52" s="50">
        <f>+$E$32</f>
        <v>7.0000000000000001E-3</v>
      </c>
      <c r="F52" s="50">
        <f>+$F$32</f>
        <v>7.0000000000000001E-3</v>
      </c>
      <c r="G52" s="50">
        <f>+$G$32</f>
        <v>7.0000000000000001E-3</v>
      </c>
      <c r="H52" s="50">
        <f>+$H$32</f>
        <v>7.0000000000000001E-3</v>
      </c>
      <c r="I52" s="50">
        <f>+$I$32</f>
        <v>7.0000000000000001E-3</v>
      </c>
      <c r="J52" s="50">
        <f>+$J$32</f>
        <v>7.0000000000000001E-3</v>
      </c>
      <c r="K52" s="50">
        <f>+$K$32</f>
        <v>7.0000000000000001E-3</v>
      </c>
      <c r="L52" s="50">
        <f>+$L$32</f>
        <v>7.0000000000000001E-3</v>
      </c>
      <c r="M52" s="50">
        <f>+$M$32</f>
        <v>7.0000000000000001E-3</v>
      </c>
      <c r="N52" s="50">
        <f>+$N$32</f>
        <v>7.0000000000000001E-3</v>
      </c>
      <c r="O52" s="50">
        <f>+$O$32</f>
        <v>7.0000000000000001E-3</v>
      </c>
      <c r="P52" s="50">
        <f>+$P$32</f>
        <v>7.0000000000000001E-3</v>
      </c>
      <c r="Q52" s="50">
        <f>+$Q$32</f>
        <v>7.0000000000000001E-3</v>
      </c>
    </row>
    <row r="53" spans="2:17" x14ac:dyDescent="0.2">
      <c r="B53" s="3" t="s">
        <v>150</v>
      </c>
      <c r="C53" s="35">
        <v>0.95</v>
      </c>
      <c r="D53" s="35">
        <v>1</v>
      </c>
      <c r="E53" s="35">
        <v>1</v>
      </c>
      <c r="F53" s="35">
        <v>1</v>
      </c>
      <c r="G53" s="35">
        <v>1</v>
      </c>
      <c r="H53" s="35">
        <v>1</v>
      </c>
      <c r="I53" s="35">
        <v>1</v>
      </c>
      <c r="J53" s="35">
        <v>1</v>
      </c>
      <c r="K53" s="35">
        <v>1</v>
      </c>
      <c r="L53" s="35">
        <v>1</v>
      </c>
      <c r="M53" s="35">
        <v>1</v>
      </c>
      <c r="N53" s="35">
        <v>1</v>
      </c>
      <c r="O53" s="35">
        <v>1</v>
      </c>
      <c r="P53" s="35">
        <v>1</v>
      </c>
      <c r="Q53" s="35">
        <v>1</v>
      </c>
    </row>
    <row r="54" spans="2:17" x14ac:dyDescent="0.2">
      <c r="B54" s="41" t="s">
        <v>143</v>
      </c>
      <c r="C54" s="42">
        <f>+(G$26)*(1-C52)*(C53)</f>
        <v>0.86788200000000004</v>
      </c>
      <c r="D54" s="42">
        <f>+(C54)*(1-D52)*(D53)</f>
        <v>0.86180682600000003</v>
      </c>
      <c r="E54" s="42">
        <f t="shared" ref="E54:Q54" si="5">+(D54)*(1-E52)*(E53)</f>
        <v>0.85577417821800006</v>
      </c>
      <c r="F54" s="42">
        <f t="shared" si="5"/>
        <v>0.84978375897047409</v>
      </c>
      <c r="G54" s="42">
        <f t="shared" si="5"/>
        <v>0.84383527265768077</v>
      </c>
      <c r="H54" s="42">
        <f t="shared" si="5"/>
        <v>0.837928425749077</v>
      </c>
      <c r="I54" s="42">
        <f t="shared" si="5"/>
        <v>0.83206292676883342</v>
      </c>
      <c r="J54" s="42">
        <f t="shared" si="5"/>
        <v>0.82623848628145158</v>
      </c>
      <c r="K54" s="42">
        <f t="shared" si="5"/>
        <v>0.82045481687748145</v>
      </c>
      <c r="L54" s="42">
        <f t="shared" si="5"/>
        <v>0.81471163315933903</v>
      </c>
      <c r="M54" s="42">
        <f t="shared" si="5"/>
        <v>0.80900865172722369</v>
      </c>
      <c r="N54" s="42">
        <f t="shared" si="5"/>
        <v>0.80334559116513315</v>
      </c>
      <c r="O54" s="42">
        <f t="shared" si="5"/>
        <v>0.79772217202697726</v>
      </c>
      <c r="P54" s="42">
        <f t="shared" si="5"/>
        <v>0.79213811682278845</v>
      </c>
      <c r="Q54" s="42">
        <f t="shared" si="5"/>
        <v>0.78659315000502894</v>
      </c>
    </row>
    <row r="55" spans="2:17" x14ac:dyDescent="0.2">
      <c r="B55" s="3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</row>
    <row r="56" spans="2:17" x14ac:dyDescent="0.2">
      <c r="B56" s="39" t="str">
        <f>+'1'!B20</f>
        <v>PV Balgzand 2 (VD-5), West</v>
      </c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</row>
    <row r="57" spans="2:17" ht="11.4" hidden="1" customHeight="1" x14ac:dyDescent="0.2">
      <c r="B57" s="40" t="s">
        <v>149</v>
      </c>
      <c r="C57" s="50">
        <f>+$C$32</f>
        <v>7.0000000000000001E-3</v>
      </c>
      <c r="D57" s="50">
        <f>+$D$32</f>
        <v>7.0000000000000001E-3</v>
      </c>
      <c r="E57" s="50">
        <f>+$E$32</f>
        <v>7.0000000000000001E-3</v>
      </c>
      <c r="F57" s="50">
        <f>+$F$32</f>
        <v>7.0000000000000001E-3</v>
      </c>
      <c r="G57" s="50">
        <f>+$G$32</f>
        <v>7.0000000000000001E-3</v>
      </c>
      <c r="H57" s="50">
        <f>+$H$32</f>
        <v>7.0000000000000001E-3</v>
      </c>
      <c r="I57" s="50">
        <f>+$I$32</f>
        <v>7.0000000000000001E-3</v>
      </c>
      <c r="J57" s="50">
        <f>+$J$32</f>
        <v>7.0000000000000001E-3</v>
      </c>
      <c r="K57" s="50">
        <f>+$K$32</f>
        <v>7.0000000000000001E-3</v>
      </c>
      <c r="L57" s="50">
        <f>+$L$32</f>
        <v>7.0000000000000001E-3</v>
      </c>
      <c r="M57" s="50">
        <f>+$M$32</f>
        <v>7.0000000000000001E-3</v>
      </c>
      <c r="N57" s="50">
        <f>+$N$32</f>
        <v>7.0000000000000001E-3</v>
      </c>
      <c r="O57" s="50">
        <f>+$O$32</f>
        <v>7.0000000000000001E-3</v>
      </c>
      <c r="P57" s="50">
        <f>+$P$32</f>
        <v>7.0000000000000001E-3</v>
      </c>
      <c r="Q57" s="50">
        <f>+$Q$32</f>
        <v>7.0000000000000001E-3</v>
      </c>
    </row>
    <row r="58" spans="2:17" x14ac:dyDescent="0.2">
      <c r="B58" s="3" t="s">
        <v>150</v>
      </c>
      <c r="C58" s="35">
        <v>0.95</v>
      </c>
      <c r="D58" s="35">
        <v>1</v>
      </c>
      <c r="E58" s="35">
        <v>1</v>
      </c>
      <c r="F58" s="35">
        <v>1</v>
      </c>
      <c r="G58" s="35">
        <v>1</v>
      </c>
      <c r="H58" s="35">
        <v>1</v>
      </c>
      <c r="I58" s="35">
        <v>1</v>
      </c>
      <c r="J58" s="35">
        <v>1</v>
      </c>
      <c r="K58" s="35">
        <v>1</v>
      </c>
      <c r="L58" s="35">
        <v>1</v>
      </c>
      <c r="M58" s="35">
        <v>1</v>
      </c>
      <c r="N58" s="35">
        <v>1</v>
      </c>
      <c r="O58" s="35">
        <v>1</v>
      </c>
      <c r="P58" s="35">
        <v>1</v>
      </c>
      <c r="Q58" s="35">
        <v>1</v>
      </c>
    </row>
    <row r="59" spans="2:17" x14ac:dyDescent="0.2">
      <c r="B59" s="41" t="s">
        <v>143</v>
      </c>
      <c r="C59" s="42">
        <f>+(H$26)*(1-C57)*(C58)</f>
        <v>0.86788200000000004</v>
      </c>
      <c r="D59" s="42">
        <f>+(C59)*(1-D57)*(D58)</f>
        <v>0.86180682600000003</v>
      </c>
      <c r="E59" s="42">
        <f t="shared" ref="E59:Q59" si="6">+(D59)*(1-E57)*(E58)</f>
        <v>0.85577417821800006</v>
      </c>
      <c r="F59" s="42">
        <f t="shared" si="6"/>
        <v>0.84978375897047409</v>
      </c>
      <c r="G59" s="42">
        <f t="shared" si="6"/>
        <v>0.84383527265768077</v>
      </c>
      <c r="H59" s="42">
        <f t="shared" si="6"/>
        <v>0.837928425749077</v>
      </c>
      <c r="I59" s="42">
        <f t="shared" si="6"/>
        <v>0.83206292676883342</v>
      </c>
      <c r="J59" s="42">
        <f t="shared" si="6"/>
        <v>0.82623848628145158</v>
      </c>
      <c r="K59" s="42">
        <f t="shared" si="6"/>
        <v>0.82045481687748145</v>
      </c>
      <c r="L59" s="42">
        <f t="shared" si="6"/>
        <v>0.81471163315933903</v>
      </c>
      <c r="M59" s="42">
        <f t="shared" si="6"/>
        <v>0.80900865172722369</v>
      </c>
      <c r="N59" s="42">
        <f t="shared" si="6"/>
        <v>0.80334559116513315</v>
      </c>
      <c r="O59" s="42">
        <f t="shared" si="6"/>
        <v>0.79772217202697726</v>
      </c>
      <c r="P59" s="42">
        <f t="shared" si="6"/>
        <v>0.79213811682278845</v>
      </c>
      <c r="Q59" s="42">
        <f t="shared" si="6"/>
        <v>0.78659315000502894</v>
      </c>
    </row>
    <row r="60" spans="2:17" x14ac:dyDescent="0.2">
      <c r="B60" s="3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</row>
    <row r="61" spans="2:17" x14ac:dyDescent="0.2">
      <c r="B61" s="39" t="str">
        <f>+'1'!B21</f>
        <v>PV Balgzand 3 (VD-9)</v>
      </c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</row>
    <row r="62" spans="2:17" ht="11.4" hidden="1" customHeight="1" x14ac:dyDescent="0.2">
      <c r="B62" s="40" t="s">
        <v>149</v>
      </c>
      <c r="C62" s="50">
        <f>+$C$32</f>
        <v>7.0000000000000001E-3</v>
      </c>
      <c r="D62" s="50">
        <f>+$D$32</f>
        <v>7.0000000000000001E-3</v>
      </c>
      <c r="E62" s="50">
        <f>+$E$32</f>
        <v>7.0000000000000001E-3</v>
      </c>
      <c r="F62" s="50">
        <f>+$F$32</f>
        <v>7.0000000000000001E-3</v>
      </c>
      <c r="G62" s="50">
        <f>+$G$32</f>
        <v>7.0000000000000001E-3</v>
      </c>
      <c r="H62" s="50">
        <f>+$H$32</f>
        <v>7.0000000000000001E-3</v>
      </c>
      <c r="I62" s="50">
        <f>+$I$32</f>
        <v>7.0000000000000001E-3</v>
      </c>
      <c r="J62" s="50">
        <f>+$J$32</f>
        <v>7.0000000000000001E-3</v>
      </c>
      <c r="K62" s="50">
        <f>+$K$32</f>
        <v>7.0000000000000001E-3</v>
      </c>
      <c r="L62" s="50">
        <f>+$L$32</f>
        <v>7.0000000000000001E-3</v>
      </c>
      <c r="M62" s="50">
        <f>+$M$32</f>
        <v>7.0000000000000001E-3</v>
      </c>
      <c r="N62" s="50">
        <f>+$N$32</f>
        <v>7.0000000000000001E-3</v>
      </c>
      <c r="O62" s="50">
        <f>+$O$32</f>
        <v>7.0000000000000001E-3</v>
      </c>
      <c r="P62" s="50">
        <f>+$P$32</f>
        <v>7.0000000000000001E-3</v>
      </c>
      <c r="Q62" s="50">
        <f>+$Q$32</f>
        <v>7.0000000000000001E-3</v>
      </c>
    </row>
    <row r="63" spans="2:17" x14ac:dyDescent="0.2">
      <c r="B63" s="3" t="s">
        <v>150</v>
      </c>
      <c r="C63" s="35">
        <v>0.95</v>
      </c>
      <c r="D63" s="35">
        <v>1</v>
      </c>
      <c r="E63" s="35">
        <v>1</v>
      </c>
      <c r="F63" s="35">
        <v>1</v>
      </c>
      <c r="G63" s="35">
        <v>1</v>
      </c>
      <c r="H63" s="35">
        <v>1</v>
      </c>
      <c r="I63" s="35">
        <v>1</v>
      </c>
      <c r="J63" s="35">
        <v>1</v>
      </c>
      <c r="K63" s="35">
        <v>1</v>
      </c>
      <c r="L63" s="35">
        <v>1</v>
      </c>
      <c r="M63" s="35">
        <v>1</v>
      </c>
      <c r="N63" s="35">
        <v>1</v>
      </c>
      <c r="O63" s="35">
        <v>1</v>
      </c>
      <c r="P63" s="35">
        <v>1</v>
      </c>
      <c r="Q63" s="35">
        <v>1</v>
      </c>
    </row>
    <row r="64" spans="2:17" x14ac:dyDescent="0.2">
      <c r="B64" s="41" t="s">
        <v>143</v>
      </c>
      <c r="C64" s="42">
        <f>+(I$26)*(1-C62)*(C63)</f>
        <v>0.86788200000000004</v>
      </c>
      <c r="D64" s="42">
        <f>+(C64)*(1-D62)*(D63)</f>
        <v>0.86180682600000003</v>
      </c>
      <c r="E64" s="42">
        <f t="shared" ref="E64:Q64" si="7">+(D64)*(1-E62)*(E63)</f>
        <v>0.85577417821800006</v>
      </c>
      <c r="F64" s="42">
        <f t="shared" si="7"/>
        <v>0.84978375897047409</v>
      </c>
      <c r="G64" s="42">
        <f t="shared" si="7"/>
        <v>0.84383527265768077</v>
      </c>
      <c r="H64" s="42">
        <f t="shared" si="7"/>
        <v>0.837928425749077</v>
      </c>
      <c r="I64" s="42">
        <f t="shared" si="7"/>
        <v>0.83206292676883342</v>
      </c>
      <c r="J64" s="42">
        <f t="shared" si="7"/>
        <v>0.82623848628145158</v>
      </c>
      <c r="K64" s="42">
        <f t="shared" si="7"/>
        <v>0.82045481687748145</v>
      </c>
      <c r="L64" s="42">
        <f t="shared" si="7"/>
        <v>0.81471163315933903</v>
      </c>
      <c r="M64" s="42">
        <f t="shared" si="7"/>
        <v>0.80900865172722369</v>
      </c>
      <c r="N64" s="42">
        <f t="shared" si="7"/>
        <v>0.80334559116513315</v>
      </c>
      <c r="O64" s="42">
        <f t="shared" si="7"/>
        <v>0.79772217202697726</v>
      </c>
      <c r="P64" s="42">
        <f t="shared" si="7"/>
        <v>0.79213811682278845</v>
      </c>
      <c r="Q64" s="42">
        <f t="shared" si="7"/>
        <v>0.78659315000502894</v>
      </c>
    </row>
    <row r="65" spans="2:17" x14ac:dyDescent="0.2"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</row>
    <row r="66" spans="2:17" x14ac:dyDescent="0.2">
      <c r="F66" s="43"/>
      <c r="G66" s="43"/>
      <c r="H66" s="43"/>
      <c r="J66" s="11"/>
      <c r="K66" s="11"/>
      <c r="L66" s="11"/>
      <c r="M66" s="11"/>
      <c r="N66" s="11"/>
      <c r="O66" s="11"/>
      <c r="P66" s="11"/>
      <c r="Q66" s="11"/>
    </row>
    <row r="67" spans="2:17" x14ac:dyDescent="0.2">
      <c r="C67" s="36" t="s">
        <v>35</v>
      </c>
    </row>
    <row r="68" spans="2:17" x14ac:dyDescent="0.2">
      <c r="B68" s="44"/>
      <c r="C68" s="11" t="s">
        <v>82</v>
      </c>
    </row>
    <row r="69" spans="2:17" x14ac:dyDescent="0.2">
      <c r="B69" s="38">
        <v>0.9</v>
      </c>
      <c r="C69" s="11" t="s">
        <v>36</v>
      </c>
    </row>
    <row r="70" spans="2:17" x14ac:dyDescent="0.2">
      <c r="B70" s="45" t="s">
        <v>41</v>
      </c>
      <c r="C70" s="46" t="s">
        <v>83</v>
      </c>
      <c r="H70" s="47">
        <v>0.99299999999999999</v>
      </c>
    </row>
    <row r="71" spans="2:17" x14ac:dyDescent="0.2">
      <c r="B71" s="45" t="s">
        <v>43</v>
      </c>
      <c r="C71" s="46" t="s">
        <v>84</v>
      </c>
    </row>
    <row r="72" spans="2:17" x14ac:dyDescent="0.2">
      <c r="B72" s="45" t="s">
        <v>45</v>
      </c>
      <c r="C72" s="46" t="s">
        <v>85</v>
      </c>
    </row>
    <row r="73" spans="2:17" x14ac:dyDescent="0.2">
      <c r="B73" s="45" t="s">
        <v>47</v>
      </c>
      <c r="C73" s="46" t="s">
        <v>86</v>
      </c>
    </row>
    <row r="74" spans="2:17" x14ac:dyDescent="0.2">
      <c r="B74" s="45" t="s">
        <v>48</v>
      </c>
      <c r="C74" s="46" t="s">
        <v>138</v>
      </c>
    </row>
    <row r="75" spans="2:17" x14ac:dyDescent="0.2">
      <c r="B75" s="45" t="s">
        <v>51</v>
      </c>
      <c r="C75" s="46" t="s">
        <v>87</v>
      </c>
    </row>
    <row r="76" spans="2:17" x14ac:dyDescent="0.2">
      <c r="B76" s="45" t="s">
        <v>52</v>
      </c>
      <c r="C76" s="46" t="s">
        <v>147</v>
      </c>
    </row>
    <row r="77" spans="2:17" x14ac:dyDescent="0.2">
      <c r="B77" s="45" t="s">
        <v>54</v>
      </c>
      <c r="C77" s="46" t="s">
        <v>144</v>
      </c>
    </row>
    <row r="78" spans="2:17" x14ac:dyDescent="0.2">
      <c r="B78" s="45" t="s">
        <v>56</v>
      </c>
      <c r="C78" s="46" t="s">
        <v>145</v>
      </c>
    </row>
    <row r="79" spans="2:17" x14ac:dyDescent="0.2">
      <c r="B79" s="45" t="s">
        <v>58</v>
      </c>
      <c r="C79" s="46" t="s">
        <v>146</v>
      </c>
    </row>
    <row r="80" spans="2:17" x14ac:dyDescent="0.2">
      <c r="B80" s="45" t="s">
        <v>60</v>
      </c>
      <c r="C80" s="46" t="s">
        <v>148</v>
      </c>
    </row>
    <row r="81" spans="2:3" x14ac:dyDescent="0.2">
      <c r="B81" s="45" t="s">
        <v>62</v>
      </c>
      <c r="C81" s="46" t="s">
        <v>152</v>
      </c>
    </row>
    <row r="82" spans="2:3" x14ac:dyDescent="0.2">
      <c r="B82" s="45" t="s">
        <v>64</v>
      </c>
      <c r="C82" s="1" t="s">
        <v>154</v>
      </c>
    </row>
    <row r="83" spans="2:3" x14ac:dyDescent="0.2">
      <c r="B83" s="45" t="s">
        <v>66</v>
      </c>
      <c r="C83" s="46" t="s">
        <v>153</v>
      </c>
    </row>
    <row r="84" spans="2:3" x14ac:dyDescent="0.2">
      <c r="B84" s="45"/>
    </row>
    <row r="87" spans="2:3" x14ac:dyDescent="0.2">
      <c r="C87" s="46"/>
    </row>
  </sheetData>
  <mergeCells count="2">
    <mergeCell ref="C11:D11"/>
    <mergeCell ref="C28:Q28"/>
  </mergeCells>
  <dataValidations count="1">
    <dataValidation type="decimal" allowBlank="1" showErrorMessage="1" sqref="C14:I26" xr:uid="{4B017D34-49EC-4F92-9B7F-5DA9179F763D}">
      <formula1>0</formula1>
      <formula2>1</formula2>
    </dataValidation>
  </dataValidations>
  <pageMargins left="0.70866141732283472" right="0.70866141732283472" top="0.74803149606299213" bottom="0.74803149606299213" header="0.31496062992125984" footer="0.31496062992125984"/>
  <pageSetup paperSize="9" scale="56" orientation="landscape" r:id="rId1"/>
  <ignoredErrors>
    <ignoredError sqref="B70:B72 B73:B83" numberStoredAsText="1"/>
    <ignoredError sqref="C37:Q37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T22"/>
  <sheetViews>
    <sheetView topLeftCell="P1" workbookViewId="0">
      <selection activeCell="R16" sqref="R16"/>
    </sheetView>
  </sheetViews>
  <sheetFormatPr defaultColWidth="9" defaultRowHeight="11.4" x14ac:dyDescent="0.2"/>
  <cols>
    <col min="1" max="1" width="2.19921875" style="1" customWidth="1"/>
    <col min="2" max="2" width="24.3984375" style="1" customWidth="1"/>
    <col min="3" max="3" width="13.8984375" style="1" customWidth="1"/>
    <col min="4" max="17" width="11.8984375" style="1" customWidth="1"/>
    <col min="18" max="18" width="12.5" style="1" customWidth="1"/>
    <col min="19" max="16384" width="9" style="1"/>
  </cols>
  <sheetData>
    <row r="1" spans="2:20" x14ac:dyDescent="0.2">
      <c r="C1" s="6"/>
    </row>
    <row r="2" spans="2:20" ht="13.8" x14ac:dyDescent="0.25">
      <c r="B2" s="10" t="s">
        <v>0</v>
      </c>
      <c r="C2" s="6"/>
    </row>
    <row r="3" spans="2:20" ht="13.8" x14ac:dyDescent="0.25">
      <c r="B3" s="10" t="s">
        <v>1</v>
      </c>
      <c r="C3" s="11"/>
      <c r="E3" s="11"/>
      <c r="F3" s="11"/>
      <c r="G3" s="11"/>
      <c r="H3" s="11"/>
      <c r="I3" s="11"/>
      <c r="J3" s="11"/>
      <c r="K3" s="11"/>
      <c r="R3" s="11"/>
      <c r="T3" s="11"/>
    </row>
    <row r="4" spans="2:20" ht="13.8" x14ac:dyDescent="0.25">
      <c r="B4" s="10" t="s">
        <v>2</v>
      </c>
      <c r="C4" s="11"/>
      <c r="E4" s="11"/>
      <c r="F4" s="11"/>
      <c r="G4" s="11"/>
      <c r="H4" s="11"/>
      <c r="I4" s="11"/>
      <c r="J4" s="11"/>
      <c r="K4" s="11"/>
      <c r="R4" s="11"/>
      <c r="T4" s="11"/>
    </row>
    <row r="5" spans="2:20" ht="15.75" customHeight="1" x14ac:dyDescent="0.2">
      <c r="C5" s="6"/>
      <c r="F5" s="7"/>
      <c r="G5" s="8"/>
      <c r="H5" s="8"/>
      <c r="I5" s="8"/>
      <c r="J5" s="8"/>
      <c r="K5" s="8"/>
    </row>
    <row r="6" spans="2:20" x14ac:dyDescent="0.2">
      <c r="B6" s="2" t="s">
        <v>3</v>
      </c>
      <c r="C6" s="16">
        <v>3</v>
      </c>
      <c r="D6" s="2"/>
    </row>
    <row r="7" spans="2:20" x14ac:dyDescent="0.2">
      <c r="B7" s="2" t="s">
        <v>4</v>
      </c>
      <c r="C7" s="17" t="s">
        <v>88</v>
      </c>
      <c r="D7" s="15"/>
      <c r="H7" s="13"/>
    </row>
    <row r="8" spans="2:20" x14ac:dyDescent="0.2">
      <c r="B8" s="2" t="s">
        <v>6</v>
      </c>
      <c r="C8" s="18" t="s">
        <v>7</v>
      </c>
      <c r="D8" s="2"/>
      <c r="E8" s="11"/>
      <c r="F8" s="11"/>
      <c r="G8" s="11"/>
      <c r="H8" s="11"/>
      <c r="I8" s="11"/>
      <c r="J8" s="11"/>
      <c r="K8" s="11"/>
      <c r="R8" s="11"/>
      <c r="T8" s="11"/>
    </row>
    <row r="9" spans="2:20" x14ac:dyDescent="0.2">
      <c r="B9" s="2" t="s">
        <v>8</v>
      </c>
      <c r="C9" s="18" t="str">
        <f>'1'!C9</f>
        <v>0.7</v>
      </c>
      <c r="D9" s="36"/>
    </row>
    <row r="10" spans="2:20" x14ac:dyDescent="0.2">
      <c r="B10" s="2" t="s">
        <v>9</v>
      </c>
      <c r="C10" s="37">
        <f>'1'!C10</f>
        <v>46115</v>
      </c>
      <c r="D10" s="36"/>
    </row>
    <row r="11" spans="2:20" x14ac:dyDescent="0.2">
      <c r="B11" s="2" t="s">
        <v>10</v>
      </c>
      <c r="C11" s="85" t="str">
        <f>'1'!$C$11</f>
        <v>Naam inschrijver</v>
      </c>
      <c r="D11" s="85"/>
    </row>
    <row r="13" spans="2:20" ht="25.5" customHeight="1" x14ac:dyDescent="0.2">
      <c r="B13" s="9" t="s">
        <v>11</v>
      </c>
      <c r="C13" s="80" t="s">
        <v>89</v>
      </c>
      <c r="D13" s="81"/>
      <c r="E13" s="81"/>
      <c r="F13" s="81"/>
      <c r="G13" s="81"/>
      <c r="H13" s="81"/>
      <c r="I13" s="81"/>
      <c r="J13" s="81"/>
      <c r="K13" s="81"/>
      <c r="L13" s="81"/>
      <c r="M13" s="81"/>
      <c r="N13" s="81"/>
      <c r="O13" s="81"/>
      <c r="P13" s="81"/>
      <c r="Q13" s="81"/>
      <c r="R13" s="82"/>
    </row>
    <row r="14" spans="2:20" ht="79.5" customHeight="1" x14ac:dyDescent="0.2">
      <c r="B14" s="4"/>
      <c r="C14" s="14" t="s">
        <v>90</v>
      </c>
      <c r="D14" s="14" t="s">
        <v>91</v>
      </c>
      <c r="E14" s="14" t="s">
        <v>92</v>
      </c>
      <c r="F14" s="14" t="s">
        <v>93</v>
      </c>
      <c r="G14" s="14" t="s">
        <v>94</v>
      </c>
      <c r="H14" s="14" t="s">
        <v>95</v>
      </c>
      <c r="I14" s="14" t="s">
        <v>96</v>
      </c>
      <c r="J14" s="14" t="s">
        <v>97</v>
      </c>
      <c r="K14" s="14" t="s">
        <v>98</v>
      </c>
      <c r="L14" s="14" t="s">
        <v>99</v>
      </c>
      <c r="M14" s="14" t="s">
        <v>100</v>
      </c>
      <c r="N14" s="14" t="s">
        <v>101</v>
      </c>
      <c r="O14" s="14" t="s">
        <v>102</v>
      </c>
      <c r="P14" s="14" t="s">
        <v>103</v>
      </c>
      <c r="Q14" s="14" t="s">
        <v>104</v>
      </c>
      <c r="R14" s="14" t="s">
        <v>105</v>
      </c>
    </row>
    <row r="15" spans="2:20" ht="19.5" customHeight="1" x14ac:dyDescent="0.2">
      <c r="B15" s="4"/>
      <c r="C15" s="12" t="s">
        <v>106</v>
      </c>
      <c r="D15" s="12" t="s">
        <v>106</v>
      </c>
      <c r="E15" s="12" t="s">
        <v>106</v>
      </c>
      <c r="F15" s="12" t="s">
        <v>106</v>
      </c>
      <c r="G15" s="12" t="s">
        <v>106</v>
      </c>
      <c r="H15" s="12" t="s">
        <v>106</v>
      </c>
      <c r="I15" s="12" t="s">
        <v>106</v>
      </c>
      <c r="J15" s="12" t="s">
        <v>106</v>
      </c>
      <c r="K15" s="12" t="s">
        <v>106</v>
      </c>
      <c r="L15" s="12" t="s">
        <v>106</v>
      </c>
      <c r="M15" s="12" t="s">
        <v>106</v>
      </c>
      <c r="N15" s="12" t="s">
        <v>106</v>
      </c>
      <c r="O15" s="12" t="s">
        <v>106</v>
      </c>
      <c r="P15" s="12" t="s">
        <v>106</v>
      </c>
      <c r="Q15" s="12" t="s">
        <v>106</v>
      </c>
      <c r="R15" s="12" t="s">
        <v>106</v>
      </c>
    </row>
    <row r="16" spans="2:20" x14ac:dyDescent="0.2">
      <c r="B16" s="3" t="str">
        <f>+'1'!B15</f>
        <v>PV Oostoever 1 (VD-7)</v>
      </c>
      <c r="C16" s="5">
        <f>('1'!$E$15/1000) * ('1'!$L$15) * INDEX('2'!$C$34:$Q$34,1,1)</f>
        <v>953509.32103679993</v>
      </c>
      <c r="D16" s="5">
        <f>('1'!$E$15/1000) *('1'!$L$15) *INDEX('2'!$C$34:$Q$34,1,2)</f>
        <v>946834.75578954234</v>
      </c>
      <c r="E16" s="5">
        <f>('1'!$E$15/1000) *('1'!$L$15) *INDEX('2'!$C$34:$Q$34,1,3)</f>
        <v>940206.91249901557</v>
      </c>
      <c r="F16" s="5">
        <f>('1'!$E$15/1000) *('1'!$L$15) *INDEX('2'!$C$34:$Q$34,1,4)</f>
        <v>933625.46411152254</v>
      </c>
      <c r="G16" s="5">
        <f>('1'!$E$15/1000) *('1'!$L$15) *INDEX('2'!$C$34:$Q$34,1,5)</f>
        <v>927090.08586274181</v>
      </c>
      <c r="H16" s="5">
        <f>('1'!$E$15/1000) *('1'!$L$15) *INDEX('2'!$C$34:$Q$34,1,6)</f>
        <v>920600.45526170265</v>
      </c>
      <c r="I16" s="5">
        <f>('1'!$E$15/1000) *('1'!$L$15) *INDEX('2'!$C$34:$Q$34,1,7)</f>
        <v>914156.25207487075</v>
      </c>
      <c r="J16" s="5">
        <f>('1'!$E$15/1000) *('1'!$L$15) *INDEX('2'!$C$34:$Q$34,1,8)</f>
        <v>907757.15831034654</v>
      </c>
      <c r="K16" s="5">
        <f>('1'!$E$15/1000) *('1'!$L$15) *INDEX('2'!$C$34:$Q$34,1,9)</f>
        <v>901402.85820217419</v>
      </c>
      <c r="L16" s="5">
        <f>('1'!$E$15/1000) *('1'!$L$15) *INDEX('2'!$C$34:$Q$34,1,10)</f>
        <v>895093.03819475893</v>
      </c>
      <c r="M16" s="5">
        <f>('1'!$E$15/1000) *('1'!$L$15) *INDEX('2'!$C$34:$Q$34,1,11)</f>
        <v>888827.38692739571</v>
      </c>
      <c r="N16" s="5">
        <f>('1'!$E$15/1000) *('1'!$L$15) *INDEX('2'!$C$34:$Q$34,1,12)</f>
        <v>882605.59521890397</v>
      </c>
      <c r="O16" s="5">
        <f>('1'!$E$15/1000) *('1'!$L$15) *INDEX('2'!$C$34:$Q$34,1,13)</f>
        <v>876427.35605237167</v>
      </c>
      <c r="P16" s="5">
        <f>('1'!$E$15/1000) *('1'!$L$15) *INDEX('2'!$C$34:$Q$34,1,14)</f>
        <v>870292.36456000502</v>
      </c>
      <c r="Q16" s="5">
        <f>('1'!$E$15/1000) *('1'!$L$15) *INDEX('2'!$C$34:$Q$34,1,15)</f>
        <v>864200.31800808501</v>
      </c>
      <c r="R16" s="19">
        <f>+SUM(C16:Q16)</f>
        <v>13622629.322110238</v>
      </c>
    </row>
    <row r="17" spans="2:18" x14ac:dyDescent="0.2">
      <c r="B17" s="3" t="str">
        <f>+'1'!B16</f>
        <v>PV Oostoever 2 (VD-8)</v>
      </c>
      <c r="C17" s="5">
        <f>('1'!$E$16/1000) * ('1'!$L$16)  *INDEX('2'!$C$39:$Q$39,1,1)</f>
        <v>953509.32103679993</v>
      </c>
      <c r="D17" s="5">
        <f>('1'!$E$16/1000) * ('1'!$L$16)  *INDEX('2'!$C$39:$Q$39,1,2)</f>
        <v>946834.75578954234</v>
      </c>
      <c r="E17" s="5">
        <f>('1'!$E$16/1000) * ('1'!$L$16)  *INDEX('2'!$C$39:$Q$39,1,3)</f>
        <v>940206.91249901557</v>
      </c>
      <c r="F17" s="5">
        <f>('1'!$E$16/1000) * ('1'!$L$16)  *INDEX('2'!$C$39:$Q$39,1,4)</f>
        <v>933625.46411152254</v>
      </c>
      <c r="G17" s="5">
        <f>('1'!$E$16/1000) * ('1'!$L$16)  *INDEX('2'!$C$39:$Q$39,1,5)</f>
        <v>927090.08586274181</v>
      </c>
      <c r="H17" s="5">
        <f>('1'!$E$16/1000) * ('1'!$L$16)  *INDEX('2'!$C$39:$Q$39,1,6)</f>
        <v>920600.45526170265</v>
      </c>
      <c r="I17" s="5">
        <f>('1'!$E$16/1000) * ('1'!$L$16)  *INDEX('2'!$C$39:$Q$39,1,7)</f>
        <v>914156.25207487075</v>
      </c>
      <c r="J17" s="5">
        <f>('1'!$E$16/1000) * ('1'!$L$16)  *INDEX('2'!$C$39:$Q$39,1,8)</f>
        <v>907757.15831034654</v>
      </c>
      <c r="K17" s="5">
        <f>('1'!$E$16/1000) * ('1'!$L$16)  *INDEX('2'!$C$39:$Q$39,1,9)</f>
        <v>901402.85820217419</v>
      </c>
      <c r="L17" s="5">
        <f>('1'!$E$16/1000) * ('1'!$L$16)  *INDEX('2'!$C$39:$Q$39,1,10)</f>
        <v>895093.03819475893</v>
      </c>
      <c r="M17" s="5">
        <f>('1'!$E$16/1000) * ('1'!$L$16)  *INDEX('2'!$C$39:$Q$39,1,11)</f>
        <v>888827.38692739571</v>
      </c>
      <c r="N17" s="5">
        <f>('1'!$E$16/1000) * ('1'!$L$16)  *INDEX('2'!$C$39:$Q$39,1,12)</f>
        <v>882605.59521890397</v>
      </c>
      <c r="O17" s="5">
        <f>('1'!$E$16/1000) * ('1'!$L$16)  *INDEX('2'!$C$39:$Q$39,1,13)</f>
        <v>876427.35605237167</v>
      </c>
      <c r="P17" s="5">
        <f>('1'!$E$16/1000) * ('1'!$L$16)  *INDEX('2'!$C$39:$Q$39,1,14)</f>
        <v>870292.36456000502</v>
      </c>
      <c r="Q17" s="5">
        <f>('1'!$E$16/1000) * ('1'!$L$16)  *INDEX('2'!$C$39:$Q$39,1,15)</f>
        <v>864200.31800808501</v>
      </c>
      <c r="R17" s="19">
        <f t="shared" ref="R17:R22" si="0">SUM(C17:Q17)</f>
        <v>13622629.322110238</v>
      </c>
    </row>
    <row r="18" spans="2:18" x14ac:dyDescent="0.2">
      <c r="B18" s="3" t="str">
        <f>+'1'!B17</f>
        <v>PV rwzi Den Helder (VD-3)</v>
      </c>
      <c r="C18" s="5">
        <f>('1'!$E$17/1000) * ('1'!$L$17)  *INDEX('2'!$C$44:$Q$44,1,1)</f>
        <v>445718.15874000004</v>
      </c>
      <c r="D18" s="5">
        <f>('1'!$E$17/1000) * ('1'!$L$17)  *INDEX('2'!$C$44:$Q$44,1,2)</f>
        <v>442598.13162882003</v>
      </c>
      <c r="E18" s="5">
        <f>('1'!$E$17/1000) * ('1'!$L$17)  *INDEX('2'!$C$44:$Q$44,1,3)</f>
        <v>439499.94470741827</v>
      </c>
      <c r="F18" s="5">
        <f>('1'!$E$17/1000) * ('1'!$L$17)  *INDEX('2'!$C$44:$Q$44,1,4)</f>
        <v>436423.44509446638</v>
      </c>
      <c r="G18" s="5">
        <f>('1'!$E$17/1000) * ('1'!$L$17)  *INDEX('2'!$C$44:$Q$44,1,5)</f>
        <v>433368.48097880511</v>
      </c>
      <c r="H18" s="5">
        <f>('1'!$E$17/1000) * ('1'!$L$17)  *INDEX('2'!$C$44:$Q$44,1,6)</f>
        <v>430334.90161195345</v>
      </c>
      <c r="I18" s="5">
        <f>('1'!$E$17/1000) * ('1'!$L$17)  *INDEX('2'!$C$44:$Q$44,1,7)</f>
        <v>427322.55730066978</v>
      </c>
      <c r="J18" s="5">
        <f>('1'!$E$17/1000) * ('1'!$L$17)  *INDEX('2'!$C$44:$Q$44,1,8)</f>
        <v>424331.29939956509</v>
      </c>
      <c r="K18" s="5">
        <f>('1'!$E$17/1000) * ('1'!$L$17)  *INDEX('2'!$C$44:$Q$44,1,9)</f>
        <v>421360.98030376813</v>
      </c>
      <c r="L18" s="5">
        <f>('1'!$E$17/1000) * ('1'!$L$17)  *INDEX('2'!$C$44:$Q$44,1,10)</f>
        <v>418411.45344164176</v>
      </c>
      <c r="M18" s="5">
        <f>('1'!$E$17/1000) * ('1'!$L$17)  *INDEX('2'!$C$44:$Q$44,1,11)</f>
        <v>415482.57326755027</v>
      </c>
      <c r="N18" s="5">
        <f>('1'!$E$17/1000) * ('1'!$L$17)  *INDEX('2'!$C$44:$Q$44,1,12)</f>
        <v>412574.19525467744</v>
      </c>
      <c r="O18" s="5">
        <f>('1'!$E$17/1000) * ('1'!$L$17)  *INDEX('2'!$C$44:$Q$44,1,13)</f>
        <v>409686.1758878947</v>
      </c>
      <c r="P18" s="5">
        <f>('1'!$E$17/1000) * ('1'!$L$17)  *INDEX('2'!$C$44:$Q$44,1,14)</f>
        <v>406818.37265667948</v>
      </c>
      <c r="Q18" s="5">
        <f>('1'!$E$17/1000) * ('1'!$L$17)  *INDEX('2'!$C$44:$Q$44,1,15)</f>
        <v>403970.6440480827</v>
      </c>
      <c r="R18" s="19">
        <f t="shared" si="0"/>
        <v>6367901.314321992</v>
      </c>
    </row>
    <row r="19" spans="2:18" x14ac:dyDescent="0.2">
      <c r="B19" s="3" t="str">
        <f>+'1'!B18</f>
        <v>PV Balgzand 1 (VD-4)</v>
      </c>
      <c r="C19" s="5">
        <f>('1'!$E$18/1000) * ('1'!$L$18)  *INDEX('2'!$C$49:$Q$49,1,1)</f>
        <v>1023036.0423624002</v>
      </c>
      <c r="D19" s="5">
        <f>('1'!$E$18/1000) * ('1'!$L$18)  *INDEX('2'!$C$49:$Q$49,1,2)</f>
        <v>1015874.7900658634</v>
      </c>
      <c r="E19" s="5">
        <f>('1'!$E$18/1000) * ('1'!$L$18)  *INDEX('2'!$C$49:$Q$49,1,3)</f>
        <v>1008763.6665354024</v>
      </c>
      <c r="F19" s="5">
        <f>('1'!$E$18/1000) * ('1'!$L$18)  *INDEX('2'!$C$49:$Q$49,1,4)</f>
        <v>1001702.3208696546</v>
      </c>
      <c r="G19" s="5">
        <f>('1'!$E$18/1000) * ('1'!$L$18)  *INDEX('2'!$C$49:$Q$49,1,5)</f>
        <v>994690.40462356701</v>
      </c>
      <c r="H19" s="5">
        <f>('1'!$E$18/1000) * ('1'!$L$18)  *INDEX('2'!$C$49:$Q$49,1,6)</f>
        <v>987727.57179120206</v>
      </c>
      <c r="I19" s="5">
        <f>('1'!$E$18/1000) * ('1'!$L$18)  *INDEX('2'!$C$49:$Q$49,1,7)</f>
        <v>980813.47878866363</v>
      </c>
      <c r="J19" s="5">
        <f>('1'!$E$18/1000) * ('1'!$L$18)  *INDEX('2'!$C$49:$Q$49,1,8)</f>
        <v>973947.78443714289</v>
      </c>
      <c r="K19" s="5">
        <f>('1'!$E$18/1000) * ('1'!$L$18)  *INDEX('2'!$C$49:$Q$49,1,9)</f>
        <v>967130.14994608297</v>
      </c>
      <c r="L19" s="5">
        <f>('1'!$E$18/1000) * ('1'!$L$18)  *INDEX('2'!$C$49:$Q$49,1,10)</f>
        <v>960360.23889646039</v>
      </c>
      <c r="M19" s="5">
        <f>('1'!$E$18/1000) * ('1'!$L$18)  *INDEX('2'!$C$49:$Q$49,1,11)</f>
        <v>953637.71722418512</v>
      </c>
      <c r="N19" s="5">
        <f>('1'!$E$18/1000) * ('1'!$L$18)  *INDEX('2'!$C$49:$Q$49,1,12)</f>
        <v>946962.2532036159</v>
      </c>
      <c r="O19" s="5">
        <f>('1'!$E$18/1000) * ('1'!$L$18)  *INDEX('2'!$C$49:$Q$49,1,13)</f>
        <v>940333.51743119059</v>
      </c>
      <c r="P19" s="5">
        <f>('1'!$E$18/1000) * ('1'!$L$18)  *INDEX('2'!$C$49:$Q$49,1,14)</f>
        <v>933751.18280917231</v>
      </c>
      <c r="Q19" s="5">
        <f>('1'!$E$18/1000) * ('1'!$L$18)  *INDEX('2'!$C$49:$Q$49,1,15)</f>
        <v>927214.92452950811</v>
      </c>
      <c r="R19" s="19">
        <f t="shared" si="0"/>
        <v>14615946.04351411</v>
      </c>
    </row>
    <row r="20" spans="2:18" x14ac:dyDescent="0.2">
      <c r="B20" s="3" t="str">
        <f>+'1'!B19</f>
        <v>PV Balgzand 2 (VD-5), Zuid</v>
      </c>
      <c r="C20" s="5">
        <f>('1'!$E$19/1000) * ('1'!$L$19)  *INDEX('2'!$C$54:$Q$54,1,1)</f>
        <v>1022133.0979296</v>
      </c>
      <c r="D20" s="5">
        <f>('1'!$E$19/1000) * ('1'!$L$19)  *INDEX('2'!$C$54:$Q$54,1,2)</f>
        <v>1014978.1662440929</v>
      </c>
      <c r="E20" s="5">
        <f>('1'!$E$19/1000) * ('1'!$L$19)  *INDEX('2'!$C$54:$Q$54,1,3)</f>
        <v>1007873.3190803842</v>
      </c>
      <c r="F20" s="5">
        <f>('1'!$E$19/1000) * ('1'!$L$19)  *INDEX('2'!$C$54:$Q$54,1,4)</f>
        <v>1000818.2058468217</v>
      </c>
      <c r="G20" s="5">
        <f>('1'!$E$19/1000) * ('1'!$L$19)  *INDEX('2'!$C$54:$Q$54,1,5)</f>
        <v>993812.4784058939</v>
      </c>
      <c r="H20" s="5">
        <f>('1'!$E$19/1000) * ('1'!$L$19)  *INDEX('2'!$C$54:$Q$54,1,6)</f>
        <v>986855.79105705256</v>
      </c>
      <c r="I20" s="5">
        <f>('1'!$E$19/1000) * ('1'!$L$19)  *INDEX('2'!$C$54:$Q$54,1,7)</f>
        <v>979947.80051965313</v>
      </c>
      <c r="J20" s="5">
        <f>('1'!$E$19/1000) * ('1'!$L$19)  *INDEX('2'!$C$54:$Q$54,1,8)</f>
        <v>973088.16591601563</v>
      </c>
      <c r="K20" s="5">
        <f>('1'!$E$19/1000) * ('1'!$L$19)  *INDEX('2'!$C$54:$Q$54,1,9)</f>
        <v>966276.54875460349</v>
      </c>
      <c r="L20" s="5">
        <f>('1'!$E$19/1000) * ('1'!$L$19)  *INDEX('2'!$C$54:$Q$54,1,10)</f>
        <v>959512.61291332124</v>
      </c>
      <c r="M20" s="5">
        <f>('1'!$E$19/1000) * ('1'!$L$19)  *INDEX('2'!$C$54:$Q$54,1,11)</f>
        <v>952796.024622928</v>
      </c>
      <c r="N20" s="5">
        <f>('1'!$E$19/1000) * ('1'!$L$19)  *INDEX('2'!$C$54:$Q$54,1,12)</f>
        <v>946126.45245056762</v>
      </c>
      <c r="O20" s="5">
        <f>('1'!$E$19/1000) * ('1'!$L$19)  *INDEX('2'!$C$54:$Q$54,1,13)</f>
        <v>939503.56728341361</v>
      </c>
      <c r="P20" s="5">
        <f>('1'!$E$19/1000) * ('1'!$L$19)  *INDEX('2'!$C$54:$Q$54,1,14)</f>
        <v>932927.04231242975</v>
      </c>
      <c r="Q20" s="5">
        <f>('1'!$E$19/1000) * ('1'!$L$19)  *INDEX('2'!$C$54:$Q$54,1,15)</f>
        <v>926396.5530162428</v>
      </c>
      <c r="R20" s="19">
        <f t="shared" ref="R20" si="1">SUM(C20:Q20)</f>
        <v>14603045.826353023</v>
      </c>
    </row>
    <row r="21" spans="2:18" x14ac:dyDescent="0.2">
      <c r="B21" s="3" t="str">
        <f>+'1'!B20</f>
        <v>PV Balgzand 2 (VD-5), West</v>
      </c>
      <c r="C21" s="5">
        <f>('1'!$E$20/1000) * ('1'!$L$20)  *INDEX('2'!$C$59:$Q$59,1,1)</f>
        <v>67667.718081600004</v>
      </c>
      <c r="D21" s="5">
        <f>('1'!$E$20/1000) * ('1'!$L$20)  *INDEX('2'!$C$59:$Q$59,1,2)</f>
        <v>67194.044055028804</v>
      </c>
      <c r="E21" s="5">
        <f>('1'!$E$20/1000) * ('1'!$L$20)  *INDEX('2'!$C$59:$Q$59,1,3)</f>
        <v>66723.685746643605</v>
      </c>
      <c r="F21" s="5">
        <f>('1'!$E$20/1000) * ('1'!$L$20)  *INDEX('2'!$C$59:$Q$59,1,4)</f>
        <v>66256.619946417108</v>
      </c>
      <c r="G21" s="5">
        <f>('1'!$E$20/1000) * ('1'!$L$20)  *INDEX('2'!$C$59:$Q$59,1,5)</f>
        <v>65792.823606792183</v>
      </c>
      <c r="H21" s="5">
        <f>('1'!$E$20/1000) * ('1'!$L$20)  *INDEX('2'!$C$59:$Q$59,1,6)</f>
        <v>65332.273841544637</v>
      </c>
      <c r="I21" s="5">
        <f>('1'!$E$20/1000) * ('1'!$L$20)  *INDEX('2'!$C$59:$Q$59,1,7)</f>
        <v>64874.947924653825</v>
      </c>
      <c r="J21" s="5">
        <f>('1'!$E$20/1000) * ('1'!$L$20)  *INDEX('2'!$C$59:$Q$59,1,8)</f>
        <v>64420.823289181244</v>
      </c>
      <c r="K21" s="5">
        <f>('1'!$E$20/1000) * ('1'!$L$20)  *INDEX('2'!$C$59:$Q$59,1,9)</f>
        <v>63969.877526156975</v>
      </c>
      <c r="L21" s="5">
        <f>('1'!$E$20/1000) * ('1'!$L$20)  *INDEX('2'!$C$59:$Q$59,1,10)</f>
        <v>63522.088383473878</v>
      </c>
      <c r="M21" s="5">
        <f>('1'!$E$20/1000) * ('1'!$L$20)  *INDEX('2'!$C$59:$Q$59,1,11)</f>
        <v>63077.433764789559</v>
      </c>
      <c r="N21" s="5">
        <f>('1'!$E$20/1000) * ('1'!$L$20)  *INDEX('2'!$C$59:$Q$59,1,12)</f>
        <v>62635.891728436036</v>
      </c>
      <c r="O21" s="5">
        <f>('1'!$E$20/1000) * ('1'!$L$20)  *INDEX('2'!$C$59:$Q$59,1,13)</f>
        <v>62197.440486336985</v>
      </c>
      <c r="P21" s="5">
        <f>('1'!$E$20/1000) * ('1'!$L$20)  *INDEX('2'!$C$59:$Q$59,1,14)</f>
        <v>61762.058402932627</v>
      </c>
      <c r="Q21" s="5">
        <f>('1'!$E$20/1000) * ('1'!$L$20)  *INDEX('2'!$C$59:$Q$59,1,15)</f>
        <v>61329.723994112101</v>
      </c>
      <c r="R21" s="19">
        <f t="shared" si="0"/>
        <v>966757.45077809948</v>
      </c>
    </row>
    <row r="22" spans="2:18" x14ac:dyDescent="0.2">
      <c r="B22" s="3" t="str">
        <f>+'1'!B21</f>
        <v>PV Balgzand 3 (VD-9)</v>
      </c>
      <c r="C22" s="5">
        <f>('1'!$E$21/1000) * ('1'!$L$21)  *INDEX('2'!$C$64:$Q$64,1,1)</f>
        <v>1023036.0423624002</v>
      </c>
      <c r="D22" s="5">
        <f>('1'!$E$21/1000) * ('1'!$L$21)  *INDEX('2'!$C$64:$Q$64,1,2)</f>
        <v>1015874.7900658634</v>
      </c>
      <c r="E22" s="5">
        <f>('1'!$E$21/1000) * ('1'!$L$21)  *INDEX('2'!$C$64:$Q$64,1,3)</f>
        <v>1008763.6665354024</v>
      </c>
      <c r="F22" s="5">
        <f>('1'!$E$21/1000) * ('1'!$L$21)  *INDEX('2'!$C$64:$Q$64,1,4)</f>
        <v>1001702.3208696546</v>
      </c>
      <c r="G22" s="5">
        <f>('1'!$E$21/1000) * ('1'!$L$21)  *INDEX('2'!$C$64:$Q$64,1,5)</f>
        <v>994690.40462356701</v>
      </c>
      <c r="H22" s="5">
        <f>('1'!$E$21/1000) * ('1'!$L$21)  *INDEX('2'!$C$64:$Q$64,1,6)</f>
        <v>987727.57179120206</v>
      </c>
      <c r="I22" s="5">
        <f>('1'!$E$21/1000) * ('1'!$L$21)  *INDEX('2'!$C$64:$Q$64,1,7)</f>
        <v>980813.47878866363</v>
      </c>
      <c r="J22" s="5">
        <f>('1'!$E$21/1000) * ('1'!$L$21)  *INDEX('2'!$C$64:$Q$64,1,8)</f>
        <v>973947.78443714289</v>
      </c>
      <c r="K22" s="5">
        <f>('1'!$E$21/1000) * ('1'!$L$21)  *INDEX('2'!$C$64:$Q$64,1,9)</f>
        <v>967130.14994608297</v>
      </c>
      <c r="L22" s="5">
        <f>('1'!$E$21/1000) * ('1'!$L$21)  *INDEX('2'!$C$64:$Q$64,1,10)</f>
        <v>960360.23889646039</v>
      </c>
      <c r="M22" s="5">
        <f>('1'!$E$21/1000) * ('1'!$L$21)  *INDEX('2'!$C$64:$Q$64,1,11)</f>
        <v>953637.71722418512</v>
      </c>
      <c r="N22" s="5">
        <f>('1'!$E$21/1000) * ('1'!$L$21)  *INDEX('2'!$C$64:$Q$64,1,12)</f>
        <v>946962.2532036159</v>
      </c>
      <c r="O22" s="5">
        <f>('1'!$E$21/1000) * ('1'!$L$21)  *INDEX('2'!$C$64:$Q$64,1,13)</f>
        <v>940333.51743119059</v>
      </c>
      <c r="P22" s="5">
        <f>('1'!$E$21/1000) * ('1'!$L$21)  *INDEX('2'!$C$64:$Q$64,1,14)</f>
        <v>933751.18280917231</v>
      </c>
      <c r="Q22" s="5">
        <f>('1'!$E$21/1000) * ('1'!$L$21)  *INDEX('2'!$C$64:$Q$64,1,15)</f>
        <v>927214.92452950811</v>
      </c>
      <c r="R22" s="19">
        <f t="shared" si="0"/>
        <v>14615946.04351411</v>
      </c>
    </row>
  </sheetData>
  <mergeCells count="2">
    <mergeCell ref="C13:R13"/>
    <mergeCell ref="C11:D11"/>
  </mergeCells>
  <pageMargins left="0.70866141732283472" right="0.70866141732283472" top="0.74803149606299213" bottom="0.74803149606299213" header="0.31496062992125984" footer="0.31496062992125984"/>
  <pageSetup paperSize="9" scale="5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N52"/>
  <sheetViews>
    <sheetView topLeftCell="A13" zoomScale="130" zoomScaleNormal="130" workbookViewId="0">
      <selection activeCell="A20" sqref="A20"/>
    </sheetView>
  </sheetViews>
  <sheetFormatPr defaultColWidth="9" defaultRowHeight="11.4" x14ac:dyDescent="0.2"/>
  <cols>
    <col min="1" max="1" width="2.5" style="1" customWidth="1"/>
    <col min="2" max="2" width="14.296875" style="1" customWidth="1"/>
    <col min="3" max="3" width="13.59765625" style="1" customWidth="1"/>
    <col min="4" max="4" width="11.19921875" style="1" bestFit="1" customWidth="1"/>
    <col min="5" max="16384" width="9" style="1"/>
  </cols>
  <sheetData>
    <row r="1" spans="2:8" x14ac:dyDescent="0.2">
      <c r="C1" s="6"/>
    </row>
    <row r="2" spans="2:8" ht="13.8" x14ac:dyDescent="0.25">
      <c r="B2" s="10" t="s">
        <v>0</v>
      </c>
      <c r="C2" s="6"/>
    </row>
    <row r="3" spans="2:8" ht="13.8" x14ac:dyDescent="0.25">
      <c r="B3" s="10" t="s">
        <v>1</v>
      </c>
      <c r="C3" s="11"/>
      <c r="E3" s="11"/>
      <c r="F3" s="11"/>
      <c r="G3" s="11"/>
      <c r="H3" s="11"/>
    </row>
    <row r="4" spans="2:8" ht="13.8" x14ac:dyDescent="0.25">
      <c r="B4" s="10" t="s">
        <v>2</v>
      </c>
      <c r="C4" s="11"/>
      <c r="E4" s="11"/>
      <c r="F4" s="11"/>
      <c r="G4" s="11"/>
      <c r="H4" s="11"/>
    </row>
    <row r="5" spans="2:8" x14ac:dyDescent="0.2">
      <c r="C5" s="6"/>
      <c r="F5" s="7"/>
      <c r="G5" s="8"/>
      <c r="H5" s="8"/>
    </row>
    <row r="6" spans="2:8" x14ac:dyDescent="0.2">
      <c r="B6" s="2" t="s">
        <v>3</v>
      </c>
      <c r="C6" s="16">
        <v>4</v>
      </c>
      <c r="D6" s="2"/>
    </row>
    <row r="7" spans="2:8" x14ac:dyDescent="0.2">
      <c r="B7" s="2" t="s">
        <v>4</v>
      </c>
      <c r="C7" s="17" t="s">
        <v>139</v>
      </c>
      <c r="D7" s="15"/>
      <c r="H7" s="13"/>
    </row>
    <row r="8" spans="2:8" x14ac:dyDescent="0.2">
      <c r="B8" s="2" t="s">
        <v>6</v>
      </c>
      <c r="C8" s="18" t="s">
        <v>7</v>
      </c>
      <c r="D8" s="2"/>
      <c r="E8" s="11"/>
      <c r="F8" s="11"/>
      <c r="G8" s="11"/>
      <c r="H8" s="11"/>
    </row>
    <row r="9" spans="2:8" x14ac:dyDescent="0.2">
      <c r="B9" s="2" t="s">
        <v>8</v>
      </c>
      <c r="C9" s="18" t="str">
        <f>'1'!C9</f>
        <v>0.7</v>
      </c>
      <c r="D9" s="36"/>
    </row>
    <row r="10" spans="2:8" x14ac:dyDescent="0.2">
      <c r="B10" s="2" t="s">
        <v>9</v>
      </c>
      <c r="C10" s="37">
        <f>'1'!C10</f>
        <v>46115</v>
      </c>
      <c r="D10" s="36"/>
    </row>
    <row r="11" spans="2:8" x14ac:dyDescent="0.2">
      <c r="B11" s="2" t="s">
        <v>10</v>
      </c>
      <c r="C11" s="85" t="str">
        <f>'1'!$C$11</f>
        <v>Naam inschrijver</v>
      </c>
      <c r="D11" s="85"/>
    </row>
    <row r="15" spans="2:8" x14ac:dyDescent="0.2">
      <c r="C15" s="2" t="s">
        <v>118</v>
      </c>
    </row>
    <row r="17" spans="3:6" x14ac:dyDescent="0.2">
      <c r="D17" s="29" t="s">
        <v>112</v>
      </c>
      <c r="E17" s="29" t="s">
        <v>113</v>
      </c>
    </row>
    <row r="18" spans="3:6" ht="12" x14ac:dyDescent="0.25">
      <c r="C18" s="29" t="s">
        <v>115</v>
      </c>
      <c r="D18" s="33">
        <v>40</v>
      </c>
      <c r="E18" s="33">
        <v>60</v>
      </c>
    </row>
    <row r="19" spans="3:6" ht="12" x14ac:dyDescent="0.25">
      <c r="C19" s="29" t="s">
        <v>116</v>
      </c>
      <c r="D19" s="33">
        <v>100</v>
      </c>
      <c r="E19" s="33">
        <v>0</v>
      </c>
    </row>
    <row r="22" spans="3:6" x14ac:dyDescent="0.2">
      <c r="C22" s="1" t="s">
        <v>110</v>
      </c>
      <c r="D22" s="25">
        <f>'1'!$C$27</f>
        <v>80.686242089746941</v>
      </c>
      <c r="E22" s="27" t="s">
        <v>119</v>
      </c>
    </row>
    <row r="24" spans="3:6" x14ac:dyDescent="0.2">
      <c r="C24" s="1" t="s">
        <v>117</v>
      </c>
      <c r="D24" s="33"/>
    </row>
    <row r="26" spans="3:6" x14ac:dyDescent="0.2">
      <c r="C26" s="1" t="s">
        <v>111</v>
      </c>
      <c r="D26" s="28">
        <f>+IF(ISBLANK(D24),D22,D24)</f>
        <v>80.686242089746941</v>
      </c>
      <c r="F26" s="28">
        <f>+D22</f>
        <v>80.686242089746941</v>
      </c>
    </row>
    <row r="28" spans="3:6" x14ac:dyDescent="0.2">
      <c r="C28" s="1" t="s">
        <v>121</v>
      </c>
      <c r="D28" s="28">
        <f>+(E19-E18)/(D19-D18)</f>
        <v>-1</v>
      </c>
    </row>
    <row r="29" spans="3:6" x14ac:dyDescent="0.2">
      <c r="C29" s="1" t="s">
        <v>120</v>
      </c>
      <c r="D29" s="28">
        <f>+E18-(D28*D18)</f>
        <v>100</v>
      </c>
    </row>
    <row r="31" spans="3:6" x14ac:dyDescent="0.2">
      <c r="C31" s="30" t="s">
        <v>122</v>
      </c>
      <c r="D31" s="28">
        <f>(D26*D28)+D29</f>
        <v>19.313757910253059</v>
      </c>
      <c r="F31" s="28">
        <f>(F26*D28)+D29</f>
        <v>19.313757910253059</v>
      </c>
    </row>
    <row r="33" spans="2:14" x14ac:dyDescent="0.2">
      <c r="C33" s="1" t="s">
        <v>114</v>
      </c>
      <c r="D33" s="28">
        <f>+IF(D31&lt;MIN(E19,E18),MIN(E19,E18),IF(D31&gt;MAX(E18,E19),MAX(E18,E19),D31))</f>
        <v>19.313757910253059</v>
      </c>
      <c r="F33" s="28">
        <f>+IF(F31&lt;MIN(E19,E18),MIN(E19,E18),IF(F31&gt;MAX(E18,E19),MAX(E18,E19),F31))</f>
        <v>19.313757910253059</v>
      </c>
    </row>
    <row r="35" spans="2:14" x14ac:dyDescent="0.2">
      <c r="C35" s="1" t="s">
        <v>34</v>
      </c>
      <c r="D35" s="28">
        <f>+ROUND(D33,0)</f>
        <v>19</v>
      </c>
      <c r="F35" s="26">
        <f>+ROUND(F33,0)</f>
        <v>19</v>
      </c>
    </row>
    <row r="47" spans="2:14" x14ac:dyDescent="0.2">
      <c r="B47" s="34"/>
      <c r="C47" s="11" t="s">
        <v>133</v>
      </c>
      <c r="E47" s="11"/>
      <c r="F47" s="11"/>
      <c r="G47" s="11"/>
      <c r="H47" s="11"/>
      <c r="I47" s="11"/>
      <c r="J47" s="11"/>
      <c r="K47" s="11"/>
      <c r="L47" s="11"/>
      <c r="M47" s="11"/>
      <c r="N47" s="11"/>
    </row>
    <row r="48" spans="2:14" x14ac:dyDescent="0.2">
      <c r="B48" s="22"/>
      <c r="C48" s="11" t="s">
        <v>134</v>
      </c>
      <c r="E48" s="11"/>
      <c r="F48" s="11"/>
      <c r="G48" s="11"/>
      <c r="H48" s="11"/>
      <c r="I48" s="11"/>
      <c r="J48" s="11"/>
      <c r="K48" s="11"/>
      <c r="L48" s="11"/>
      <c r="M48" s="11"/>
      <c r="N48" s="11"/>
    </row>
    <row r="49" spans="2:14" x14ac:dyDescent="0.2">
      <c r="B49" s="23"/>
      <c r="C49" s="11" t="str">
        <f xml:space="preserve"> " Dit is het aantal afgeronde punten wat u scoort met uw aangeboden €/Mwh: minimaal "&amp;MIN('4'!E18:E19)&amp;" punten, maximaal "&amp;MAX('4'!E18:CE19)&amp;" punten. Zie § 5 in bijlage 4 van de Inschrijvingsleidraad voor de berekeningswijze."</f>
        <v xml:space="preserve"> Dit is het aantal afgeronde punten wat u scoort met uw aangeboden €/Mwh: minimaal 0 punten, maximaal 60 punten. Zie § 5 in bijlage 4 van de Inschrijvingsleidraad voor de berekeningswijze.</v>
      </c>
      <c r="E49" s="11"/>
      <c r="F49" s="11"/>
      <c r="G49" s="11"/>
      <c r="H49" s="11"/>
      <c r="I49" s="11"/>
      <c r="J49" s="11"/>
      <c r="K49" s="11"/>
      <c r="L49" s="11"/>
      <c r="M49" s="11"/>
      <c r="N49" s="11"/>
    </row>
    <row r="50" spans="2:14" x14ac:dyDescent="0.2">
      <c r="B50" s="32"/>
      <c r="C50" s="1" t="s">
        <v>135</v>
      </c>
      <c r="E50" s="11"/>
      <c r="F50" s="11"/>
      <c r="G50" s="11"/>
      <c r="H50" s="11"/>
      <c r="I50" s="11"/>
      <c r="J50" s="11"/>
      <c r="K50" s="11"/>
      <c r="L50" s="11"/>
      <c r="M50" s="11"/>
      <c r="N50" s="11"/>
    </row>
    <row r="51" spans="2:14" x14ac:dyDescent="0.2">
      <c r="C51" s="1" t="s">
        <v>136</v>
      </c>
    </row>
    <row r="52" spans="2:14" x14ac:dyDescent="0.2">
      <c r="C52" s="1" t="s">
        <v>137</v>
      </c>
    </row>
  </sheetData>
  <mergeCells count="1">
    <mergeCell ref="C11:D11"/>
  </mergeCells>
  <pageMargins left="0.70866141732283472" right="0.70866141732283472" top="0.74803149606299213" bottom="0.74803149606299213" header="0.31496062992125984" footer="0.31496062992125984"/>
  <pageSetup paperSize="9" scale="67" orientation="landscape" horizontalDpi="300" verticalDpi="3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215c7e-d01c-4cfb-be95-679d797aaca1" xsi:nil="true"/>
    <IconOverlay xmlns="http://schemas.microsoft.com/sharepoint/v4" xsi:nil="true"/>
    <lcf76f155ced4ddcb4097134ff3c332f xmlns="e9732f93-1c64-4f1f-865d-56ca634cae78">
      <Terms xmlns="http://schemas.microsoft.com/office/infopath/2007/PartnerControls"/>
    </lcf76f155ced4ddcb4097134ff3c332f>
    <Dossiernummer xmlns="50bd7b6c-278f-4085-b58b-8f8be0ea259b">HHNK/17003617</Dossiernummer>
    <_Status xmlns="http://schemas.microsoft.com/sharepoint/v3/fields">Niet gestart</_Status>
    <PMW_x0020_rol xmlns="5032ce3c-7669-4e8e-8e90-4206227b70ae" xsi:nil="true"/>
    <Taakveld xmlns="50bd7b6c-278f-4085-b58b-8f8be0ea259b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744EBCFBDD4F74797477BDCE63ADB63" ma:contentTypeVersion="29" ma:contentTypeDescription="Een nieuw document maken." ma:contentTypeScope="" ma:versionID="6cf80e7bee60c07aeca053726e7c0608">
  <xsd:schema xmlns:xsd="http://www.w3.org/2001/XMLSchema" xmlns:xs="http://www.w3.org/2001/XMLSchema" xmlns:p="http://schemas.microsoft.com/office/2006/metadata/properties" xmlns:ns2="50bd7b6c-278f-4085-b58b-8f8be0ea259b" xmlns:ns3="http://schemas.microsoft.com/sharepoint/v3/fields" xmlns:ns4="5032ce3c-7669-4e8e-8e90-4206227b70ae" xmlns:ns5="http://schemas.microsoft.com/sharepoint/v4" xmlns:ns6="e9732f93-1c64-4f1f-865d-56ca634cae78" xmlns:ns7="eb215c7e-d01c-4cfb-be95-679d797aaca1" targetNamespace="http://schemas.microsoft.com/office/2006/metadata/properties" ma:root="true" ma:fieldsID="abfa6b1a889907d29a41939751f62dec" ns2:_="" ns3:_="" ns4:_="" ns5:_="" ns6:_="" ns7:_="">
    <xsd:import namespace="50bd7b6c-278f-4085-b58b-8f8be0ea259b"/>
    <xsd:import namespace="http://schemas.microsoft.com/sharepoint/v3/fields"/>
    <xsd:import namespace="5032ce3c-7669-4e8e-8e90-4206227b70ae"/>
    <xsd:import namespace="http://schemas.microsoft.com/sharepoint/v4"/>
    <xsd:import namespace="e9732f93-1c64-4f1f-865d-56ca634cae78"/>
    <xsd:import namespace="eb215c7e-d01c-4cfb-be95-679d797aaca1"/>
    <xsd:element name="properties">
      <xsd:complexType>
        <xsd:sequence>
          <xsd:element name="documentManagement">
            <xsd:complexType>
              <xsd:all>
                <xsd:element ref="ns2:Dossiernummer" minOccurs="0"/>
                <xsd:element ref="ns3:_Status" minOccurs="0"/>
                <xsd:element ref="ns4:PMW_x0020_rol" minOccurs="0"/>
                <xsd:element ref="ns2:Taakveld" minOccurs="0"/>
                <xsd:element ref="ns5:IconOverlay" minOccurs="0"/>
                <xsd:element ref="ns6:MediaServiceMetadata" minOccurs="0"/>
                <xsd:element ref="ns6:MediaServiceFastMetadata" minOccurs="0"/>
                <xsd:element ref="ns6:MediaServiceObjectDetectorVersions" minOccurs="0"/>
                <xsd:element ref="ns6:lcf76f155ced4ddcb4097134ff3c332f" minOccurs="0"/>
                <xsd:element ref="ns7:TaxCatchAll" minOccurs="0"/>
                <xsd:element ref="ns6:MediaServiceDateTaken" minOccurs="0"/>
                <xsd:element ref="ns6:MediaServiceGenerationTime" minOccurs="0"/>
                <xsd:element ref="ns6:MediaServiceEventHashCode" minOccurs="0"/>
                <xsd:element ref="ns6:MediaServiceLocation" minOccurs="0"/>
                <xsd:element ref="ns6:MediaServiceOCR" minOccurs="0"/>
                <xsd:element ref="ns7:SharedWithUsers" minOccurs="0"/>
                <xsd:element ref="ns7:SharedWithDetails" minOccurs="0"/>
                <xsd:element ref="ns6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bd7b6c-278f-4085-b58b-8f8be0ea259b" elementFormDefault="qualified">
    <xsd:import namespace="http://schemas.microsoft.com/office/2006/documentManagement/types"/>
    <xsd:import namespace="http://schemas.microsoft.com/office/infopath/2007/PartnerControls"/>
    <xsd:element name="Dossiernummer" ma:index="2" nillable="true" ma:displayName="Dossiernummer" ma:default="HHNK/17003617" ma:internalName="Dossiernummer">
      <xsd:simpleType>
        <xsd:restriction base="dms:Text">
          <xsd:maxLength value="255"/>
        </xsd:restriction>
      </xsd:simpleType>
    </xsd:element>
    <xsd:element name="Taakveld" ma:index="5" nillable="true" ma:displayName="Taakveld" ma:format="Dropdown" ma:internalName="Taakveld" ma:readOnly="false">
      <xsd:simpleType>
        <xsd:restriction base="dms:Choice">
          <xsd:enumeration value="1.01 Opdracht en of Opdrachtwijzigingen"/>
          <xsd:enumeration value="1.02 Plan van Aanpak en of Project Management Plan"/>
          <xsd:enumeration value="1.03 Bestuurs- en directiestukken"/>
          <xsd:enumeration value="1.04 Oplevering faseresultaat en of eindresultaat"/>
          <xsd:enumeration value="1.05 Samenwerkingsovereenkomsten"/>
          <xsd:enumeration value="1.06 Verbetermanagement"/>
          <xsd:enumeration value="1.07 Personeelszorg"/>
          <xsd:enumeration value="1.99 Periodiek overleg"/>
          <xsd:enumeration value="2.01 Financien"/>
          <xsd:enumeration value="2.02 Planning"/>
          <xsd:enumeration value="2.03 Risicomanagement"/>
          <xsd:enumeration value="2.04 Voortgangsrapportages"/>
          <xsd:enumeration value="2.05 Kwaliteit"/>
          <xsd:enumeration value="2.06 Organisatie"/>
          <xsd:enumeration value="2.99 Periodiek overleg"/>
          <xsd:enumeration value="3.01 Stakeholders"/>
          <xsd:enumeration value="3.02 Klanten Eisen Specificatie"/>
          <xsd:enumeration value="3.03 Communicatie"/>
          <xsd:enumeration value="3.04 Archeologie"/>
          <xsd:enumeration value="3.05 Cultuurhistorie"/>
          <xsd:enumeration value="3.06 Niet gesprongen explosieven"/>
          <xsd:enumeration value="3.07 Vergunningen en of Inspraakprocedures"/>
          <xsd:enumeration value="3.08 Milieu Effecten Rapportage"/>
          <xsd:enumeration value="3.09 Gecoordineerde besluitvorming"/>
          <xsd:enumeration value="3.10 Kabels en Leidingen"/>
          <xsd:enumeration value="3.11 Grondzaken"/>
          <xsd:enumeration value="3.12 Verkeersmanagement"/>
          <xsd:enumeration value="3.13 Juridica"/>
          <xsd:enumeration value="3.14 Natuur"/>
          <xsd:enumeration value="3.15 Bodem en Milieu"/>
          <xsd:enumeration value="3.99 Periodiek overleg"/>
          <xsd:enumeration value="4.01 Basisdata ontwerp"/>
          <xsd:enumeration value="4.02 Technische onderzoeken"/>
          <xsd:enumeration value="4.03 Programma van Eisen en of Systeem Eisen Specificatie"/>
          <xsd:enumeration value="4.04 Ontwerp"/>
          <xsd:enumeration value="4.05 Projectplan"/>
          <xsd:enumeration value="4.06 Realisatie en of AsBuilt"/>
          <xsd:enumeration value="4.07 Afspraken Beheer en Onderhoud"/>
          <xsd:enumeration value="4.99 Periodiek overleg"/>
          <xsd:enumeration value="5.01 Contractvoorbereiding"/>
          <xsd:enumeration value="5.02 Aanbesteding"/>
          <xsd:enumeration value="5.03 Gunning"/>
          <xsd:enumeration value="5.04 Contractbeheersing"/>
          <xsd:enumeration value="5.05 Oplevering"/>
          <xsd:enumeration value="5.99 Periodiek overleg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Status" ma:index="3" nillable="true" ma:displayName="Status" ma:default="Niet gestart" ma:internalName="_Status">
      <xsd:simpleType>
        <xsd:union memberTypes="dms:Text">
          <xsd:simpleType>
            <xsd:restriction base="dms:Choice">
              <xsd:enumeration value="Niet gestart"/>
              <xsd:enumeration value="Concept"/>
              <xsd:enumeration value="Herzien"/>
              <xsd:enumeration value="Gepland"/>
              <xsd:enumeration value="Gepubliceerd"/>
              <xsd:enumeration value="Definitief"/>
              <xsd:enumeration value="Verlopen"/>
            </xsd:restriction>
          </xsd:simpleType>
        </xsd:un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32ce3c-7669-4e8e-8e90-4206227b70ae" elementFormDefault="qualified">
    <xsd:import namespace="http://schemas.microsoft.com/office/2006/documentManagement/types"/>
    <xsd:import namespace="http://schemas.microsoft.com/office/infopath/2007/PartnerControls"/>
    <xsd:element name="PMW_x0020_rol" ma:index="4" nillable="true" ma:displayName="PMW-rol" ma:format="Dropdown" ma:internalName="PMW_x0020_rol" ma:readOnly="false">
      <xsd:simpleType>
        <xsd:restriction base="dms:Choice">
          <xsd:enumeration value="1 Project Management"/>
          <xsd:enumeration value="2 Projectbeheersing"/>
          <xsd:enumeration value="3 Omgevingsmanagement"/>
          <xsd:enumeration value="4 Technisch Management"/>
          <xsd:enumeration value="5 Contractmanagement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2" nillable="true" ma:displayName="IconOverlay" ma:hidden="true" ma:internalName="IconOverlay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732f93-1c64-4f1f-865d-56ca634cae7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Afbeeldingtags" ma:readOnly="false" ma:fieldId="{5cf76f15-5ced-4ddc-b409-7134ff3c332f}" ma:taxonomyMulti="true" ma:sspId="2456f685-abd1-47ac-b900-9350c5417bb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215c7e-d01c-4cfb-be95-679d797aaca1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4667e786-10a7-4d8b-a177-7c81f618ebe7}" ma:internalName="TaxCatchAll" ma:showField="CatchAllData" ma:web="eb215c7e-d01c-4cfb-be95-679d797aaca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4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5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8" ma:displayName="Inhoudstype"/>
        <xsd:element ref="dc:title" minOccurs="0" maxOccurs="1" ma:index="1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 ma:displayName="Status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0317FCE-915E-43A3-A571-8C6CDB1DBE32}">
  <ds:schemaRefs>
    <ds:schemaRef ds:uri="http://schemas.microsoft.com/office/2006/metadata/properties"/>
    <ds:schemaRef ds:uri="http://schemas.microsoft.com/office/infopath/2007/PartnerControls"/>
    <ds:schemaRef ds:uri="eb215c7e-d01c-4cfb-be95-679d797aaca1"/>
    <ds:schemaRef ds:uri="http://schemas.microsoft.com/sharepoint/v4"/>
    <ds:schemaRef ds:uri="e9732f93-1c64-4f1f-865d-56ca634cae78"/>
    <ds:schemaRef ds:uri="50bd7b6c-278f-4085-b58b-8f8be0ea259b"/>
    <ds:schemaRef ds:uri="http://schemas.microsoft.com/sharepoint/v3/fields"/>
    <ds:schemaRef ds:uri="5032ce3c-7669-4e8e-8e90-4206227b70ae"/>
  </ds:schemaRefs>
</ds:datastoreItem>
</file>

<file path=customXml/itemProps2.xml><?xml version="1.0" encoding="utf-8"?>
<ds:datastoreItem xmlns:ds="http://schemas.openxmlformats.org/officeDocument/2006/customXml" ds:itemID="{C89CB75F-A26D-45A3-A35C-F59C9273183E}"/>
</file>

<file path=customXml/itemProps3.xml><?xml version="1.0" encoding="utf-8"?>
<ds:datastoreItem xmlns:ds="http://schemas.openxmlformats.org/officeDocument/2006/customXml" ds:itemID="{69077021-F3CB-40C1-A600-0F975FB1495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4</vt:i4>
      </vt:variant>
      <vt:variant>
        <vt:lpstr>Benoemde bereiken</vt:lpstr>
      </vt:variant>
      <vt:variant>
        <vt:i4>3</vt:i4>
      </vt:variant>
    </vt:vector>
  </HeadingPairs>
  <TitlesOfParts>
    <vt:vector size="7" baseType="lpstr">
      <vt:lpstr>1</vt:lpstr>
      <vt:lpstr>2</vt:lpstr>
      <vt:lpstr>3</vt:lpstr>
      <vt:lpstr>4</vt:lpstr>
      <vt:lpstr>'2'!Afdrukbereik</vt:lpstr>
      <vt:lpstr>'3'!Afdrukbereik</vt:lpstr>
      <vt:lpstr>'4'!Afdrukbereik</vt:lpstr>
    </vt:vector>
  </TitlesOfParts>
  <Manager/>
  <Company>HHNK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Arends, Johan</dc:creator>
  <cp:keywords/>
  <dc:description/>
  <cp:lastModifiedBy>Schilpzand, Ernst-Jan</cp:lastModifiedBy>
  <cp:revision/>
  <cp:lastPrinted>2026-04-03T13:53:40Z</cp:lastPrinted>
  <dcterms:created xsi:type="dcterms:W3CDTF">2018-05-03T07:19:23Z</dcterms:created>
  <dcterms:modified xsi:type="dcterms:W3CDTF">2026-04-07T10:45:00Z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0x0101007744EBCFBDD4F74797477BDCE63ADB63</vt:lpwstr>
  </property>
  <property fmtid="{D5CDD505-2E9C-101B-9397-08002B2CF9AE}" pid="3" name="MediaServiceImageTags">
    <vt:lpwstr/>
  </property>
</Properties>
</file>