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Molenweg en Prinsessenwijk/02 Specificatie/01 Aanvraag/03 Verzonden/"/>
    </mc:Choice>
  </mc:AlternateContent>
  <xr:revisionPtr revIDLastSave="66" documentId="8_{4ACC8EE1-A1AC-4F50-A047-B3FB17A86995}" xr6:coauthVersionLast="47" xr6:coauthVersionMax="47" xr10:uidLastSave="{C94FE393-0795-483D-B484-8CE522400A7F}"/>
  <bookViews>
    <workbookView xWindow="28680" yWindow="-120" windowWidth="38640" windowHeight="21120" tabRatio="761" activeTab="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D9" i="6"/>
  <c r="G28" i="6"/>
  <c r="D28" i="6"/>
  <c r="E28" i="6"/>
  <c r="I46" i="6"/>
  <c r="G48" i="6"/>
  <c r="G47" i="6"/>
  <c r="G46" i="6" s="1"/>
  <c r="E48" i="6"/>
  <c r="E47" i="6"/>
  <c r="E46" i="6" s="1"/>
  <c r="D48" i="6"/>
  <c r="D47" i="6"/>
  <c r="D46" i="6" s="1"/>
  <c r="C9" i="6"/>
  <c r="D43" i="6"/>
  <c r="E43" i="6"/>
  <c r="G43" i="6"/>
  <c r="D44" i="6"/>
  <c r="E44" i="6"/>
  <c r="G44" i="6"/>
  <c r="D42" i="6"/>
  <c r="D41" i="6"/>
  <c r="D35" i="6"/>
  <c r="D36" i="6"/>
  <c r="D37" i="6"/>
  <c r="D38" i="6"/>
  <c r="D34" i="6"/>
  <c r="D33" i="6" s="1"/>
  <c r="D23" i="6"/>
  <c r="D24" i="6"/>
  <c r="D25" i="6"/>
  <c r="D26" i="6"/>
  <c r="D27" i="6"/>
  <c r="D29" i="6"/>
  <c r="D30" i="6"/>
  <c r="D31" i="6"/>
  <c r="D22" i="6"/>
  <c r="D21" i="6" s="1"/>
  <c r="D16" i="6"/>
  <c r="D17" i="6"/>
  <c r="D18" i="6"/>
  <c r="D19" i="6"/>
  <c r="D15" i="6"/>
  <c r="D12" i="6"/>
  <c r="D11" i="6"/>
  <c r="E42" i="6"/>
  <c r="E41" i="6"/>
  <c r="E38" i="6"/>
  <c r="E37" i="6"/>
  <c r="E36" i="6"/>
  <c r="E35" i="6"/>
  <c r="E34" i="6"/>
  <c r="E23" i="6"/>
  <c r="E24" i="6"/>
  <c r="E25" i="6"/>
  <c r="E26" i="6"/>
  <c r="E27" i="6"/>
  <c r="E29" i="6"/>
  <c r="E30" i="6"/>
  <c r="E31" i="6"/>
  <c r="E22" i="6"/>
  <c r="E16" i="6"/>
  <c r="E17" i="6"/>
  <c r="E18" i="6"/>
  <c r="E19" i="6"/>
  <c r="E15" i="6"/>
  <c r="E12" i="6"/>
  <c r="E11" i="6"/>
  <c r="G42" i="6"/>
  <c r="G36" i="6"/>
  <c r="G37" i="6"/>
  <c r="G38" i="6"/>
  <c r="G23" i="6"/>
  <c r="G24" i="6"/>
  <c r="G25" i="6"/>
  <c r="G26" i="6"/>
  <c r="G27" i="6"/>
  <c r="G29" i="6"/>
  <c r="G30" i="6"/>
  <c r="G17" i="6"/>
  <c r="G18" i="6"/>
  <c r="G19" i="6"/>
  <c r="G41" i="6"/>
  <c r="A4" i="6"/>
  <c r="A5" i="6"/>
  <c r="A6" i="6"/>
  <c r="A3" i="6"/>
  <c r="B5" i="6"/>
  <c r="B6" i="6"/>
  <c r="B3" i="6"/>
  <c r="G35" i="6"/>
  <c r="G11" i="6"/>
  <c r="G12" i="6"/>
  <c r="G15" i="6"/>
  <c r="G16" i="6"/>
  <c r="G31" i="6"/>
  <c r="G22" i="6"/>
  <c r="G34" i="6"/>
  <c r="B10" i="5"/>
  <c r="I40" i="6"/>
  <c r="I10" i="6"/>
  <c r="I33" i="6"/>
  <c r="I21" i="6"/>
  <c r="I14" i="6"/>
  <c r="H46" i="6" l="1"/>
  <c r="I48" i="6"/>
  <c r="I47" i="6"/>
  <c r="I9" i="6"/>
  <c r="E33" i="6"/>
  <c r="D14" i="6"/>
  <c r="D40" i="6"/>
  <c r="E10" i="6"/>
  <c r="G14" i="6"/>
  <c r="I36" i="6"/>
  <c r="G33" i="6"/>
  <c r="H33" i="6" s="1"/>
  <c r="G10" i="6"/>
  <c r="E14" i="6"/>
  <c r="E21" i="6"/>
  <c r="I28" i="6" s="1"/>
  <c r="E40" i="6"/>
  <c r="I29" i="6"/>
  <c r="I31" i="6"/>
  <c r="I30" i="6"/>
  <c r="I27" i="6"/>
  <c r="I23" i="6"/>
  <c r="I24" i="6"/>
  <c r="I34" i="6"/>
  <c r="I37" i="6"/>
  <c r="G40" i="6"/>
  <c r="H40" i="6" s="1"/>
  <c r="G21" i="6"/>
  <c r="H21" i="6" s="1"/>
  <c r="I35" i="6"/>
  <c r="I38" i="6"/>
  <c r="I25" i="6"/>
  <c r="D10" i="6"/>
  <c r="I16" i="6"/>
  <c r="I41" i="6"/>
  <c r="I22" i="6"/>
  <c r="I26" i="6"/>
  <c r="H14" i="6" l="1"/>
  <c r="I42" i="6"/>
  <c r="I43" i="6"/>
  <c r="I44" i="6"/>
  <c r="I18" i="6"/>
  <c r="I17" i="6"/>
  <c r="H10" i="6"/>
  <c r="I11" i="6"/>
  <c r="I19" i="6"/>
  <c r="I15" i="6"/>
  <c r="I12" i="6"/>
  <c r="B11" i="5" l="1"/>
  <c r="B13" i="5" s="1"/>
  <c r="B14" i="5" s="1"/>
</calcChain>
</file>

<file path=xl/sharedStrings.xml><?xml version="1.0" encoding="utf-8"?>
<sst xmlns="http://schemas.openxmlformats.org/spreadsheetml/2006/main" count="96" uniqueCount="96">
  <si>
    <t xml:space="preserve"> Rekenmodel prestatiemeting</t>
  </si>
  <si>
    <t>Projectgegevens</t>
  </si>
  <si>
    <t>Naam</t>
  </si>
  <si>
    <t>Bestek</t>
  </si>
  <si>
    <t>Datum</t>
  </si>
  <si>
    <t>Factor</t>
  </si>
  <si>
    <t>Aanneemsom</t>
  </si>
  <si>
    <t>Rekenwaarde prestatiemeting</t>
  </si>
  <si>
    <t>Behaald % prestatiemeting</t>
  </si>
  <si>
    <t>Aangeboden %  prestatiemeting</t>
  </si>
  <si>
    <t>Verschil</t>
  </si>
  <si>
    <t>Te verrekenen bedrag</t>
  </si>
  <si>
    <t>Factor bij bonus</t>
  </si>
  <si>
    <t>Factor bij malus</t>
  </si>
  <si>
    <t>De gele cellen zijn invulbaar</t>
  </si>
  <si>
    <t>PROJECTBEOORDELINGSFORMULIER</t>
  </si>
  <si>
    <t>voldaan zonder herstel of tekortkoming</t>
  </si>
  <si>
    <t>voldaan na incidentele tekortkoming</t>
  </si>
  <si>
    <t>L_R-733413-B1</t>
  </si>
  <si>
    <t>voldaan na meerder verzoek of meerder herstel of meerdere tekortkomingen of gevolgen voor TGKIO</t>
  </si>
  <si>
    <t>voldaan na herhaaldelijk verzoek of herhaaldelijk herstel of met grote gevolgen voor TGKIO</t>
  </si>
  <si>
    <t>Toetsingsonderdelen</t>
  </si>
  <si>
    <t>Wegings- factor</t>
  </si>
  <si>
    <t>WF ter info en controle in %</t>
  </si>
  <si>
    <t>Maximaal te behalen punten</t>
  </si>
  <si>
    <t>Beoorde-lings waarde</t>
  </si>
  <si>
    <t>Behaalde punten</t>
  </si>
  <si>
    <t>Gescoorde waarde in procenten</t>
  </si>
  <si>
    <t>Max. rekenwaarde</t>
  </si>
  <si>
    <t>totaal gescoorde waarde</t>
  </si>
  <si>
    <t>Aanleveren documenten</t>
  </si>
  <si>
    <t>1.1</t>
  </si>
  <si>
    <t>Voor alle aan te leveren documenten geldt dat deze juist en conform contract aangeleverd dienen te worden. (Denk aan gedetailleerd werkplan, algemeen tijdschema, kwaliteits- en keuringsplan, V&amp;G plan, werkplannen voor specifieke onderwerpen, omgaan met vrijgekomen materialen, verkeersplan, etc.</t>
  </si>
  <si>
    <t>1.2</t>
  </si>
  <si>
    <t>Revisie- en inspectiegegevens tijdig en compleet indienen.</t>
  </si>
  <si>
    <t>2.</t>
  </si>
  <si>
    <t>Algemeen tijdschema, werkplan / projectadministratie</t>
  </si>
  <si>
    <t>2.1</t>
  </si>
  <si>
    <r>
      <t xml:space="preserve">Algemeen tijdsschema en gedetailleerd werkplan, voldoet aan de eisen van het contract en </t>
    </r>
    <r>
      <rPr>
        <b/>
        <i/>
        <u/>
        <sz val="10"/>
        <color indexed="8"/>
        <rFont val="Arial"/>
        <family val="2"/>
      </rPr>
      <t>par.</t>
    </r>
    <r>
      <rPr>
        <sz val="10"/>
        <color indexed="8"/>
        <rFont val="Arial"/>
        <family val="2"/>
      </rPr>
      <t>26 van de UAV 2012 en dient wekelijks geoptimaliseerd te worden.</t>
    </r>
  </si>
  <si>
    <t>2.2</t>
  </si>
  <si>
    <t>Wijzigingen in het algemeen tijdschema worden dagelijks gemeld bij de directie.</t>
  </si>
  <si>
    <t>2.3</t>
  </si>
  <si>
    <t>Afwijkingen worden tijdig gemeld, duidelijk omschreven en goed gemotiveerd. Na verzoek indienen van open begroting met marktconforme prijzen.</t>
  </si>
  <si>
    <t>2.4</t>
  </si>
  <si>
    <t>Indienen onderbouwde termijnen, herleidbaar berekend, met aantoonbare hoeveelhedenverklaring, bonnen en schetsen tijdig en compleet indienen.</t>
  </si>
  <si>
    <t>2.5</t>
  </si>
  <si>
    <t>Dagrapporten worden wekelijks en compleet ingediend</t>
  </si>
  <si>
    <t>3.</t>
  </si>
  <si>
    <t>Projectkwaliteit en uitvoering</t>
  </si>
  <si>
    <t>3.1</t>
  </si>
  <si>
    <t>Kwaliteitsborging wordt zodanig uitgevoerd dan bij (vermoeden van) onvoldoend werk, de opdrachtnemer dit zelf, proactief, signaleert en meldt, voordat onvoldoende werk door de directie is gesignaleerd.</t>
  </si>
  <si>
    <t>3.2</t>
  </si>
  <si>
    <t>Stop- en bijwoonpunten tijdig aangemeld.</t>
  </si>
  <si>
    <t>3.3</t>
  </si>
  <si>
    <t>Proactief voorkomen van schade aan werk en omgeving (bermen/bomen).</t>
  </si>
  <si>
    <t>3.4</t>
  </si>
  <si>
    <t>Proactief herstellen van onvoldoend werk en schade.</t>
  </si>
  <si>
    <t>3.5</t>
  </si>
  <si>
    <t>Grondstromen tijdig melden bij Meldpunt Bodemkwaliteit conform het Besluit Bodemkwaliteit</t>
  </si>
  <si>
    <t>3.6</t>
  </si>
  <si>
    <t>Buiten werktijden alle bouwstoffen, afvalstoffen ect in een afgesloten omgeving.</t>
  </si>
  <si>
    <t>3.7</t>
  </si>
  <si>
    <t>3.8</t>
  </si>
  <si>
    <t>Verdichting ondergrond, sleuven, aanvullingen en de fundering voldoen aan bestekeisen.</t>
  </si>
  <si>
    <t>3.9</t>
  </si>
  <si>
    <t>Elementenverharding voldoet aan bestekeisen.</t>
  </si>
  <si>
    <t>3.10</t>
  </si>
  <si>
    <t>Riolering voldoet aan bestekeisen</t>
  </si>
  <si>
    <t>4.</t>
  </si>
  <si>
    <t>Communicatie</t>
  </si>
  <si>
    <t>4.1</t>
  </si>
  <si>
    <t>Opdrachtnemer komt afspraken met, en aanwijzingen van de directie juist en tijdig na.</t>
  </si>
  <si>
    <t>4.2</t>
  </si>
  <si>
    <t>Uitvoerder en/of projectleider is telefonisch goed bereikbaar en reageert dagelijks op vragen en opmerkingen.</t>
  </si>
  <si>
    <t>4.3</t>
  </si>
  <si>
    <t>Afspraken met derden (nutsen, andere opdrachtnemers en bewoners worden vastgelegd en tijdig gecommuniceerd met de directie.</t>
  </si>
  <si>
    <t>4.4</t>
  </si>
  <si>
    <t>Opdrachtnemer heeft oog voor de sociale aspecten naar de omgeving.</t>
  </si>
  <si>
    <t>4.5</t>
  </si>
  <si>
    <t>De opdrachtnemer voorkomt discussie door afspraken met de directie dagelijks per mail te bevestigen.</t>
  </si>
  <si>
    <t>5.</t>
  </si>
  <si>
    <t>Werkterrein / veilig werken</t>
  </si>
  <si>
    <t>5.1</t>
  </si>
  <si>
    <t>Verkeersmaatregelen worden dagelijks in stand gehouden</t>
  </si>
  <si>
    <t>5.2</t>
  </si>
  <si>
    <t>Maatregelen uit V&amp;G-plan worden nagekomen</t>
  </si>
  <si>
    <t>5.3</t>
  </si>
  <si>
    <t>Veilig werken en voorkomen gevaarlijke situaties voor medewerkers, omwonenden en weggebruikers.</t>
  </si>
  <si>
    <t>5.4</t>
  </si>
  <si>
    <t>Het werkterrein is ordelijk.</t>
  </si>
  <si>
    <t>Integrale aanpak Molenweg en Prinsessenwijk</t>
  </si>
  <si>
    <t>L_R-733429-B1</t>
  </si>
  <si>
    <t>Nakoming toezeggingen subgunningscriteria</t>
  </si>
  <si>
    <t>De opdrachtnemer maakt voor de aanvang van de uitvoering zijn toezeggingen SMART en kenbaar bij de directie</t>
  </si>
  <si>
    <t>De opdrachtnemer komt zijn toezeggingen uit de aanbesteding juist en tijdig na.</t>
  </si>
  <si>
    <t>Grond van verschillende kwaliteit gescheiden ontgraven, melden, afvoeren en opslaan.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</si>
</sst>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b/>
      <i/>
      <u/>
      <sz val="10"/>
      <color indexed="8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0" fontId="10" fillId="0" borderId="13" xfId="2" applyNumberFormat="1" applyFont="1" applyFill="1" applyBorder="1" applyAlignment="1" applyProtection="1">
      <alignment horizontal="center" vertical="top" wrapText="1"/>
    </xf>
    <xf numFmtId="0" fontId="3" fillId="0" borderId="0" xfId="0" applyFont="1"/>
    <xf numFmtId="0" fontId="3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166" fontId="4" fillId="0" borderId="11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left" vertical="top" wrapText="1"/>
    </xf>
    <xf numFmtId="165" fontId="3" fillId="2" borderId="11" xfId="0" applyNumberFormat="1" applyFont="1" applyFill="1" applyBorder="1" applyAlignment="1">
      <alignment horizontal="left" vertical="top" wrapText="1"/>
    </xf>
    <xf numFmtId="9" fontId="3" fillId="2" borderId="11" xfId="0" applyNumberFormat="1" applyFont="1" applyFill="1" applyBorder="1" applyAlignment="1">
      <alignment horizontal="left" vertical="top" wrapText="1"/>
    </xf>
    <xf numFmtId="9" fontId="3" fillId="0" borderId="11" xfId="0" applyNumberFormat="1" applyFont="1" applyBorder="1" applyAlignment="1">
      <alignment horizontal="left" vertical="top"/>
    </xf>
    <xf numFmtId="4" fontId="9" fillId="0" borderId="11" xfId="0" applyNumberFormat="1" applyFont="1" applyBorder="1" applyAlignment="1">
      <alignment horizontal="left" vertical="top" wrapText="1"/>
    </xf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8" fillId="3" borderId="2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8" fillId="3" borderId="25" xfId="0" applyFont="1" applyFill="1" applyBorder="1" applyAlignment="1">
      <alignment horizontal="left" vertical="top" wrapText="1"/>
    </xf>
    <xf numFmtId="166" fontId="4" fillId="3" borderId="27" xfId="0" applyNumberFormat="1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5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5" xfId="0" applyFont="1" applyBorder="1"/>
    <xf numFmtId="9" fontId="3" fillId="0" borderId="6" xfId="0" applyNumberFormat="1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9" fontId="4" fillId="2" borderId="6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0" fontId="4" fillId="6" borderId="0" xfId="0" applyFont="1" applyFill="1"/>
    <xf numFmtId="9" fontId="4" fillId="6" borderId="6" xfId="2" applyFont="1" applyFill="1" applyBorder="1" applyAlignment="1" applyProtection="1">
      <alignment horizontal="center" vertical="center" wrapText="1"/>
    </xf>
    <xf numFmtId="9" fontId="10" fillId="5" borderId="6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9" fontId="4" fillId="6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23" xfId="0" applyFont="1" applyBorder="1" applyAlignment="1">
      <alignment horizontal="center" vertical="top" wrapText="1"/>
    </xf>
    <xf numFmtId="165" fontId="3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3" xfId="0" applyFont="1" applyBorder="1"/>
    <xf numFmtId="0" fontId="3" fillId="0" borderId="4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5" borderId="33" xfId="0" applyFont="1" applyFill="1" applyBorder="1" applyAlignment="1">
      <alignment horizontal="left" vertical="center" wrapText="1"/>
    </xf>
    <xf numFmtId="0" fontId="4" fillId="6" borderId="13" xfId="0" applyFont="1" applyFill="1" applyBorder="1"/>
    <xf numFmtId="9" fontId="4" fillId="6" borderId="39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12" fillId="6" borderId="42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vertical="center" wrapText="1"/>
    </xf>
    <xf numFmtId="9" fontId="4" fillId="6" borderId="13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3" fillId="0" borderId="22" xfId="0" applyFont="1" applyBorder="1" applyAlignment="1">
      <alignment wrapText="1"/>
    </xf>
    <xf numFmtId="0" fontId="3" fillId="0" borderId="28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workbookViewId="0">
      <selection activeCell="B9" sqref="B9"/>
    </sheetView>
  </sheetViews>
  <sheetFormatPr defaultColWidth="9.21875" defaultRowHeight="13.2" x14ac:dyDescent="0.25"/>
  <cols>
    <col min="1" max="1" width="40.77734375" style="7" customWidth="1"/>
    <col min="2" max="2" width="42.21875" style="7" bestFit="1" customWidth="1"/>
    <col min="3" max="16384" width="9.21875" style="7"/>
  </cols>
  <sheetData>
    <row r="1" spans="1:2" ht="30.6" thickBot="1" x14ac:dyDescent="0.3">
      <c r="A1" s="118" t="s">
        <v>0</v>
      </c>
      <c r="B1" s="119"/>
    </row>
    <row r="2" spans="1:2" ht="15" customHeight="1" x14ac:dyDescent="0.25">
      <c r="A2" s="122" t="s">
        <v>1</v>
      </c>
      <c r="B2" s="123"/>
    </row>
    <row r="3" spans="1:2" ht="15" customHeight="1" x14ac:dyDescent="0.25">
      <c r="A3" s="8" t="s">
        <v>2</v>
      </c>
      <c r="B3" s="9" t="s">
        <v>90</v>
      </c>
    </row>
    <row r="4" spans="1:2" ht="15" customHeight="1" x14ac:dyDescent="0.25">
      <c r="A4" s="8" t="s">
        <v>3</v>
      </c>
      <c r="B4" s="10" t="s">
        <v>91</v>
      </c>
    </row>
    <row r="5" spans="1:2" ht="15" customHeight="1" x14ac:dyDescent="0.25">
      <c r="A5" s="8"/>
      <c r="B5" s="9"/>
    </row>
    <row r="6" spans="1:2" ht="15" customHeight="1" x14ac:dyDescent="0.25">
      <c r="A6" s="8" t="s">
        <v>4</v>
      </c>
      <c r="B6" s="11">
        <v>46127</v>
      </c>
    </row>
    <row r="7" spans="1:2" ht="15" customHeight="1" x14ac:dyDescent="0.25">
      <c r="A7" s="120"/>
      <c r="B7" s="121"/>
    </row>
    <row r="8" spans="1:2" ht="15" customHeight="1" x14ac:dyDescent="0.25">
      <c r="A8" s="12" t="s">
        <v>5</v>
      </c>
      <c r="B8" s="13">
        <v>0.15</v>
      </c>
    </row>
    <row r="9" spans="1:2" ht="15" customHeight="1" x14ac:dyDescent="0.25">
      <c r="A9" s="12" t="s">
        <v>6</v>
      </c>
      <c r="B9" s="1">
        <v>250000</v>
      </c>
    </row>
    <row r="10" spans="1:2" ht="15" customHeight="1" x14ac:dyDescent="0.25">
      <c r="A10" s="12" t="s">
        <v>7</v>
      </c>
      <c r="B10" s="14">
        <f>B9*B8</f>
        <v>37500</v>
      </c>
    </row>
    <row r="11" spans="1:2" ht="15" customHeight="1" x14ac:dyDescent="0.25">
      <c r="A11" s="12" t="s">
        <v>8</v>
      </c>
      <c r="B11" s="15">
        <f>Projectbeoordelingsformulier!H9</f>
        <v>1</v>
      </c>
    </row>
    <row r="12" spans="1:2" ht="15" customHeight="1" x14ac:dyDescent="0.25">
      <c r="A12" s="12" t="s">
        <v>9</v>
      </c>
      <c r="B12" s="2">
        <v>0.8</v>
      </c>
    </row>
    <row r="13" spans="1:2" ht="15" customHeight="1" x14ac:dyDescent="0.25">
      <c r="A13" s="12" t="s">
        <v>10</v>
      </c>
      <c r="B13" s="16">
        <f>ROUND(B11-B12,2)</f>
        <v>0.2</v>
      </c>
    </row>
    <row r="14" spans="1:2" ht="15" customHeight="1" x14ac:dyDescent="0.25">
      <c r="A14" s="12" t="s">
        <v>11</v>
      </c>
      <c r="B14" s="14">
        <f>IF(B13&lt;=0%,B8*B9*B13*B17,B8*B9*B13*B16)</f>
        <v>5625</v>
      </c>
    </row>
    <row r="15" spans="1:2" ht="15" customHeight="1" x14ac:dyDescent="0.25">
      <c r="A15" s="120"/>
      <c r="B15" s="121"/>
    </row>
    <row r="16" spans="1:2" ht="15.6" x14ac:dyDescent="0.25">
      <c r="A16" s="12" t="s">
        <v>12</v>
      </c>
      <c r="B16" s="17">
        <v>0.75</v>
      </c>
    </row>
    <row r="17" spans="1:2" ht="15.6" x14ac:dyDescent="0.25">
      <c r="A17" s="12" t="s">
        <v>13</v>
      </c>
      <c r="B17" s="17">
        <v>2.5</v>
      </c>
    </row>
    <row r="18" spans="1:2" ht="15" customHeight="1" thickBot="1" x14ac:dyDescent="0.3">
      <c r="A18" s="116"/>
      <c r="B18" s="117"/>
    </row>
    <row r="20" spans="1:2" x14ac:dyDescent="0.25">
      <c r="A20" s="18" t="s">
        <v>14</v>
      </c>
    </row>
  </sheetData>
  <sheetProtection algorithmName="SHA-512" hashValue="jNvyL5ApxPyxg2NVStdNIIyosInzdaYN3DRxKuBUPvVA/rAzyBwOI6TPz+NUsLEKJgfr3IkxUwspBckdme70JQ==" saltValue="h0aKA/rhoprxydREOf+lWg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topLeftCell="A3" zoomScaleNormal="115" zoomScaleSheetLayoutView="85" workbookViewId="0">
      <selection activeCell="F11" sqref="F11"/>
    </sheetView>
  </sheetViews>
  <sheetFormatPr defaultColWidth="9.21875" defaultRowHeight="13.2" x14ac:dyDescent="0.25"/>
  <cols>
    <col min="1" max="1" width="9.77734375" style="102" bestFit="1" customWidth="1"/>
    <col min="2" max="2" width="61.5546875" style="24" customWidth="1"/>
    <col min="3" max="3" width="9.77734375" style="27" bestFit="1" customWidth="1"/>
    <col min="4" max="4" width="9.44140625" style="28" bestFit="1" customWidth="1"/>
    <col min="5" max="5" width="9.77734375" style="7" customWidth="1"/>
    <col min="6" max="6" width="8.77734375" style="7" customWidth="1"/>
    <col min="7" max="7" width="23.44140625" style="27" bestFit="1" customWidth="1"/>
    <col min="8" max="8" width="20.21875" style="27" bestFit="1" customWidth="1"/>
    <col min="9" max="9" width="24" style="27" customWidth="1"/>
    <col min="10" max="16384" width="9.21875" style="7"/>
  </cols>
  <sheetData>
    <row r="1" spans="1:9" ht="13.8" thickBot="1" x14ac:dyDescent="0.3">
      <c r="A1" s="105" t="s">
        <v>15</v>
      </c>
      <c r="B1" s="106"/>
      <c r="C1" s="106"/>
      <c r="D1" s="106"/>
      <c r="E1" s="106"/>
      <c r="F1" s="106"/>
      <c r="G1" s="106"/>
      <c r="H1" s="106"/>
      <c r="I1" s="107"/>
    </row>
    <row r="2" spans="1:9" s="24" customFormat="1" x14ac:dyDescent="0.25">
      <c r="A2" s="19"/>
      <c r="B2" s="20"/>
      <c r="C2" s="21"/>
      <c r="D2" s="22"/>
      <c r="E2" s="20"/>
      <c r="F2" s="23">
        <v>5</v>
      </c>
      <c r="G2" s="115" t="s">
        <v>16</v>
      </c>
      <c r="H2" s="115"/>
      <c r="I2" s="115"/>
    </row>
    <row r="3" spans="1:9" x14ac:dyDescent="0.25">
      <c r="A3" s="25" t="str">
        <f>IF(rekenmodel!A3="","",rekenmodel!A3)</f>
        <v>Naam</v>
      </c>
      <c r="B3" s="26" t="str">
        <f>IF(rekenmodel!B3="","",rekenmodel!B3)</f>
        <v>Integrale aanpak Molenweg en Prinsessenwijk</v>
      </c>
      <c r="E3" s="27"/>
      <c r="F3" s="23">
        <v>3</v>
      </c>
      <c r="G3" s="112" t="s">
        <v>17</v>
      </c>
      <c r="H3" s="113"/>
      <c r="I3" s="114"/>
    </row>
    <row r="4" spans="1:9" ht="12.75" customHeight="1" x14ac:dyDescent="0.25">
      <c r="A4" s="29" t="str">
        <f>IF(rekenmodel!A4="","",rekenmodel!A4)</f>
        <v>Bestek</v>
      </c>
      <c r="B4" s="30" t="s">
        <v>18</v>
      </c>
      <c r="E4" s="27"/>
      <c r="F4" s="103">
        <v>1</v>
      </c>
      <c r="G4" s="104" t="s">
        <v>19</v>
      </c>
      <c r="H4" s="104"/>
      <c r="I4" s="104"/>
    </row>
    <row r="5" spans="1:9" x14ac:dyDescent="0.25">
      <c r="A5" s="29" t="str">
        <f>IF(rekenmodel!A5="","",rekenmodel!A5)</f>
        <v/>
      </c>
      <c r="B5" s="30" t="str">
        <f>IF(rekenmodel!B5="","",rekenmodel!B5)</f>
        <v/>
      </c>
      <c r="E5" s="27"/>
      <c r="F5" s="103"/>
      <c r="G5" s="104"/>
      <c r="H5" s="104"/>
      <c r="I5" s="104"/>
    </row>
    <row r="6" spans="1:9" ht="12.75" customHeight="1" x14ac:dyDescent="0.25">
      <c r="A6" s="31" t="str">
        <f>IF(rekenmodel!A6="","",rekenmodel!A6)</f>
        <v>Datum</v>
      </c>
      <c r="B6" s="32">
        <f>IF(rekenmodel!B6="","",rekenmodel!B6)</f>
        <v>46127</v>
      </c>
      <c r="E6" s="27"/>
      <c r="F6" s="103">
        <v>0</v>
      </c>
      <c r="G6" s="104" t="s">
        <v>20</v>
      </c>
      <c r="H6" s="104"/>
      <c r="I6" s="104"/>
    </row>
    <row r="7" spans="1:9" ht="13.8" thickBot="1" x14ac:dyDescent="0.3">
      <c r="A7" s="33"/>
      <c r="B7" s="34"/>
      <c r="C7" s="35"/>
      <c r="D7" s="36"/>
      <c r="E7" s="35"/>
      <c r="F7" s="103"/>
      <c r="G7" s="104"/>
      <c r="H7" s="104"/>
      <c r="I7" s="104"/>
    </row>
    <row r="8" spans="1:9" ht="38.25" customHeight="1" x14ac:dyDescent="0.25">
      <c r="A8" s="37"/>
      <c r="B8" s="108" t="s">
        <v>21</v>
      </c>
      <c r="C8" s="38" t="s">
        <v>22</v>
      </c>
      <c r="D8" s="39" t="s">
        <v>23</v>
      </c>
      <c r="E8" s="110" t="s">
        <v>24</v>
      </c>
      <c r="F8" s="110" t="s">
        <v>25</v>
      </c>
      <c r="G8" s="38" t="s">
        <v>26</v>
      </c>
      <c r="H8" s="38" t="s">
        <v>27</v>
      </c>
      <c r="I8" s="40" t="s">
        <v>28</v>
      </c>
    </row>
    <row r="9" spans="1:9" x14ac:dyDescent="0.25">
      <c r="A9" s="41"/>
      <c r="B9" s="109"/>
      <c r="C9" s="42">
        <f>C10+C14+C21+C33+C40+C46</f>
        <v>1</v>
      </c>
      <c r="D9" s="43">
        <f>D10+D14+D21+D33+D40+D46</f>
        <v>1</v>
      </c>
      <c r="E9" s="111"/>
      <c r="F9" s="111"/>
      <c r="G9" s="44" t="s">
        <v>29</v>
      </c>
      <c r="H9" s="45">
        <f>H10+H14+H21+H33+H40+H46</f>
        <v>1</v>
      </c>
      <c r="I9" s="46">
        <f>I10+I14+I21+I33+I40</f>
        <v>30000</v>
      </c>
    </row>
    <row r="10" spans="1:9" s="55" customFormat="1" ht="15" customHeight="1" x14ac:dyDescent="0.25">
      <c r="A10" s="47">
        <v>1</v>
      </c>
      <c r="B10" s="48" t="s">
        <v>30</v>
      </c>
      <c r="C10" s="49">
        <v>0.1</v>
      </c>
      <c r="D10" s="50">
        <f>SUM(D11:D12)</f>
        <v>0.1</v>
      </c>
      <c r="E10" s="51">
        <f>SUM(E11:E12)</f>
        <v>20</v>
      </c>
      <c r="F10" s="52"/>
      <c r="G10" s="53">
        <f>SUM(G11:G12)</f>
        <v>20</v>
      </c>
      <c r="H10" s="54">
        <f>G10/E10*C10</f>
        <v>0.1</v>
      </c>
      <c r="I10" s="3">
        <f>C10*rekenmodel!B10</f>
        <v>3750</v>
      </c>
    </row>
    <row r="11" spans="1:9" s="55" customFormat="1" ht="66" x14ac:dyDescent="0.3">
      <c r="A11" s="56" t="s">
        <v>31</v>
      </c>
      <c r="B11" s="57" t="s">
        <v>32</v>
      </c>
      <c r="C11" s="58">
        <v>1</v>
      </c>
      <c r="D11" s="6">
        <f>$C$10/(SUM($C$11:$C$12))*C11</f>
        <v>2.5000000000000001E-2</v>
      </c>
      <c r="E11" s="58">
        <f>C11*$F$2</f>
        <v>5</v>
      </c>
      <c r="F11" s="4">
        <v>5</v>
      </c>
      <c r="G11" s="59">
        <f>C11*F11</f>
        <v>5</v>
      </c>
      <c r="H11" s="60"/>
      <c r="I11" s="5">
        <f>$I$10/$E$10*E11</f>
        <v>937.5</v>
      </c>
    </row>
    <row r="12" spans="1:9" s="55" customFormat="1" x14ac:dyDescent="0.25">
      <c r="A12" s="61" t="s">
        <v>33</v>
      </c>
      <c r="B12" s="7" t="s">
        <v>34</v>
      </c>
      <c r="C12" s="58">
        <v>3</v>
      </c>
      <c r="D12" s="6">
        <f>$C$10/(SUM($C$11:$C$12))*C12</f>
        <v>7.5000000000000011E-2</v>
      </c>
      <c r="E12" s="58">
        <f t="shared" ref="E12" si="0">C12*$F$2</f>
        <v>15</v>
      </c>
      <c r="F12" s="4">
        <v>5</v>
      </c>
      <c r="G12" s="59">
        <f>C12*F12</f>
        <v>15</v>
      </c>
      <c r="H12" s="60"/>
      <c r="I12" s="5">
        <f>$I$10/$E$10*E12</f>
        <v>2812.5</v>
      </c>
    </row>
    <row r="13" spans="1:9" s="55" customFormat="1" ht="15" customHeight="1" x14ac:dyDescent="0.3">
      <c r="A13" s="62"/>
      <c r="B13" s="63"/>
      <c r="C13" s="59"/>
      <c r="D13" s="64"/>
      <c r="E13" s="59"/>
      <c r="F13" s="59"/>
      <c r="G13" s="59"/>
      <c r="H13" s="60"/>
      <c r="I13" s="65"/>
    </row>
    <row r="14" spans="1:9" s="67" customFormat="1" x14ac:dyDescent="0.25">
      <c r="A14" s="47" t="s">
        <v>35</v>
      </c>
      <c r="B14" s="48" t="s">
        <v>36</v>
      </c>
      <c r="C14" s="66">
        <v>0.1</v>
      </c>
      <c r="D14" s="50">
        <f>SUM(D15:D19)</f>
        <v>0.1</v>
      </c>
      <c r="E14" s="51">
        <f>SUM(E15:E19)</f>
        <v>55</v>
      </c>
      <c r="F14" s="52"/>
      <c r="G14" s="53">
        <f>SUM(G15:G19)</f>
        <v>55</v>
      </c>
      <c r="H14" s="54">
        <f>G14/E14*C14</f>
        <v>0.1</v>
      </c>
      <c r="I14" s="3">
        <f>C14*rekenmodel!B10</f>
        <v>3750</v>
      </c>
    </row>
    <row r="15" spans="1:9" s="67" customFormat="1" ht="39.6" x14ac:dyDescent="0.25">
      <c r="A15" s="56" t="s">
        <v>37</v>
      </c>
      <c r="B15" s="68" t="s">
        <v>38</v>
      </c>
      <c r="C15" s="58">
        <v>1</v>
      </c>
      <c r="D15" s="6">
        <f>$C$14/(SUM($C$15:$C$19))*C15</f>
        <v>9.0909090909090922E-3</v>
      </c>
      <c r="E15" s="69">
        <f>C15*$F$2</f>
        <v>5</v>
      </c>
      <c r="F15" s="4">
        <v>5</v>
      </c>
      <c r="G15" s="59">
        <f>F15*C15</f>
        <v>5</v>
      </c>
      <c r="H15" s="70"/>
      <c r="I15" s="5">
        <f>$I$14/$E$14*E15</f>
        <v>340.90909090909093</v>
      </c>
    </row>
    <row r="16" spans="1:9" s="67" customFormat="1" ht="26.4" x14ac:dyDescent="0.25">
      <c r="A16" s="71" t="s">
        <v>39</v>
      </c>
      <c r="B16" s="72" t="s">
        <v>40</v>
      </c>
      <c r="C16" s="58">
        <v>2</v>
      </c>
      <c r="D16" s="6">
        <f>$C$14/(SUM($C$15:$C$19))*C16</f>
        <v>1.8181818181818184E-2</v>
      </c>
      <c r="E16" s="58">
        <f t="shared" ref="E16:E19" si="1">C16*$F$2</f>
        <v>10</v>
      </c>
      <c r="F16" s="4">
        <v>5</v>
      </c>
      <c r="G16" s="59">
        <f>F16*C16</f>
        <v>10</v>
      </c>
      <c r="H16" s="70"/>
      <c r="I16" s="5">
        <f>$I$14/$E$14*E16</f>
        <v>681.81818181818187</v>
      </c>
    </row>
    <row r="17" spans="1:11" s="67" customFormat="1" ht="39.6" x14ac:dyDescent="0.25">
      <c r="A17" s="71" t="s">
        <v>41</v>
      </c>
      <c r="B17" s="72" t="s">
        <v>42</v>
      </c>
      <c r="C17" s="58">
        <v>3</v>
      </c>
      <c r="D17" s="6">
        <f>$C$14/(SUM($C$15:$C$19))*C17</f>
        <v>2.7272727272727275E-2</v>
      </c>
      <c r="E17" s="58">
        <f t="shared" si="1"/>
        <v>15</v>
      </c>
      <c r="F17" s="4">
        <v>5</v>
      </c>
      <c r="G17" s="59">
        <f t="shared" ref="G17:G19" si="2">F17*C17</f>
        <v>15</v>
      </c>
      <c r="H17" s="70"/>
      <c r="I17" s="5">
        <f>$I$14/$E$14*E17</f>
        <v>1022.7272727272727</v>
      </c>
    </row>
    <row r="18" spans="1:11" s="67" customFormat="1" ht="39.6" x14ac:dyDescent="0.3">
      <c r="A18" s="71" t="s">
        <v>43</v>
      </c>
      <c r="B18" s="73" t="s">
        <v>44</v>
      </c>
      <c r="C18" s="74">
        <v>3</v>
      </c>
      <c r="D18" s="6">
        <f>$C$14/(SUM($C$15:$C$19))*C18</f>
        <v>2.7272727272727275E-2</v>
      </c>
      <c r="E18" s="58">
        <f t="shared" si="1"/>
        <v>15</v>
      </c>
      <c r="F18" s="4">
        <v>5</v>
      </c>
      <c r="G18" s="59">
        <f t="shared" si="2"/>
        <v>15</v>
      </c>
      <c r="H18" s="70"/>
      <c r="I18" s="5">
        <f>$I$14/$E$14*E18</f>
        <v>1022.7272727272727</v>
      </c>
    </row>
    <row r="19" spans="1:11" s="67" customFormat="1" x14ac:dyDescent="0.25">
      <c r="A19" s="71" t="s">
        <v>45</v>
      </c>
      <c r="B19" s="75" t="s">
        <v>46</v>
      </c>
      <c r="C19" s="74">
        <v>2</v>
      </c>
      <c r="D19" s="6">
        <f>$C$14/(SUM($C$15:$C$19))*C19</f>
        <v>1.8181818181818184E-2</v>
      </c>
      <c r="E19" s="58">
        <f t="shared" si="1"/>
        <v>10</v>
      </c>
      <c r="F19" s="4">
        <v>5</v>
      </c>
      <c r="G19" s="59">
        <f t="shared" si="2"/>
        <v>10</v>
      </c>
      <c r="H19" s="70"/>
      <c r="I19" s="5">
        <f>$I$14/$E$14*E19</f>
        <v>681.81818181818187</v>
      </c>
    </row>
    <row r="20" spans="1:11" s="67" customFormat="1" ht="15" customHeight="1" x14ac:dyDescent="0.3">
      <c r="A20" s="76"/>
      <c r="B20" s="77"/>
      <c r="C20" s="78"/>
      <c r="D20" s="79"/>
      <c r="E20" s="59"/>
      <c r="F20" s="59"/>
      <c r="G20" s="59"/>
      <c r="H20" s="70"/>
      <c r="I20" s="65"/>
    </row>
    <row r="21" spans="1:11" s="67" customFormat="1" ht="15" customHeight="1" x14ac:dyDescent="0.25">
      <c r="A21" s="80" t="s">
        <v>47</v>
      </c>
      <c r="B21" s="81" t="s">
        <v>48</v>
      </c>
      <c r="C21" s="82">
        <v>0.4</v>
      </c>
      <c r="D21" s="50">
        <f>SUM(D22:D31)</f>
        <v>0.4</v>
      </c>
      <c r="E21" s="51">
        <f>SUM(E22:E31)</f>
        <v>125</v>
      </c>
      <c r="F21" s="52"/>
      <c r="G21" s="53">
        <f>SUM(G22:G31)</f>
        <v>125</v>
      </c>
      <c r="H21" s="54">
        <f>G21/E21*C21</f>
        <v>0.4</v>
      </c>
      <c r="I21" s="3">
        <f>C21*rekenmodel!B10</f>
        <v>15000</v>
      </c>
    </row>
    <row r="22" spans="1:11" s="67" customFormat="1" ht="39.6" x14ac:dyDescent="0.25">
      <c r="A22" s="83" t="s">
        <v>49</v>
      </c>
      <c r="B22" s="72" t="s">
        <v>50</v>
      </c>
      <c r="C22" s="74">
        <v>2</v>
      </c>
      <c r="D22" s="6">
        <f t="shared" ref="D22:D31" si="3">$C$21/(SUM($C$22:$C$31))*C22</f>
        <v>3.2000000000000001E-2</v>
      </c>
      <c r="E22" s="84">
        <f>C22*$F$2</f>
        <v>10</v>
      </c>
      <c r="F22" s="4">
        <v>5</v>
      </c>
      <c r="G22" s="59">
        <f>F22*C22</f>
        <v>10</v>
      </c>
      <c r="H22" s="85"/>
      <c r="I22" s="5">
        <f>$I$21/$E$21*E22</f>
        <v>1200</v>
      </c>
      <c r="J22" s="86"/>
      <c r="K22" s="86"/>
    </row>
    <row r="23" spans="1:11" s="67" customFormat="1" x14ac:dyDescent="0.25">
      <c r="A23" s="71" t="s">
        <v>51</v>
      </c>
      <c r="B23" s="75" t="s">
        <v>52</v>
      </c>
      <c r="C23" s="74">
        <v>1</v>
      </c>
      <c r="D23" s="6">
        <f t="shared" si="3"/>
        <v>1.6E-2</v>
      </c>
      <c r="E23" s="59">
        <f t="shared" ref="E23:E31" si="4">C23*$F$2</f>
        <v>5</v>
      </c>
      <c r="F23" s="4">
        <v>5</v>
      </c>
      <c r="G23" s="59">
        <f t="shared" ref="G23:G30" si="5">F23*C23</f>
        <v>5</v>
      </c>
      <c r="H23" s="85"/>
      <c r="I23" s="5">
        <f t="shared" ref="I23:I30" si="6">$I$21/$E$21*E23</f>
        <v>600</v>
      </c>
      <c r="J23" s="86"/>
      <c r="K23" s="86"/>
    </row>
    <row r="24" spans="1:11" s="67" customFormat="1" ht="16.5" customHeight="1" x14ac:dyDescent="0.3">
      <c r="A24" s="71" t="s">
        <v>53</v>
      </c>
      <c r="B24" s="73" t="s">
        <v>54</v>
      </c>
      <c r="C24" s="74">
        <v>1</v>
      </c>
      <c r="D24" s="6">
        <f t="shared" si="3"/>
        <v>1.6E-2</v>
      </c>
      <c r="E24" s="59">
        <f t="shared" si="4"/>
        <v>5</v>
      </c>
      <c r="F24" s="4">
        <v>5</v>
      </c>
      <c r="G24" s="59">
        <f t="shared" si="5"/>
        <v>5</v>
      </c>
      <c r="H24" s="85"/>
      <c r="I24" s="5">
        <f t="shared" si="6"/>
        <v>600</v>
      </c>
      <c r="J24" s="86"/>
      <c r="K24" s="86"/>
    </row>
    <row r="25" spans="1:11" s="67" customFormat="1" x14ac:dyDescent="0.3">
      <c r="A25" s="71" t="s">
        <v>55</v>
      </c>
      <c r="B25" s="87" t="s">
        <v>56</v>
      </c>
      <c r="C25" s="74">
        <v>2</v>
      </c>
      <c r="D25" s="6">
        <f t="shared" si="3"/>
        <v>3.2000000000000001E-2</v>
      </c>
      <c r="E25" s="59">
        <f t="shared" si="4"/>
        <v>10</v>
      </c>
      <c r="F25" s="4">
        <v>5</v>
      </c>
      <c r="G25" s="59">
        <f t="shared" si="5"/>
        <v>10</v>
      </c>
      <c r="H25" s="85"/>
      <c r="I25" s="5">
        <f t="shared" si="6"/>
        <v>1200</v>
      </c>
      <c r="J25" s="86"/>
      <c r="K25" s="86"/>
    </row>
    <row r="26" spans="1:11" s="67" customFormat="1" ht="26.4" x14ac:dyDescent="0.3">
      <c r="A26" s="71" t="s">
        <v>57</v>
      </c>
      <c r="B26" s="73" t="s">
        <v>58</v>
      </c>
      <c r="C26" s="74">
        <v>1</v>
      </c>
      <c r="D26" s="6">
        <f t="shared" si="3"/>
        <v>1.6E-2</v>
      </c>
      <c r="E26" s="59">
        <f t="shared" si="4"/>
        <v>5</v>
      </c>
      <c r="F26" s="4">
        <v>5</v>
      </c>
      <c r="G26" s="59">
        <f t="shared" si="5"/>
        <v>5</v>
      </c>
      <c r="H26" s="85"/>
      <c r="I26" s="5">
        <f t="shared" si="6"/>
        <v>600</v>
      </c>
      <c r="J26" s="86"/>
      <c r="K26" s="86"/>
    </row>
    <row r="27" spans="1:11" s="67" customFormat="1" ht="26.4" x14ac:dyDescent="0.3">
      <c r="A27" s="71" t="s">
        <v>59</v>
      </c>
      <c r="B27" s="73" t="s">
        <v>60</v>
      </c>
      <c r="C27" s="74">
        <v>1</v>
      </c>
      <c r="D27" s="6">
        <f t="shared" si="3"/>
        <v>1.6E-2</v>
      </c>
      <c r="E27" s="59">
        <f t="shared" si="4"/>
        <v>5</v>
      </c>
      <c r="F27" s="4">
        <v>5</v>
      </c>
      <c r="G27" s="59">
        <f t="shared" si="5"/>
        <v>5</v>
      </c>
      <c r="H27" s="85"/>
      <c r="I27" s="5">
        <f t="shared" si="6"/>
        <v>600</v>
      </c>
      <c r="J27" s="86"/>
      <c r="K27" s="86"/>
    </row>
    <row r="28" spans="1:11" s="67" customFormat="1" ht="26.4" x14ac:dyDescent="0.3">
      <c r="A28" s="71" t="s">
        <v>61</v>
      </c>
      <c r="B28" s="73" t="s">
        <v>95</v>
      </c>
      <c r="C28" s="74">
        <v>2</v>
      </c>
      <c r="D28" s="6">
        <f t="shared" si="3"/>
        <v>3.2000000000000001E-2</v>
      </c>
      <c r="E28" s="59">
        <f t="shared" si="4"/>
        <v>10</v>
      </c>
      <c r="F28" s="4">
        <v>5</v>
      </c>
      <c r="G28" s="59">
        <f t="shared" si="5"/>
        <v>10</v>
      </c>
      <c r="H28" s="85"/>
      <c r="I28" s="5">
        <f t="shared" si="6"/>
        <v>1200</v>
      </c>
      <c r="J28" s="86"/>
      <c r="K28" s="86"/>
    </row>
    <row r="29" spans="1:11" s="67" customFormat="1" ht="26.4" x14ac:dyDescent="0.3">
      <c r="A29" s="71" t="s">
        <v>62</v>
      </c>
      <c r="B29" s="73" t="s">
        <v>63</v>
      </c>
      <c r="C29" s="74">
        <v>5</v>
      </c>
      <c r="D29" s="6">
        <f t="shared" si="3"/>
        <v>0.08</v>
      </c>
      <c r="E29" s="59">
        <f t="shared" si="4"/>
        <v>25</v>
      </c>
      <c r="F29" s="4">
        <v>5</v>
      </c>
      <c r="G29" s="59">
        <f t="shared" si="5"/>
        <v>25</v>
      </c>
      <c r="H29" s="85"/>
      <c r="I29" s="5">
        <f t="shared" si="6"/>
        <v>3000</v>
      </c>
      <c r="J29" s="86"/>
      <c r="K29" s="86"/>
    </row>
    <row r="30" spans="1:11" s="67" customFormat="1" x14ac:dyDescent="0.3">
      <c r="A30" s="71" t="s">
        <v>64</v>
      </c>
      <c r="B30" s="87" t="s">
        <v>65</v>
      </c>
      <c r="C30" s="74">
        <v>5</v>
      </c>
      <c r="D30" s="6">
        <f t="shared" si="3"/>
        <v>0.08</v>
      </c>
      <c r="E30" s="59">
        <f t="shared" si="4"/>
        <v>25</v>
      </c>
      <c r="F30" s="4">
        <v>5</v>
      </c>
      <c r="G30" s="59">
        <f t="shared" si="5"/>
        <v>25</v>
      </c>
      <c r="H30" s="85"/>
      <c r="I30" s="5">
        <f t="shared" si="6"/>
        <v>3000</v>
      </c>
      <c r="J30" s="86"/>
      <c r="K30" s="86"/>
    </row>
    <row r="31" spans="1:11" s="67" customFormat="1" x14ac:dyDescent="0.3">
      <c r="A31" s="71" t="s">
        <v>66</v>
      </c>
      <c r="B31" s="87" t="s">
        <v>67</v>
      </c>
      <c r="C31" s="74">
        <v>5</v>
      </c>
      <c r="D31" s="6">
        <f t="shared" si="3"/>
        <v>0.08</v>
      </c>
      <c r="E31" s="59">
        <f t="shared" si="4"/>
        <v>25</v>
      </c>
      <c r="F31" s="4">
        <v>5</v>
      </c>
      <c r="G31" s="59">
        <f t="shared" ref="G31" si="7">F31*C31</f>
        <v>25</v>
      </c>
      <c r="H31" s="85"/>
      <c r="I31" s="5">
        <f>$I$21/$E$21*E31</f>
        <v>3000</v>
      </c>
      <c r="J31" s="86"/>
      <c r="K31" s="86"/>
    </row>
    <row r="32" spans="1:11" s="67" customFormat="1" ht="15" customHeight="1" x14ac:dyDescent="0.3">
      <c r="A32" s="71"/>
      <c r="B32" s="87"/>
      <c r="C32" s="78"/>
      <c r="D32" s="79"/>
      <c r="E32" s="59"/>
      <c r="F32" s="59"/>
      <c r="G32" s="59"/>
      <c r="H32" s="85"/>
      <c r="I32" s="65"/>
    </row>
    <row r="33" spans="1:11" s="67" customFormat="1" ht="15" customHeight="1" x14ac:dyDescent="0.25">
      <c r="A33" s="80" t="s">
        <v>68</v>
      </c>
      <c r="B33" s="81" t="s">
        <v>69</v>
      </c>
      <c r="C33" s="82">
        <v>0.1</v>
      </c>
      <c r="D33" s="50">
        <f>SUM(D34:D38)</f>
        <v>0.1</v>
      </c>
      <c r="E33" s="51">
        <f>SUM(E34:E38)</f>
        <v>25</v>
      </c>
      <c r="F33" s="52"/>
      <c r="G33" s="53">
        <f>SUM(G34:G38)</f>
        <v>25</v>
      </c>
      <c r="H33" s="54">
        <f>G33/E33*C33</f>
        <v>0.1</v>
      </c>
      <c r="I33" s="3">
        <f>C33*rekenmodel!B10</f>
        <v>3750</v>
      </c>
    </row>
    <row r="34" spans="1:11" s="67" customFormat="1" ht="26.4" x14ac:dyDescent="0.3">
      <c r="A34" s="71" t="s">
        <v>70</v>
      </c>
      <c r="B34" s="73" t="s">
        <v>71</v>
      </c>
      <c r="C34" s="74">
        <v>1</v>
      </c>
      <c r="D34" s="6">
        <f>$C$33/(SUM($C$34:$C$38))*C34</f>
        <v>0.02</v>
      </c>
      <c r="E34" s="59">
        <f>C34*$F$2</f>
        <v>5</v>
      </c>
      <c r="F34" s="4">
        <v>5</v>
      </c>
      <c r="G34" s="59">
        <f>F34*C34</f>
        <v>5</v>
      </c>
      <c r="H34" s="85"/>
      <c r="I34" s="5">
        <f>$I$33/$E$33*E34</f>
        <v>750</v>
      </c>
      <c r="J34" s="86"/>
      <c r="K34" s="86"/>
    </row>
    <row r="35" spans="1:11" s="67" customFormat="1" ht="26.4" x14ac:dyDescent="0.25">
      <c r="A35" s="71" t="s">
        <v>72</v>
      </c>
      <c r="B35" s="72" t="s">
        <v>73</v>
      </c>
      <c r="C35" s="74">
        <v>1</v>
      </c>
      <c r="D35" s="6">
        <f>$C$33/(SUM($C$34:$C$38))*C35</f>
        <v>0.02</v>
      </c>
      <c r="E35" s="59">
        <f t="shared" ref="E35:E38" si="8">C35*$F$2</f>
        <v>5</v>
      </c>
      <c r="F35" s="4">
        <v>5</v>
      </c>
      <c r="G35" s="59">
        <f>F35*C35</f>
        <v>5</v>
      </c>
      <c r="H35" s="85"/>
      <c r="I35" s="5">
        <f>$I$33/$E$33*E35</f>
        <v>750</v>
      </c>
      <c r="J35" s="86"/>
      <c r="K35" s="86"/>
    </row>
    <row r="36" spans="1:11" s="67" customFormat="1" ht="26.4" x14ac:dyDescent="0.3">
      <c r="A36" s="71" t="s">
        <v>74</v>
      </c>
      <c r="B36" s="73" t="s">
        <v>75</v>
      </c>
      <c r="C36" s="74">
        <v>1</v>
      </c>
      <c r="D36" s="6">
        <f>$C$33/(SUM($C$34:$C$38))*C36</f>
        <v>0.02</v>
      </c>
      <c r="E36" s="59">
        <f t="shared" si="8"/>
        <v>5</v>
      </c>
      <c r="F36" s="4">
        <v>5</v>
      </c>
      <c r="G36" s="59">
        <f t="shared" ref="G36:G38" si="9">F36*C36</f>
        <v>5</v>
      </c>
      <c r="H36" s="85"/>
      <c r="I36" s="5">
        <f>$I$33/$E$33*E36</f>
        <v>750</v>
      </c>
      <c r="J36" s="86"/>
      <c r="K36" s="86"/>
    </row>
    <row r="37" spans="1:11" s="67" customFormat="1" x14ac:dyDescent="0.25">
      <c r="A37" s="71" t="s">
        <v>76</v>
      </c>
      <c r="B37" s="75" t="s">
        <v>77</v>
      </c>
      <c r="C37" s="74">
        <v>1</v>
      </c>
      <c r="D37" s="6">
        <f>$C$33/(SUM($C$34:$C$38))*C37</f>
        <v>0.02</v>
      </c>
      <c r="E37" s="59">
        <f t="shared" si="8"/>
        <v>5</v>
      </c>
      <c r="F37" s="4">
        <v>5</v>
      </c>
      <c r="G37" s="59">
        <f t="shared" si="9"/>
        <v>5</v>
      </c>
      <c r="H37" s="85"/>
      <c r="I37" s="5">
        <f>$I$33/$E$33*E37</f>
        <v>750</v>
      </c>
      <c r="J37" s="86"/>
      <c r="K37" s="86"/>
    </row>
    <row r="38" spans="1:11" s="67" customFormat="1" ht="26.4" x14ac:dyDescent="0.3">
      <c r="A38" s="71" t="s">
        <v>78</v>
      </c>
      <c r="B38" s="73" t="s">
        <v>79</v>
      </c>
      <c r="C38" s="74">
        <v>1</v>
      </c>
      <c r="D38" s="6">
        <f>$C$33/(SUM($C$34:$C$38))*C38</f>
        <v>0.02</v>
      </c>
      <c r="E38" s="59">
        <f t="shared" si="8"/>
        <v>5</v>
      </c>
      <c r="F38" s="4">
        <v>5</v>
      </c>
      <c r="G38" s="59">
        <f t="shared" si="9"/>
        <v>5</v>
      </c>
      <c r="H38" s="85"/>
      <c r="I38" s="5">
        <f>$I$33/$E$33*E38</f>
        <v>750</v>
      </c>
      <c r="J38" s="86"/>
      <c r="K38" s="86"/>
    </row>
    <row r="39" spans="1:11" s="67" customFormat="1" ht="15" customHeight="1" thickBot="1" x14ac:dyDescent="0.35">
      <c r="A39" s="71"/>
      <c r="B39" s="87"/>
      <c r="C39" s="78"/>
      <c r="D39" s="79"/>
      <c r="E39" s="59"/>
      <c r="F39" s="59"/>
      <c r="G39" s="59"/>
      <c r="H39" s="85"/>
      <c r="I39" s="65"/>
    </row>
    <row r="40" spans="1:11" s="67" customFormat="1" ht="15" customHeight="1" thickBot="1" x14ac:dyDescent="0.35">
      <c r="A40" s="80" t="s">
        <v>80</v>
      </c>
      <c r="B40" s="88" t="s">
        <v>81</v>
      </c>
      <c r="C40" s="82">
        <v>0.1</v>
      </c>
      <c r="D40" s="50">
        <f>SUM(D41:D44)</f>
        <v>0.1</v>
      </c>
      <c r="E40" s="51">
        <f>SUM(E41:E44)</f>
        <v>40</v>
      </c>
      <c r="F40" s="52"/>
      <c r="G40" s="53">
        <f>SUM(G41:G44)</f>
        <v>40</v>
      </c>
      <c r="H40" s="54">
        <f>G40/E40*C40</f>
        <v>0.1</v>
      </c>
      <c r="I40" s="3">
        <f>C40*rekenmodel!B10</f>
        <v>3750</v>
      </c>
    </row>
    <row r="41" spans="1:11" s="67" customFormat="1" x14ac:dyDescent="0.3">
      <c r="A41" s="71" t="s">
        <v>82</v>
      </c>
      <c r="B41" s="89" t="s">
        <v>83</v>
      </c>
      <c r="C41" s="74">
        <v>3</v>
      </c>
      <c r="D41" s="6">
        <f>$C$40/(SUM($C$41:$C$44))*C41</f>
        <v>3.7500000000000006E-2</v>
      </c>
      <c r="E41" s="59">
        <f>C41*$F$2</f>
        <v>15</v>
      </c>
      <c r="F41" s="4">
        <v>5</v>
      </c>
      <c r="G41" s="59">
        <f>F41*C41</f>
        <v>15</v>
      </c>
      <c r="H41" s="85"/>
      <c r="I41" s="5">
        <f>$I$40/$E$40*E41</f>
        <v>1406.25</v>
      </c>
      <c r="J41" s="86"/>
      <c r="K41" s="86"/>
    </row>
    <row r="42" spans="1:11" s="67" customFormat="1" x14ac:dyDescent="0.3">
      <c r="A42" s="71" t="s">
        <v>84</v>
      </c>
      <c r="B42" s="87" t="s">
        <v>85</v>
      </c>
      <c r="C42" s="74">
        <v>1</v>
      </c>
      <c r="D42" s="6">
        <f>$C$40/(SUM($C$41:$C$44))*C42</f>
        <v>1.2500000000000001E-2</v>
      </c>
      <c r="E42" s="59">
        <f>C42*$F$2</f>
        <v>5</v>
      </c>
      <c r="F42" s="4">
        <v>5</v>
      </c>
      <c r="G42" s="59">
        <f>F42*C42</f>
        <v>5</v>
      </c>
      <c r="H42" s="85"/>
      <c r="I42" s="5">
        <f>$I$40/$E$40*E42</f>
        <v>468.75</v>
      </c>
      <c r="J42" s="86"/>
      <c r="K42" s="86"/>
    </row>
    <row r="43" spans="1:11" s="67" customFormat="1" ht="26.4" x14ac:dyDescent="0.3">
      <c r="A43" s="71" t="s">
        <v>86</v>
      </c>
      <c r="B43" s="73" t="s">
        <v>87</v>
      </c>
      <c r="C43" s="74">
        <v>1</v>
      </c>
      <c r="D43" s="6">
        <f>$C$40/(SUM($C$41:$C$44))*C43</f>
        <v>1.2500000000000001E-2</v>
      </c>
      <c r="E43" s="59">
        <f t="shared" ref="E43:E44" si="10">C43*$F$2</f>
        <v>5</v>
      </c>
      <c r="F43" s="4">
        <v>5</v>
      </c>
      <c r="G43" s="59">
        <f t="shared" ref="G43:G44" si="11">F43*C43</f>
        <v>5</v>
      </c>
      <c r="H43" s="85"/>
      <c r="I43" s="5">
        <f>$I$40/$E$40*E43</f>
        <v>468.75</v>
      </c>
      <c r="J43" s="86"/>
      <c r="K43" s="86"/>
    </row>
    <row r="44" spans="1:11" s="67" customFormat="1" x14ac:dyDescent="0.25">
      <c r="A44" s="71" t="s">
        <v>88</v>
      </c>
      <c r="B44" s="75" t="s">
        <v>89</v>
      </c>
      <c r="C44" s="74">
        <v>3</v>
      </c>
      <c r="D44" s="6">
        <f>$C$40/(SUM($C$41:$C$44))*C44</f>
        <v>3.7500000000000006E-2</v>
      </c>
      <c r="E44" s="59">
        <f t="shared" si="10"/>
        <v>15</v>
      </c>
      <c r="F44" s="4">
        <v>5</v>
      </c>
      <c r="G44" s="59">
        <f t="shared" si="11"/>
        <v>15</v>
      </c>
      <c r="H44" s="85"/>
      <c r="I44" s="5">
        <f>$I$40/$E$40*E44</f>
        <v>1406.25</v>
      </c>
      <c r="J44" s="86"/>
      <c r="K44" s="86"/>
    </row>
    <row r="45" spans="1:11" s="67" customFormat="1" ht="15" customHeight="1" x14ac:dyDescent="0.3">
      <c r="A45" s="90"/>
      <c r="B45" s="87"/>
      <c r="C45" s="85"/>
      <c r="D45" s="79"/>
      <c r="E45" s="59"/>
      <c r="F45" s="59"/>
      <c r="G45" s="59"/>
      <c r="H45" s="85"/>
      <c r="I45" s="65"/>
    </row>
    <row r="46" spans="1:11" s="67" customFormat="1" ht="15" customHeight="1" x14ac:dyDescent="0.3">
      <c r="A46" s="91">
        <v>6</v>
      </c>
      <c r="B46" s="92" t="s">
        <v>92</v>
      </c>
      <c r="C46" s="93">
        <v>0.2</v>
      </c>
      <c r="D46" s="50">
        <f>SUM(D47:D48)</f>
        <v>0.2</v>
      </c>
      <c r="E46" s="51">
        <f>SUM(E47:E48)</f>
        <v>30</v>
      </c>
      <c r="F46" s="94"/>
      <c r="G46" s="53">
        <f>SUM(G47:G48)</f>
        <v>30</v>
      </c>
      <c r="H46" s="54">
        <f>G46/E46*C46</f>
        <v>0.2</v>
      </c>
      <c r="I46" s="3">
        <f>C46*rekenmodel!B10</f>
        <v>7500</v>
      </c>
    </row>
    <row r="47" spans="1:11" s="67" customFormat="1" ht="28.5" customHeight="1" x14ac:dyDescent="0.3">
      <c r="A47" s="90">
        <v>6.1</v>
      </c>
      <c r="B47" s="95" t="s">
        <v>93</v>
      </c>
      <c r="C47" s="85">
        <v>3</v>
      </c>
      <c r="D47" s="6">
        <f>$C$46/(SUM($C$47:$C$48))*C47</f>
        <v>0.1</v>
      </c>
      <c r="E47" s="59">
        <f t="shared" ref="E47:E48" si="12">C47*$F$2</f>
        <v>15</v>
      </c>
      <c r="F47" s="4">
        <v>5</v>
      </c>
      <c r="G47" s="59">
        <f t="shared" ref="G47:G48" si="13">F47*C47</f>
        <v>15</v>
      </c>
      <c r="H47" s="86"/>
      <c r="I47" s="5">
        <f>$I$46/$E$46*E47</f>
        <v>3750</v>
      </c>
    </row>
    <row r="48" spans="1:11" s="67" customFormat="1" ht="30.75" customHeight="1" x14ac:dyDescent="0.3">
      <c r="A48" s="90">
        <v>6.2</v>
      </c>
      <c r="B48" s="95" t="s">
        <v>94</v>
      </c>
      <c r="C48" s="85">
        <v>3</v>
      </c>
      <c r="D48" s="6">
        <f>$C$46/(SUM($C$47:$C$48))*C48</f>
        <v>0.1</v>
      </c>
      <c r="E48" s="59">
        <f t="shared" si="12"/>
        <v>15</v>
      </c>
      <c r="F48" s="4">
        <v>5</v>
      </c>
      <c r="G48" s="59">
        <f t="shared" si="13"/>
        <v>15</v>
      </c>
      <c r="H48" s="86"/>
      <c r="I48" s="5">
        <f>$I$46/$E$46*E48</f>
        <v>3750</v>
      </c>
    </row>
    <row r="49" spans="1:9" ht="13.8" thickBot="1" x14ac:dyDescent="0.3">
      <c r="A49" s="96"/>
      <c r="B49" s="97"/>
      <c r="C49" s="98"/>
      <c r="D49" s="99"/>
      <c r="E49" s="100"/>
      <c r="F49" s="100"/>
      <c r="G49" s="98"/>
      <c r="H49" s="35"/>
      <c r="I49" s="101"/>
    </row>
  </sheetData>
  <sheetProtection algorithmName="SHA-512" hashValue="zBb8f5dnUl0GVhCxS5o7kxpNklRJHwmrG3NQlJxKDcSbUgRaFwjNnGWWoDnsbo7pHGfSo0+R03yqvwvw3tryXg==" saltValue="hy8RzAiTexO4TxhPxKYtqw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5:F19 F34:F38 F11:F12 F41:F44 F47:F48 F22:F31" xr:uid="{00000000-0002-0000-0100-000000000000}">
      <formula1>$F$2:$F$7</formula1>
    </dataValidation>
    <dataValidation type="list" allowBlank="1" showInputMessage="1" showErrorMessage="1" sqref="C11:C12 C15:C19 C34:C38 C41:C44 C22:C31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Props1.xml><?xml version="1.0" encoding="utf-8"?>
<ds:datastoreItem xmlns:ds="http://schemas.openxmlformats.org/officeDocument/2006/customXml" ds:itemID="{85CB882C-837F-4CF8-9D7E-1651D5F3A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63276-9DA4-4A13-9E90-6C978EDC2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863AF-6965-4DE7-A4FA-B2DCC7E56153}">
  <ds:schemaRefs>
    <ds:schemaRef ds:uri="http://schemas.microsoft.com/office/2006/documentManagement/types"/>
    <ds:schemaRef ds:uri="http://schemas.microsoft.com/office/infopath/2007/PartnerControls"/>
    <ds:schemaRef ds:uri="7e0c40ad-f4c1-44a5-916c-32c4bd180e38"/>
    <ds:schemaRef ds:uri="http://purl.org/dc/elements/1.1/"/>
    <ds:schemaRef ds:uri="http://schemas.microsoft.com/office/2006/metadata/properties"/>
    <ds:schemaRef ds:uri="69e3786d-868f-4556-9155-b2be9adcd6b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ebeaf7aa-9b33-4abc-bc0f-b926eb6c1d69"/>
    <ds:schemaRef ds:uri="277ecb1c-f5e5-4756-8487-fc551feec2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Bolt, Dick</dc:creator>
  <cp:keywords/>
  <dc:description/>
  <cp:lastModifiedBy>Hardeman, Simone</cp:lastModifiedBy>
  <cp:revision/>
  <dcterms:created xsi:type="dcterms:W3CDTF">2012-10-01T10:22:02Z</dcterms:created>
  <dcterms:modified xsi:type="dcterms:W3CDTF">2026-04-15T10:11:44Z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MediaServiceImageTags">
    <vt:lpwstr/>
  </property>
</Properties>
</file>