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Griftland\Aanbesteding 2026\Uitlever\"/>
    </mc:Choice>
  </mc:AlternateContent>
  <xr:revisionPtr revIDLastSave="0" documentId="8_{5B752927-90E9-415D-9B69-4BD4EE1632F0}" xr6:coauthVersionLast="47" xr6:coauthVersionMax="47" xr10:uidLastSave="{00000000-0000-0000-0000-000000000000}"/>
  <bookViews>
    <workbookView xWindow="-120" yWindow="-120" windowWidth="29040" windowHeight="15720" firstSheet="2" activeTab="6" xr2:uid="{37C77A78-5271-40ED-856E-757CF80FE39A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Objectinformatie" sheetId="6" r:id="rId6"/>
    <sheet name="Objecten" sheetId="7" r:id="rId7"/>
    <sheet name="Totaalblad Objecten" sheetId="8" r:id="rId8"/>
    <sheet name="Additioneel werk" sheetId="9" r:id="rId9"/>
    <sheet name="Afroep incidenteel" sheetId="10" r:id="rId10"/>
    <sheet name="Regiewerk" sheetId="11" r:id="rId11"/>
    <sheet name="Totaal" sheetId="12" r:id="rId12"/>
  </sheets>
  <definedNames>
    <definedName name="_xlnm._FilterDatabase" localSheetId="4" hidden="1">'Ruimten werkdag'!$A$3:$S$304</definedName>
    <definedName name="_xlnm.Print_Titles" localSheetId="8">'Additioneel werk'!$1:$3</definedName>
    <definedName name="_xlnm.Print_Titles" localSheetId="9">'Afroep incidenteel'!$1:$3</definedName>
    <definedName name="_xlnm.Print_Titles" localSheetId="2">Categorienormen!$1:$3</definedName>
    <definedName name="_xlnm.Print_Titles" localSheetId="6">Objecten!$1:$3</definedName>
    <definedName name="_xlnm.Print_Titles" localSheetId="5">Objectinformatie!$A:$D,Objectinformatie!$1:$4</definedName>
    <definedName name="_xlnm.Print_Titles" localSheetId="10">Regiewerk!$1:$3</definedName>
    <definedName name="_xlnm.Print_Titles" localSheetId="3">'Regulier werk'!$1:$3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1">Totaal!$1:$3</definedName>
    <definedName name="_xlnm.Print_Titles" localSheetId="7">'Totaalblad Objecten'!$1:$3</definedName>
    <definedName name="catdw_1_AHB_1">Categorienormen!$F$26</definedName>
    <definedName name="catdw_1_AHV_40">Categorienormen!$F$27</definedName>
    <definedName name="catdw_1_BHB_1">Categorienormen!$F$6</definedName>
    <definedName name="catdw_1_BHV_40">Categorienormen!$F$7</definedName>
    <definedName name="catdw_1_CHB_1">Categorienormen!$F$8</definedName>
    <definedName name="catdw_1_CHV_40">Categorienormen!$F$9</definedName>
    <definedName name="catdw_1_DHB_1">Categorienormen!$F$20</definedName>
    <definedName name="catdw_1_DHV_40">Categorienormen!$F$21</definedName>
    <definedName name="catdw_1_EHB_1">Categorienormen!$F$28</definedName>
    <definedName name="catdw_1_EHV_40">Categorienormen!$F$29</definedName>
    <definedName name="catdw_1_EZB_1">Categorienormen!$F$30</definedName>
    <definedName name="catdw_1_EZV_40">Categorienormen!$F$31</definedName>
    <definedName name="catdw_1_GHB_1">Categorienormen!$F$32</definedName>
    <definedName name="catdw_1_GHV_40">Categorienormen!$F$33</definedName>
    <definedName name="catdw_1_IHB_1">Categorienormen!$F$34</definedName>
    <definedName name="catdw_1_IHV_40">Categorienormen!$F$35</definedName>
    <definedName name="catdw_1_ITHB_1">Categorienormen!$F$10</definedName>
    <definedName name="catdw_1_ITHV_40">Categorienormen!$F$11</definedName>
    <definedName name="catdw_1_KHB_1">Categorienormen!$F$22</definedName>
    <definedName name="catdw_1_KHV_40">Categorienormen!$F$23</definedName>
    <definedName name="catdw_1_LHB_1">Categorienormen!$F$12</definedName>
    <definedName name="catdw_1_LHV_40">Categorienormen!$F$13</definedName>
    <definedName name="catdw_1_MHB_1">Categorienormen!$F$14</definedName>
    <definedName name="catdw_1_MHV_40">Categorienormen!$F$15</definedName>
    <definedName name="catdw_1_OLHB_1">Categorienormen!$F$16</definedName>
    <definedName name="catdw_1_OLHV_40">Categorienormen!$F$17</definedName>
    <definedName name="catdw_1_PHB_1">Categorienormen!$F$36</definedName>
    <definedName name="catdw_1_PHV_40">Categorienormen!$F$37</definedName>
    <definedName name="catdw_1_PUHB_1">Categorienormen!$F$18</definedName>
    <definedName name="catdw_1_PUHV_40">Categorienormen!$F$19</definedName>
    <definedName name="catdw_1_SHB_1">Categorienormen!$F$24</definedName>
    <definedName name="catdw_1_SHV_40">Categorienormen!$F$25</definedName>
    <definedName name="catdw_1_THB_1">Categorienormen!$F$38</definedName>
    <definedName name="catdw_1_THV_40">Categorienormen!$F$39</definedName>
    <definedName name="catdw_1_VHB_1">Categorienormen!$F$40</definedName>
    <definedName name="catdw_1_VHV_40">Categorienormen!$F$41</definedName>
    <definedName name="catfd_1_AHB_1">Categorienormen!$C$26</definedName>
    <definedName name="catfd_1_AHV_40">Categorienormen!$C$27</definedName>
    <definedName name="catfd_1_BHB_1">Categorienormen!$C$6</definedName>
    <definedName name="catfd_1_BHV_40">Categorienormen!$C$7</definedName>
    <definedName name="catfd_1_CHB_1">Categorienormen!$C$8</definedName>
    <definedName name="catfd_1_CHV_40">Categorienormen!$C$9</definedName>
    <definedName name="catfd_1_DHB_1">Categorienormen!$C$20</definedName>
    <definedName name="catfd_1_DHV_40">Categorienormen!$C$21</definedName>
    <definedName name="catfd_1_EHB_1">Categorienormen!$C$28</definedName>
    <definedName name="catfd_1_EHV_40">Categorienormen!$C$29</definedName>
    <definedName name="catfd_1_EZB_1">Categorienormen!$C$30</definedName>
    <definedName name="catfd_1_EZV_40">Categorienormen!$C$31</definedName>
    <definedName name="catfd_1_GHB_1">Categorienormen!$C$32</definedName>
    <definedName name="catfd_1_GHV_40">Categorienormen!$C$33</definedName>
    <definedName name="catfd_1_IHB_1">Categorienormen!$C$34</definedName>
    <definedName name="catfd_1_IHV_40">Categorienormen!$C$35</definedName>
    <definedName name="catfd_1_ITHB_1">Categorienormen!$C$10</definedName>
    <definedName name="catfd_1_ITHV_40">Categorienormen!$C$11</definedName>
    <definedName name="catfd_1_KHB_1">Categorienormen!$C$22</definedName>
    <definedName name="catfd_1_KHV_40">Categorienormen!$C$23</definedName>
    <definedName name="catfd_1_LHB_1">Categorienormen!$C$12</definedName>
    <definedName name="catfd_1_LHV_40">Categorienormen!$C$13</definedName>
    <definedName name="catfd_1_MHB_1">Categorienormen!$C$14</definedName>
    <definedName name="catfd_1_MHV_40">Categorienormen!$C$15</definedName>
    <definedName name="catfd_1_OLHB_1">Categorienormen!$C$16</definedName>
    <definedName name="catfd_1_OLHV_40">Categorienormen!$C$17</definedName>
    <definedName name="catfd_1_PHB_1">Categorienormen!$C$36</definedName>
    <definedName name="catfd_1_PHV_40">Categorienormen!$C$37</definedName>
    <definedName name="catfd_1_PUHB_1">Categorienormen!$C$18</definedName>
    <definedName name="catfd_1_PUHV_40">Categorienormen!$C$19</definedName>
    <definedName name="catfd_1_SHB_1">Categorienormen!$C$24</definedName>
    <definedName name="catfd_1_SHV_40">Categorienormen!$C$25</definedName>
    <definedName name="catfd_1_THB_1">Categorienormen!$C$38</definedName>
    <definedName name="catfd_1_THV_40">Categorienormen!$C$39</definedName>
    <definedName name="catfd_1_VHB_1">Categorienormen!$C$40</definedName>
    <definedName name="catfd_1_VHV_40">Categorienormen!$C$41</definedName>
    <definedName name="catpn_1_AHB_1">Categorienormen!$E$26</definedName>
    <definedName name="catpn_1_AHV_40">Categorienormen!$E$27</definedName>
    <definedName name="catpn_1_BHB_1">Categorienormen!$E$6</definedName>
    <definedName name="catpn_1_BHV_40">Categorienormen!$E$7</definedName>
    <definedName name="catpn_1_CHB_1">Categorienormen!$E$8</definedName>
    <definedName name="catpn_1_CHV_40">Categorienormen!$E$9</definedName>
    <definedName name="catpn_1_DHB_1">Categorienormen!$E$20</definedName>
    <definedName name="catpn_1_DHV_40">Categorienormen!$E$21</definedName>
    <definedName name="catpn_1_EHB_1">Categorienormen!$E$28</definedName>
    <definedName name="catpn_1_EHV_40">Categorienormen!$E$29</definedName>
    <definedName name="catpn_1_EZB_1">Categorienormen!$E$30</definedName>
    <definedName name="catpn_1_EZV_40">Categorienormen!$E$31</definedName>
    <definedName name="catpn_1_GHB_1">Categorienormen!$E$32</definedName>
    <definedName name="catpn_1_GHV_40">Categorienormen!$E$33</definedName>
    <definedName name="catpn_1_IHB_1">Categorienormen!$E$34</definedName>
    <definedName name="catpn_1_IHV_40">Categorienormen!$E$35</definedName>
    <definedName name="catpn_1_ITHB_1">Categorienormen!$E$10</definedName>
    <definedName name="catpn_1_ITHV_40">Categorienormen!$E$11</definedName>
    <definedName name="catpn_1_KHB_1">Categorienormen!$E$22</definedName>
    <definedName name="catpn_1_KHV_40">Categorienormen!$E$23</definedName>
    <definedName name="catpn_1_LHB_1">Categorienormen!$E$12</definedName>
    <definedName name="catpn_1_LHV_40">Categorienormen!$E$13</definedName>
    <definedName name="catpn_1_MHB_1">Categorienormen!$E$14</definedName>
    <definedName name="catpn_1_MHV_40">Categorienormen!$E$15</definedName>
    <definedName name="catpn_1_OLHB_1">Categorienormen!$E$16</definedName>
    <definedName name="catpn_1_OLHV_40">Categorienormen!$E$17</definedName>
    <definedName name="catpn_1_PHB_1">Categorienormen!$E$36</definedName>
    <definedName name="catpn_1_PHV_40">Categorienormen!$E$37</definedName>
    <definedName name="catpn_1_PUHB_1">Categorienormen!$E$18</definedName>
    <definedName name="catpn_1_PUHV_40">Categorienormen!$E$19</definedName>
    <definedName name="catpn_1_SHB_1">Categorienormen!$E$24</definedName>
    <definedName name="catpn_1_SHV_40">Categorienormen!$E$25</definedName>
    <definedName name="catpn_1_THB_1">Categorienormen!$E$38</definedName>
    <definedName name="catpn_1_THV_40">Categorienormen!$E$39</definedName>
    <definedName name="catpn_1_VHB_1">Categorienormen!$E$40</definedName>
    <definedName name="catpn_1_VHV_40">Categorienormen!$E$41</definedName>
    <definedName name="cattf_1_AHB_1">Categorienormen!$H$26</definedName>
    <definedName name="cattf_1_AHV_40">Categorienormen!$H$27</definedName>
    <definedName name="cattf_1_BHB_1">Categorienormen!$H$6</definedName>
    <definedName name="cattf_1_BHV_40">Categorienormen!$H$7</definedName>
    <definedName name="cattf_1_CHB_1">Categorienormen!$H$8</definedName>
    <definedName name="cattf_1_CHV_40">Categorienormen!$H$9</definedName>
    <definedName name="cattf_1_DHB_1">Categorienormen!$H$20</definedName>
    <definedName name="cattf_1_DHV_40">Categorienormen!$H$21</definedName>
    <definedName name="cattf_1_EHB_1">Categorienormen!$H$28</definedName>
    <definedName name="cattf_1_EHV_40">Categorienormen!$H$29</definedName>
    <definedName name="cattf_1_EZB_1">Categorienormen!$H$30</definedName>
    <definedName name="cattf_1_EZV_40">Categorienormen!$H$31</definedName>
    <definedName name="cattf_1_GHB_1">Categorienormen!$H$32</definedName>
    <definedName name="cattf_1_GHV_40">Categorienormen!$H$33</definedName>
    <definedName name="cattf_1_IHB_1">Categorienormen!$H$34</definedName>
    <definedName name="cattf_1_IHV_40">Categorienormen!$H$35</definedName>
    <definedName name="cattf_1_ITHB_1">Categorienormen!$H$10</definedName>
    <definedName name="cattf_1_ITHV_40">Categorienormen!$H$11</definedName>
    <definedName name="cattf_1_KHB_1">Categorienormen!$H$22</definedName>
    <definedName name="cattf_1_KHV_40">Categorienormen!$H$23</definedName>
    <definedName name="cattf_1_LHB_1">Categorienormen!$H$12</definedName>
    <definedName name="cattf_1_LHV_40">Categorienormen!$H$13</definedName>
    <definedName name="cattf_1_MHB_1">Categorienormen!$H$14</definedName>
    <definedName name="cattf_1_MHV_40">Categorienormen!$H$15</definedName>
    <definedName name="cattf_1_OLHB_1">Categorienormen!$H$16</definedName>
    <definedName name="cattf_1_OLHV_40">Categorienormen!$H$17</definedName>
    <definedName name="cattf_1_PHB_1">Categorienormen!$H$36</definedName>
    <definedName name="cattf_1_PHV_40">Categorienormen!$H$37</definedName>
    <definedName name="cattf_1_PUHB_1">Categorienormen!$H$18</definedName>
    <definedName name="cattf_1_PUHV_40">Categorienormen!$H$19</definedName>
    <definedName name="cattf_1_SHB_1">Categorienormen!$H$24</definedName>
    <definedName name="cattf_1_SHV_40">Categorienormen!$H$25</definedName>
    <definedName name="cattf_1_THB_1">Categorienormen!$H$38</definedName>
    <definedName name="cattf_1_THV_40">Categorienormen!$H$39</definedName>
    <definedName name="cattf_1_VHB_1">Categorienormen!$H$40</definedName>
    <definedName name="cattf_1_VHV_40">Categorienormen!$H$41</definedName>
    <definedName name="dagenperjaar1">Omreken!$B$9</definedName>
    <definedName name="dagenperweek1">Omreken!$B$10</definedName>
    <definedName name="dagsoorttabel1">Omreken!$A$13:$B$27</definedName>
    <definedName name="gemuurtarief1">'Regulier werk'!$I$28</definedName>
    <definedName name="kengetaltabel1">Objectinformatie!$G$5:$G$24</definedName>
    <definedName name="object1_gemuurtarief1">'Ruimten werkdag'!$O$304</definedName>
    <definedName name="object1_opptabel1">Objectinformatie!$I$5:$I$24</definedName>
    <definedName name="object1_prijsdag1">'Ruimten werkdag'!$Q$304</definedName>
    <definedName name="object1_prijsjaar1">'Ruimten werkdag'!$S$304</definedName>
    <definedName name="object1_urendag1">'Ruimten werkdag'!$P$304</definedName>
    <definedName name="object1_urenjaar1">'Ruimten werkdag'!$R$304</definedName>
    <definedName name="objectprijs1_1">Objecten!$N$6</definedName>
    <definedName name="objecturen1_1">Objecten!$M$6</definedName>
    <definedName name="prijsdag1">'Regulier werk'!$K$26</definedName>
    <definedName name="prijsjaar">'Regulier werk'!$M$31</definedName>
    <definedName name="prijsjaar1">'Regulier werk'!$M$26</definedName>
    <definedName name="prijsjaaradditioneel">'Additioneel werk'!$K$9</definedName>
    <definedName name="prijsjaaradditioneel1">'Additioneel werk'!$K$7</definedName>
    <definedName name="prijsjaarregie">Regiewerk!$K$12</definedName>
    <definedName name="prijsjaarregie1">Regiewerk!$K$10</definedName>
    <definedName name="prijsjaartotaal">Objecten!$N$10</definedName>
    <definedName name="prijsjaartotaal1">Objecten!$N$7</definedName>
    <definedName name="prijsjaartotaaloverzicht">'Totaalblad Objecten'!$F$6</definedName>
    <definedName name="prijsmaandtotaal1">Objecten!$O$7</definedName>
    <definedName name="prodnorm0">Regiewerk!$H$9</definedName>
    <definedName name="prodnorm1">'Regulier werk'!$G$6</definedName>
    <definedName name="prodnorm10">'Regulier werk'!$G$15</definedName>
    <definedName name="prodnorm11">'Regulier werk'!$G$16</definedName>
    <definedName name="prodnorm12">'Regulier werk'!$G$17</definedName>
    <definedName name="prodnorm13">'Regulier werk'!$G$18</definedName>
    <definedName name="prodnorm14">'Regulier werk'!$G$19</definedName>
    <definedName name="prodnorm15">'Regulier werk'!$G$20</definedName>
    <definedName name="prodnorm16">'Regulier werk'!$G$21</definedName>
    <definedName name="prodnorm17">'Regulier werk'!$G$22</definedName>
    <definedName name="prodnorm18">'Regulier werk'!$G$23</definedName>
    <definedName name="prodnorm19">'Regulier werk'!$G$24</definedName>
    <definedName name="prodnorm2">'Regulier werk'!$G$7</definedName>
    <definedName name="prodnorm20">'Regulier werk'!$G$25</definedName>
    <definedName name="prodnorm3">'Regulier werk'!$G$8</definedName>
    <definedName name="prodnorm4">'Regulier werk'!$G$9</definedName>
    <definedName name="prodnorm5">'Regulier werk'!$G$10</definedName>
    <definedName name="prodnorm6">'Regulier werk'!$G$11</definedName>
    <definedName name="prodnorm7">'Regulier werk'!$G$12</definedName>
    <definedName name="prodnorm8">'Regulier werk'!$G$13</definedName>
    <definedName name="prodnorm9">'Regulier werk'!$G$14</definedName>
    <definedName name="taakfreqtabel1">Objectinformatie!$E$5:$E$24</definedName>
    <definedName name="tabeltype">Omreken!$B$5:$B$5</definedName>
    <definedName name="Tariefopbouw1">Tariefopbouw!$B$53</definedName>
    <definedName name="Tariefopbouw2">Tariefopbouw!$B$61</definedName>
    <definedName name="Tariefopbouw3">Tariefopbouw!$D$61</definedName>
    <definedName name="Tariefopbouw4">Tariefopbouw!$F$61</definedName>
    <definedName name="Tariefopbouw5">Tariefopbouw!$H$61</definedName>
    <definedName name="Tariefopbouw6">Tariefopbouw!$D$53</definedName>
    <definedName name="Tariefopbouw7">Tariefopbouw!$F$53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Objectinformatie!$H$5:$H$24</definedName>
    <definedName name="TariefUitvoering1">Tariefopbouw!$C$50</definedName>
    <definedName name="TariefUitvoering2">Tariefopbouw!$C$59</definedName>
    <definedName name="TariefUitvoering3">Tariefopbouw!$E$59</definedName>
    <definedName name="TariefUitvoering4">Tariefopbouw!$G$59</definedName>
    <definedName name="TariefUitvoering5">Tariefopbouw!$I$59</definedName>
    <definedName name="TariefUitvoering6">Tariefopbouw!$E$50</definedName>
    <definedName name="TariefUitvoering7">Tariefopbouw!$G$50</definedName>
    <definedName name="urendag1">'Regulier werk'!$J$26</definedName>
    <definedName name="urenjaar">'Regulier werk'!$L$31</definedName>
    <definedName name="urenjaar1">'Regulier werk'!$L$26</definedName>
    <definedName name="urenjaartotaal">Objecten!$M$10</definedName>
    <definedName name="urenjaartotaal1">Objecten!$M$7</definedName>
    <definedName name="urenjaartotaaloverzicht">'Totaalblad Objecten'!$E$6</definedName>
    <definedName name="uurfactortabel1">Objectinformatie!$F$5:$F$24</definedName>
    <definedName name="uurtarief0">Regiewerk!$I$9</definedName>
    <definedName name="uurtarief1">'Regulier werk'!$I$6</definedName>
    <definedName name="uurtarief10">'Regulier werk'!$I$15</definedName>
    <definedName name="uurtarief11">'Regulier werk'!$I$16</definedName>
    <definedName name="uurtarief12">'Regulier werk'!$I$17</definedName>
    <definedName name="uurtarief13">'Regulier werk'!$I$18</definedName>
    <definedName name="uurtarief14">'Regulier werk'!$I$19</definedName>
    <definedName name="uurtarief15">'Regulier werk'!$I$20</definedName>
    <definedName name="uurtarief16">'Regulier werk'!$I$21</definedName>
    <definedName name="uurtarief17">'Regulier werk'!$I$22</definedName>
    <definedName name="uurtarief18">'Regulier werk'!$I$23</definedName>
    <definedName name="uurtarief19">'Regulier werk'!$I$24</definedName>
    <definedName name="uurtarief2">'Regulier werk'!$I$7</definedName>
    <definedName name="uurtarief20">'Regulier werk'!$I$25</definedName>
    <definedName name="uurtarief3">'Regulier werk'!$I$8</definedName>
    <definedName name="uurtarief4">'Regulier werk'!$I$9</definedName>
    <definedName name="uurtarief5">'Regulier werk'!$I$10</definedName>
    <definedName name="uurtarief6">'Regulier werk'!$I$11</definedName>
    <definedName name="uurtarief7">'Regulier werk'!$I$12</definedName>
    <definedName name="uurtarief8">'Regulier werk'!$I$13</definedName>
    <definedName name="uurtarief9">'Regulier werk'!$I$14</definedName>
    <definedName name="vp_additioneel">Totaal!$C$5</definedName>
    <definedName name="vp_regie">Totaal!$C$6</definedName>
    <definedName name="vp_variant">Totaal!$C$15</definedName>
    <definedName name="vu_variant">Totaal!$B$8</definedName>
    <definedName name="wib_prijs_budget">Totaal!$C$12</definedName>
    <definedName name="wib_regulier">Totaal!$C$4</definedName>
    <definedName name="wib_variant">Totaal!$C$11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J9" i="11"/>
  <c r="A1" i="11"/>
  <c r="A1" i="10"/>
  <c r="A1" i="9"/>
  <c r="A1" i="8"/>
  <c r="A1" i="7"/>
  <c r="A1" i="5"/>
  <c r="I25" i="4"/>
  <c r="G25" i="4"/>
  <c r="I24" i="4"/>
  <c r="G24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I16" i="4"/>
  <c r="G16" i="4"/>
  <c r="I15" i="4"/>
  <c r="G15" i="4"/>
  <c r="I14" i="4"/>
  <c r="G14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I6" i="4"/>
  <c r="G6" i="4"/>
  <c r="A1" i="4"/>
  <c r="A1" i="3"/>
  <c r="A60" i="2"/>
  <c r="H59" i="2"/>
  <c r="F59" i="2"/>
  <c r="D59" i="2"/>
  <c r="B59" i="2"/>
  <c r="A58" i="2"/>
  <c r="A57" i="2"/>
  <c r="A52" i="2"/>
  <c r="A51" i="2"/>
  <c r="F50" i="2"/>
  <c r="D50" i="2"/>
  <c r="B50" i="2"/>
  <c r="A49" i="2"/>
  <c r="A48" i="2"/>
  <c r="A47" i="2"/>
  <c r="P9" i="2"/>
  <c r="N9" i="2"/>
  <c r="L9" i="2"/>
  <c r="J9" i="2"/>
  <c r="H9" i="2"/>
  <c r="F9" i="2"/>
  <c r="D9" i="2"/>
  <c r="B9" i="2"/>
  <c r="B27" i="1"/>
  <c r="C9" i="11" s="1"/>
  <c r="K9" i="11" s="1"/>
  <c r="L9" i="11" s="1"/>
  <c r="B26" i="1"/>
  <c r="B25" i="1"/>
  <c r="B24" i="1"/>
  <c r="C8" i="11" s="1"/>
  <c r="B23" i="1"/>
  <c r="B22" i="1"/>
  <c r="B21" i="1"/>
  <c r="B20" i="1"/>
  <c r="B19" i="1"/>
  <c r="B18" i="1"/>
  <c r="B17" i="1"/>
  <c r="B16" i="1"/>
  <c r="B15" i="1"/>
  <c r="B14" i="1"/>
  <c r="B13" i="1"/>
  <c r="E24" i="6" l="1"/>
  <c r="E23" i="6"/>
  <c r="E22" i="6"/>
  <c r="E21" i="6"/>
  <c r="E20" i="6"/>
  <c r="E19" i="6"/>
  <c r="E18" i="6"/>
  <c r="E17" i="6"/>
  <c r="E16" i="6"/>
  <c r="E15" i="6"/>
  <c r="E14" i="6"/>
  <c r="E13" i="6"/>
  <c r="E11" i="6"/>
  <c r="E10" i="6"/>
  <c r="E9" i="6"/>
  <c r="E8" i="6"/>
  <c r="E7" i="6"/>
  <c r="E6" i="6"/>
  <c r="E5" i="6"/>
  <c r="L303" i="5"/>
  <c r="L302" i="5"/>
  <c r="L301" i="5"/>
  <c r="L300" i="5"/>
  <c r="L299" i="5"/>
  <c r="L298" i="5"/>
  <c r="L295" i="5"/>
  <c r="L294" i="5"/>
  <c r="L293" i="5"/>
  <c r="L292" i="5"/>
  <c r="L291" i="5"/>
  <c r="L290" i="5"/>
  <c r="L289" i="5"/>
  <c r="L288" i="5"/>
  <c r="L285" i="5"/>
  <c r="L284" i="5"/>
  <c r="L283" i="5"/>
  <c r="L280" i="5"/>
  <c r="L279" i="5"/>
  <c r="L278" i="5"/>
  <c r="L277" i="5"/>
  <c r="L276" i="5"/>
  <c r="L275" i="5"/>
  <c r="L273" i="5"/>
  <c r="L271" i="5"/>
  <c r="L270" i="5"/>
  <c r="L269" i="5"/>
  <c r="L268" i="5"/>
  <c r="L267" i="5"/>
  <c r="L266" i="5"/>
  <c r="L264" i="5"/>
  <c r="L262" i="5"/>
  <c r="L261" i="5"/>
  <c r="L260" i="5"/>
  <c r="L258" i="5"/>
  <c r="L257" i="5"/>
  <c r="L256" i="5"/>
  <c r="L255" i="5"/>
  <c r="L254" i="5"/>
  <c r="L253" i="5"/>
  <c r="L251" i="5"/>
  <c r="L250" i="5"/>
  <c r="L249" i="5"/>
  <c r="L248" i="5"/>
  <c r="L247" i="5"/>
  <c r="L245" i="5"/>
  <c r="L243" i="5"/>
  <c r="L242" i="5"/>
  <c r="L241" i="5"/>
  <c r="L240" i="5"/>
  <c r="L239" i="5"/>
  <c r="L238" i="5"/>
  <c r="L236" i="5"/>
  <c r="L235" i="5"/>
  <c r="L234" i="5"/>
  <c r="L233" i="5"/>
  <c r="L232" i="5"/>
  <c r="L231" i="5"/>
  <c r="L230" i="5"/>
  <c r="L229" i="5"/>
  <c r="L226" i="5"/>
  <c r="L225" i="5"/>
  <c r="L224" i="5"/>
  <c r="L223" i="5"/>
  <c r="L221" i="5"/>
  <c r="L220" i="5"/>
  <c r="L219" i="5"/>
  <c r="L217" i="5"/>
  <c r="L215" i="5"/>
  <c r="L214" i="5"/>
  <c r="L213" i="5"/>
  <c r="L212" i="5"/>
  <c r="L210" i="5"/>
  <c r="L209" i="5"/>
  <c r="L208" i="5"/>
  <c r="L207" i="5"/>
  <c r="L206" i="5"/>
  <c r="L205" i="5"/>
  <c r="L204" i="5"/>
  <c r="L203" i="5"/>
  <c r="L202" i="5"/>
  <c r="L201" i="5"/>
  <c r="L200" i="5"/>
  <c r="L198" i="5"/>
  <c r="L197" i="5"/>
  <c r="L196" i="5"/>
  <c r="L195" i="5"/>
  <c r="L194" i="5"/>
  <c r="L193" i="5"/>
  <c r="L192" i="5"/>
  <c r="L191" i="5"/>
  <c r="L188" i="5"/>
  <c r="L187" i="5"/>
  <c r="L186" i="5"/>
  <c r="L185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3" i="5"/>
  <c r="L162" i="5"/>
  <c r="L161" i="5"/>
  <c r="L160" i="5"/>
  <c r="L159" i="5"/>
  <c r="L158" i="5"/>
  <c r="L157" i="5"/>
  <c r="L156" i="5"/>
  <c r="L155" i="5"/>
  <c r="L153" i="5"/>
  <c r="L151" i="5"/>
  <c r="L150" i="5"/>
  <c r="L148" i="5"/>
  <c r="L147" i="5"/>
  <c r="L145" i="5"/>
  <c r="L144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6" i="5"/>
  <c r="L125" i="5"/>
  <c r="L124" i="5"/>
  <c r="L123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4" i="5"/>
  <c r="L73" i="5"/>
  <c r="L72" i="5"/>
  <c r="L71" i="5"/>
  <c r="L70" i="5"/>
  <c r="L69" i="5"/>
  <c r="L68" i="5"/>
  <c r="L67" i="5"/>
  <c r="L62" i="5"/>
  <c r="L60" i="5"/>
  <c r="L59" i="5"/>
  <c r="L58" i="5"/>
  <c r="L57" i="5"/>
  <c r="L56" i="5"/>
  <c r="L55" i="5"/>
  <c r="L54" i="5"/>
  <c r="L53" i="5"/>
  <c r="L52" i="5"/>
  <c r="L50" i="5"/>
  <c r="L49" i="5"/>
  <c r="L48" i="5"/>
  <c r="L47" i="5"/>
  <c r="L46" i="5"/>
  <c r="L45" i="5"/>
  <c r="L44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4" i="5"/>
  <c r="L23" i="5"/>
  <c r="L22" i="5"/>
  <c r="L21" i="5"/>
  <c r="L20" i="5"/>
  <c r="L19" i="5"/>
  <c r="L17" i="5"/>
  <c r="L16" i="5"/>
  <c r="L11" i="5"/>
  <c r="L10" i="5"/>
  <c r="L9" i="5"/>
  <c r="L8" i="5"/>
  <c r="L7" i="5"/>
  <c r="L6" i="5"/>
  <c r="L5" i="5"/>
  <c r="F25" i="4"/>
  <c r="F24" i="4"/>
  <c r="F23" i="4"/>
  <c r="F22" i="4"/>
  <c r="F21" i="4"/>
  <c r="F20" i="4"/>
  <c r="F19" i="4"/>
  <c r="F18" i="4"/>
  <c r="F17" i="4"/>
  <c r="F16" i="4"/>
  <c r="F15" i="4"/>
  <c r="F14" i="4"/>
  <c r="F12" i="4"/>
  <c r="F11" i="4"/>
  <c r="F10" i="4"/>
  <c r="F9" i="4"/>
  <c r="F8" i="4"/>
  <c r="F7" i="4"/>
  <c r="F6" i="4"/>
  <c r="E12" i="6"/>
  <c r="L296" i="5"/>
  <c r="L281" i="5"/>
  <c r="F13" i="4"/>
  <c r="C7" i="11"/>
  <c r="C6" i="11"/>
  <c r="C6" i="9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6"/>
  <c r="M243" i="5"/>
  <c r="P243" i="5" s="1"/>
  <c r="R243" i="5" s="1"/>
  <c r="M242" i="5"/>
  <c r="P242" i="5" s="1"/>
  <c r="R242" i="5" s="1"/>
  <c r="M241" i="5"/>
  <c r="P241" i="5" s="1"/>
  <c r="R241" i="5" s="1"/>
  <c r="J6" i="4"/>
  <c r="H5" i="6"/>
  <c r="O243" i="5"/>
  <c r="Q243" i="5" s="1"/>
  <c r="O242" i="5"/>
  <c r="Q242" i="5" s="1"/>
  <c r="O241" i="5"/>
  <c r="Q241" i="5" s="1"/>
  <c r="K6" i="4"/>
  <c r="G6" i="6"/>
  <c r="M273" i="5"/>
  <c r="P273" i="5" s="1"/>
  <c r="R273" i="5" s="1"/>
  <c r="M239" i="5"/>
  <c r="P239" i="5" s="1"/>
  <c r="R239" i="5" s="1"/>
  <c r="M238" i="5"/>
  <c r="P238" i="5" s="1"/>
  <c r="R238" i="5" s="1"/>
  <c r="M234" i="5"/>
  <c r="P234" i="5" s="1"/>
  <c r="R234" i="5" s="1"/>
  <c r="M229" i="5"/>
  <c r="P229" i="5" s="1"/>
  <c r="R229" i="5" s="1"/>
  <c r="M217" i="5"/>
  <c r="P217" i="5" s="1"/>
  <c r="R217" i="5" s="1"/>
  <c r="M208" i="5"/>
  <c r="P208" i="5" s="1"/>
  <c r="R208" i="5" s="1"/>
  <c r="M207" i="5"/>
  <c r="P207" i="5" s="1"/>
  <c r="R207" i="5" s="1"/>
  <c r="M206" i="5"/>
  <c r="P206" i="5" s="1"/>
  <c r="R206" i="5" s="1"/>
  <c r="M205" i="5"/>
  <c r="P205" i="5" s="1"/>
  <c r="R205" i="5" s="1"/>
  <c r="M204" i="5"/>
  <c r="P204" i="5" s="1"/>
  <c r="R204" i="5" s="1"/>
  <c r="M203" i="5"/>
  <c r="P203" i="5" s="1"/>
  <c r="R203" i="5" s="1"/>
  <c r="M202" i="5"/>
  <c r="P202" i="5" s="1"/>
  <c r="R202" i="5" s="1"/>
  <c r="M201" i="5"/>
  <c r="P201" i="5" s="1"/>
  <c r="R201" i="5" s="1"/>
  <c r="M200" i="5"/>
  <c r="P200" i="5" s="1"/>
  <c r="R200" i="5" s="1"/>
  <c r="M194" i="5"/>
  <c r="P194" i="5" s="1"/>
  <c r="R194" i="5" s="1"/>
  <c r="M193" i="5"/>
  <c r="P193" i="5" s="1"/>
  <c r="R193" i="5" s="1"/>
  <c r="M191" i="5"/>
  <c r="P191" i="5" s="1"/>
  <c r="R191" i="5" s="1"/>
  <c r="M179" i="5"/>
  <c r="P179" i="5" s="1"/>
  <c r="R179" i="5" s="1"/>
  <c r="M178" i="5"/>
  <c r="P178" i="5" s="1"/>
  <c r="R178" i="5" s="1"/>
  <c r="M170" i="5"/>
  <c r="P170" i="5" s="1"/>
  <c r="R170" i="5" s="1"/>
  <c r="M169" i="5"/>
  <c r="P169" i="5" s="1"/>
  <c r="R169" i="5" s="1"/>
  <c r="M168" i="5"/>
  <c r="P168" i="5" s="1"/>
  <c r="R168" i="5" s="1"/>
  <c r="M167" i="5"/>
  <c r="P167" i="5" s="1"/>
  <c r="R167" i="5" s="1"/>
  <c r="M158" i="5"/>
  <c r="P158" i="5" s="1"/>
  <c r="R158" i="5" s="1"/>
  <c r="M153" i="5"/>
  <c r="P153" i="5" s="1"/>
  <c r="R153" i="5" s="1"/>
  <c r="M145" i="5"/>
  <c r="P145" i="5" s="1"/>
  <c r="R145" i="5" s="1"/>
  <c r="M144" i="5"/>
  <c r="P144" i="5" s="1"/>
  <c r="R144" i="5" s="1"/>
  <c r="M142" i="5"/>
  <c r="P142" i="5" s="1"/>
  <c r="R142" i="5" s="1"/>
  <c r="M141" i="5"/>
  <c r="P141" i="5" s="1"/>
  <c r="R141" i="5" s="1"/>
  <c r="M134" i="5"/>
  <c r="P134" i="5" s="1"/>
  <c r="R134" i="5" s="1"/>
  <c r="M119" i="5"/>
  <c r="P119" i="5" s="1"/>
  <c r="R119" i="5" s="1"/>
  <c r="M117" i="5"/>
  <c r="P117" i="5" s="1"/>
  <c r="R117" i="5" s="1"/>
  <c r="M116" i="5"/>
  <c r="P116" i="5" s="1"/>
  <c r="R116" i="5" s="1"/>
  <c r="M110" i="5"/>
  <c r="P110" i="5" s="1"/>
  <c r="R110" i="5" s="1"/>
  <c r="M91" i="5"/>
  <c r="P91" i="5" s="1"/>
  <c r="R91" i="5" s="1"/>
  <c r="M90" i="5"/>
  <c r="P90" i="5" s="1"/>
  <c r="R90" i="5" s="1"/>
  <c r="M89" i="5"/>
  <c r="P89" i="5" s="1"/>
  <c r="R89" i="5" s="1"/>
  <c r="M88" i="5"/>
  <c r="P88" i="5" s="1"/>
  <c r="R88" i="5" s="1"/>
  <c r="M87" i="5"/>
  <c r="P87" i="5" s="1"/>
  <c r="R87" i="5" s="1"/>
  <c r="M86" i="5"/>
  <c r="P86" i="5" s="1"/>
  <c r="R86" i="5" s="1"/>
  <c r="M85" i="5"/>
  <c r="P85" i="5" s="1"/>
  <c r="R85" i="5" s="1"/>
  <c r="M84" i="5"/>
  <c r="P84" i="5" s="1"/>
  <c r="R84" i="5" s="1"/>
  <c r="M79" i="5"/>
  <c r="P79" i="5" s="1"/>
  <c r="R79" i="5" s="1"/>
  <c r="M78" i="5"/>
  <c r="P78" i="5" s="1"/>
  <c r="R78" i="5" s="1"/>
  <c r="M49" i="5"/>
  <c r="P49" i="5" s="1"/>
  <c r="R49" i="5" s="1"/>
  <c r="M42" i="5"/>
  <c r="P42" i="5" s="1"/>
  <c r="R42" i="5" s="1"/>
  <c r="M41" i="5"/>
  <c r="P41" i="5" s="1"/>
  <c r="R41" i="5" s="1"/>
  <c r="M40" i="5"/>
  <c r="P40" i="5" s="1"/>
  <c r="R40" i="5" s="1"/>
  <c r="M39" i="5"/>
  <c r="P39" i="5" s="1"/>
  <c r="R39" i="5" s="1"/>
  <c r="M38" i="5"/>
  <c r="P38" i="5" s="1"/>
  <c r="R38" i="5" s="1"/>
  <c r="M35" i="5"/>
  <c r="P35" i="5" s="1"/>
  <c r="R35" i="5" s="1"/>
  <c r="M20" i="5"/>
  <c r="P20" i="5" s="1"/>
  <c r="R20" i="5" s="1"/>
  <c r="J7" i="4"/>
  <c r="L7" i="4" s="1"/>
  <c r="M7" i="4" s="1"/>
  <c r="H6" i="6"/>
  <c r="O273" i="5"/>
  <c r="Q273" i="5" s="1"/>
  <c r="O239" i="5"/>
  <c r="Q239" i="5" s="1"/>
  <c r="O238" i="5"/>
  <c r="Q238" i="5" s="1"/>
  <c r="O234" i="5"/>
  <c r="Q234" i="5" s="1"/>
  <c r="O229" i="5"/>
  <c r="Q229" i="5" s="1"/>
  <c r="O217" i="5"/>
  <c r="Q217" i="5" s="1"/>
  <c r="O208" i="5"/>
  <c r="Q208" i="5" s="1"/>
  <c r="O207" i="5"/>
  <c r="Q207" i="5" s="1"/>
  <c r="O206" i="5"/>
  <c r="Q206" i="5" s="1"/>
  <c r="O205" i="5"/>
  <c r="Q205" i="5" s="1"/>
  <c r="O204" i="5"/>
  <c r="Q204" i="5" s="1"/>
  <c r="O203" i="5"/>
  <c r="Q203" i="5" s="1"/>
  <c r="O202" i="5"/>
  <c r="Q202" i="5" s="1"/>
  <c r="O201" i="5"/>
  <c r="Q201" i="5" s="1"/>
  <c r="O200" i="5"/>
  <c r="Q200" i="5" s="1"/>
  <c r="O194" i="5"/>
  <c r="Q194" i="5" s="1"/>
  <c r="O193" i="5"/>
  <c r="Q193" i="5" s="1"/>
  <c r="O191" i="5"/>
  <c r="Q191" i="5" s="1"/>
  <c r="O179" i="5"/>
  <c r="Q179" i="5" s="1"/>
  <c r="O178" i="5"/>
  <c r="Q178" i="5" s="1"/>
  <c r="O170" i="5"/>
  <c r="Q170" i="5" s="1"/>
  <c r="O169" i="5"/>
  <c r="Q169" i="5" s="1"/>
  <c r="O168" i="5"/>
  <c r="Q168" i="5" s="1"/>
  <c r="O167" i="5"/>
  <c r="Q167" i="5" s="1"/>
  <c r="O158" i="5"/>
  <c r="Q158" i="5" s="1"/>
  <c r="O153" i="5"/>
  <c r="Q153" i="5" s="1"/>
  <c r="O145" i="5"/>
  <c r="Q145" i="5" s="1"/>
  <c r="O144" i="5"/>
  <c r="Q144" i="5" s="1"/>
  <c r="O142" i="5"/>
  <c r="Q142" i="5" s="1"/>
  <c r="O141" i="5"/>
  <c r="Q141" i="5" s="1"/>
  <c r="O134" i="5"/>
  <c r="Q134" i="5" s="1"/>
  <c r="O119" i="5"/>
  <c r="Q119" i="5" s="1"/>
  <c r="O117" i="5"/>
  <c r="Q117" i="5" s="1"/>
  <c r="O116" i="5"/>
  <c r="Q116" i="5" s="1"/>
  <c r="O110" i="5"/>
  <c r="Q110" i="5" s="1"/>
  <c r="O91" i="5"/>
  <c r="Q91" i="5" s="1"/>
  <c r="O90" i="5"/>
  <c r="Q90" i="5" s="1"/>
  <c r="O89" i="5"/>
  <c r="Q89" i="5" s="1"/>
  <c r="O88" i="5"/>
  <c r="Q88" i="5" s="1"/>
  <c r="O87" i="5"/>
  <c r="Q87" i="5" s="1"/>
  <c r="O86" i="5"/>
  <c r="Q86" i="5" s="1"/>
  <c r="O85" i="5"/>
  <c r="Q85" i="5" s="1"/>
  <c r="O84" i="5"/>
  <c r="Q84" i="5" s="1"/>
  <c r="O79" i="5"/>
  <c r="Q79" i="5" s="1"/>
  <c r="O78" i="5"/>
  <c r="Q78" i="5" s="1"/>
  <c r="O49" i="5"/>
  <c r="Q49" i="5" s="1"/>
  <c r="O42" i="5"/>
  <c r="Q42" i="5" s="1"/>
  <c r="O41" i="5"/>
  <c r="Q41" i="5" s="1"/>
  <c r="O40" i="5"/>
  <c r="Q40" i="5" s="1"/>
  <c r="O39" i="5"/>
  <c r="Q39" i="5" s="1"/>
  <c r="O38" i="5"/>
  <c r="Q38" i="5" s="1"/>
  <c r="O35" i="5"/>
  <c r="Q35" i="5" s="1"/>
  <c r="O20" i="5"/>
  <c r="Q20" i="5" s="1"/>
  <c r="K7" i="4"/>
  <c r="G7" i="6"/>
  <c r="M219" i="5"/>
  <c r="P219" i="5" s="1"/>
  <c r="R219" i="5" s="1"/>
  <c r="J8" i="4"/>
  <c r="L8" i="4" s="1"/>
  <c r="M8" i="4" s="1"/>
  <c r="H7" i="6"/>
  <c r="O219" i="5"/>
  <c r="Q219" i="5" s="1"/>
  <c r="K8" i="4"/>
  <c r="G8" i="6"/>
  <c r="M289" i="5"/>
  <c r="P289" i="5" s="1"/>
  <c r="R289" i="5" s="1"/>
  <c r="J9" i="4"/>
  <c r="L9" i="4" s="1"/>
  <c r="M9" i="4" s="1"/>
  <c r="H8" i="6"/>
  <c r="O289" i="5"/>
  <c r="Q289" i="5" s="1"/>
  <c r="K9" i="4"/>
  <c r="G9" i="6"/>
  <c r="M221" i="5"/>
  <c r="P221" i="5" s="1"/>
  <c r="R221" i="5" s="1"/>
  <c r="M220" i="5"/>
  <c r="P220" i="5" s="1"/>
  <c r="R220" i="5" s="1"/>
  <c r="M183" i="5"/>
  <c r="P183" i="5" s="1"/>
  <c r="R183" i="5" s="1"/>
  <c r="M182" i="5"/>
  <c r="P182" i="5" s="1"/>
  <c r="R182" i="5" s="1"/>
  <c r="M181" i="5"/>
  <c r="P181" i="5" s="1"/>
  <c r="R181" i="5" s="1"/>
  <c r="M157" i="5"/>
  <c r="P157" i="5" s="1"/>
  <c r="R157" i="5" s="1"/>
  <c r="M156" i="5"/>
  <c r="P156" i="5" s="1"/>
  <c r="R156" i="5" s="1"/>
  <c r="M131" i="5"/>
  <c r="P131" i="5" s="1"/>
  <c r="R131" i="5" s="1"/>
  <c r="M130" i="5"/>
  <c r="P130" i="5" s="1"/>
  <c r="R130" i="5" s="1"/>
  <c r="M106" i="5"/>
  <c r="P106" i="5" s="1"/>
  <c r="R106" i="5" s="1"/>
  <c r="M105" i="5"/>
  <c r="P105" i="5" s="1"/>
  <c r="R105" i="5" s="1"/>
  <c r="M70" i="5"/>
  <c r="P70" i="5" s="1"/>
  <c r="R70" i="5" s="1"/>
  <c r="M69" i="5"/>
  <c r="P69" i="5" s="1"/>
  <c r="R69" i="5" s="1"/>
  <c r="M68" i="5"/>
  <c r="P68" i="5" s="1"/>
  <c r="R68" i="5" s="1"/>
  <c r="J10" i="4"/>
  <c r="L10" i="4" s="1"/>
  <c r="M10" i="4" s="1"/>
  <c r="H9" i="6"/>
  <c r="O221" i="5"/>
  <c r="Q221" i="5" s="1"/>
  <c r="O220" i="5"/>
  <c r="Q220" i="5" s="1"/>
  <c r="O183" i="5"/>
  <c r="Q183" i="5" s="1"/>
  <c r="O182" i="5"/>
  <c r="Q182" i="5" s="1"/>
  <c r="O181" i="5"/>
  <c r="Q181" i="5" s="1"/>
  <c r="O157" i="5"/>
  <c r="Q157" i="5" s="1"/>
  <c r="O156" i="5"/>
  <c r="Q156" i="5" s="1"/>
  <c r="O131" i="5"/>
  <c r="Q131" i="5" s="1"/>
  <c r="O130" i="5"/>
  <c r="Q130" i="5" s="1"/>
  <c r="O106" i="5"/>
  <c r="Q106" i="5" s="1"/>
  <c r="O105" i="5"/>
  <c r="Q105" i="5" s="1"/>
  <c r="O70" i="5"/>
  <c r="Q70" i="5" s="1"/>
  <c r="O69" i="5"/>
  <c r="Q69" i="5" s="1"/>
  <c r="O68" i="5"/>
  <c r="Q68" i="5" s="1"/>
  <c r="K10" i="4"/>
  <c r="G10" i="6"/>
  <c r="M298" i="5"/>
  <c r="P298" i="5" s="1"/>
  <c r="R298" i="5" s="1"/>
  <c r="M285" i="5"/>
  <c r="P285" i="5" s="1"/>
  <c r="R285" i="5" s="1"/>
  <c r="M247" i="5"/>
  <c r="P247" i="5" s="1"/>
  <c r="R247" i="5" s="1"/>
  <c r="M6" i="5"/>
  <c r="P6" i="5" s="1"/>
  <c r="R6" i="5" s="1"/>
  <c r="J11" i="4"/>
  <c r="L11" i="4" s="1"/>
  <c r="M11" i="4" s="1"/>
  <c r="H10" i="6"/>
  <c r="O298" i="5"/>
  <c r="Q298" i="5" s="1"/>
  <c r="O285" i="5"/>
  <c r="Q285" i="5" s="1"/>
  <c r="O247" i="5"/>
  <c r="Q247" i="5" s="1"/>
  <c r="O6" i="5"/>
  <c r="Q6" i="5" s="1"/>
  <c r="K11" i="4"/>
  <c r="G11" i="6"/>
  <c r="M303" i="5"/>
  <c r="P303" i="5" s="1"/>
  <c r="R303" i="5" s="1"/>
  <c r="M302" i="5"/>
  <c r="P302" i="5" s="1"/>
  <c r="R302" i="5" s="1"/>
  <c r="M301" i="5"/>
  <c r="P301" i="5" s="1"/>
  <c r="R301" i="5" s="1"/>
  <c r="M300" i="5"/>
  <c r="P300" i="5" s="1"/>
  <c r="R300" i="5" s="1"/>
  <c r="M262" i="5"/>
  <c r="P262" i="5" s="1"/>
  <c r="R262" i="5" s="1"/>
  <c r="J12" i="4"/>
  <c r="L12" i="4" s="1"/>
  <c r="M12" i="4" s="1"/>
  <c r="H11" i="6"/>
  <c r="O303" i="5"/>
  <c r="Q303" i="5" s="1"/>
  <c r="O302" i="5"/>
  <c r="Q302" i="5" s="1"/>
  <c r="O301" i="5"/>
  <c r="Q301" i="5" s="1"/>
  <c r="O300" i="5"/>
  <c r="Q300" i="5" s="1"/>
  <c r="O262" i="5"/>
  <c r="Q262" i="5" s="1"/>
  <c r="K12" i="4"/>
  <c r="G12" i="6"/>
  <c r="M296" i="5"/>
  <c r="P296" i="5" s="1"/>
  <c r="R296" i="5" s="1"/>
  <c r="M281" i="5"/>
  <c r="P281" i="5" s="1"/>
  <c r="R281" i="5" s="1"/>
  <c r="J13" i="4"/>
  <c r="L13" i="4" s="1"/>
  <c r="G13" i="6"/>
  <c r="M159" i="5"/>
  <c r="P159" i="5" s="1"/>
  <c r="R159" i="5" s="1"/>
  <c r="J14" i="4"/>
  <c r="L14" i="4" s="1"/>
  <c r="M14" i="4" s="1"/>
  <c r="H13" i="6"/>
  <c r="O159" i="5"/>
  <c r="Q159" i="5" s="1"/>
  <c r="K14" i="4"/>
  <c r="G14" i="6"/>
  <c r="M74" i="5"/>
  <c r="P74" i="5" s="1"/>
  <c r="R74" i="5" s="1"/>
  <c r="M73" i="5"/>
  <c r="P73" i="5" s="1"/>
  <c r="R73" i="5" s="1"/>
  <c r="M72" i="5"/>
  <c r="P72" i="5" s="1"/>
  <c r="R72" i="5" s="1"/>
  <c r="M71" i="5"/>
  <c r="P71" i="5" s="1"/>
  <c r="R71" i="5" s="1"/>
  <c r="J15" i="4"/>
  <c r="L15" i="4" s="1"/>
  <c r="M15" i="4" s="1"/>
  <c r="H14" i="6"/>
  <c r="O74" i="5"/>
  <c r="Q74" i="5" s="1"/>
  <c r="O73" i="5"/>
  <c r="Q73" i="5" s="1"/>
  <c r="O72" i="5"/>
  <c r="Q72" i="5" s="1"/>
  <c r="O71" i="5"/>
  <c r="Q71" i="5" s="1"/>
  <c r="K15" i="4"/>
  <c r="G15" i="6"/>
  <c r="M291" i="5"/>
  <c r="P291" i="5" s="1"/>
  <c r="R291" i="5" s="1"/>
  <c r="M290" i="5"/>
  <c r="P290" i="5" s="1"/>
  <c r="R290" i="5" s="1"/>
  <c r="M288" i="5"/>
  <c r="P288" i="5" s="1"/>
  <c r="R288" i="5" s="1"/>
  <c r="M283" i="5"/>
  <c r="P283" i="5" s="1"/>
  <c r="R283" i="5" s="1"/>
  <c r="M280" i="5"/>
  <c r="P280" i="5" s="1"/>
  <c r="R280" i="5" s="1"/>
  <c r="M275" i="5"/>
  <c r="P275" i="5" s="1"/>
  <c r="R275" i="5" s="1"/>
  <c r="M271" i="5"/>
  <c r="P271" i="5" s="1"/>
  <c r="R271" i="5" s="1"/>
  <c r="M270" i="5"/>
  <c r="P270" i="5" s="1"/>
  <c r="R270" i="5" s="1"/>
  <c r="M268" i="5"/>
  <c r="P268" i="5" s="1"/>
  <c r="R268" i="5" s="1"/>
  <c r="J16" i="4"/>
  <c r="L16" i="4" s="1"/>
  <c r="M16" i="4" s="1"/>
  <c r="H15" i="6"/>
  <c r="O291" i="5"/>
  <c r="Q291" i="5" s="1"/>
  <c r="O290" i="5"/>
  <c r="Q290" i="5" s="1"/>
  <c r="O288" i="5"/>
  <c r="Q288" i="5" s="1"/>
  <c r="O283" i="5"/>
  <c r="Q283" i="5" s="1"/>
  <c r="O280" i="5"/>
  <c r="Q280" i="5" s="1"/>
  <c r="O275" i="5"/>
  <c r="Q275" i="5" s="1"/>
  <c r="O271" i="5"/>
  <c r="Q271" i="5" s="1"/>
  <c r="O270" i="5"/>
  <c r="Q270" i="5" s="1"/>
  <c r="O268" i="5"/>
  <c r="Q268" i="5" s="1"/>
  <c r="K16" i="4"/>
  <c r="G16" i="6"/>
  <c r="M236" i="5"/>
  <c r="P236" i="5" s="1"/>
  <c r="R236" i="5" s="1"/>
  <c r="M233" i="5"/>
  <c r="P233" i="5" s="1"/>
  <c r="R233" i="5" s="1"/>
  <c r="M232" i="5"/>
  <c r="P232" i="5" s="1"/>
  <c r="R232" i="5" s="1"/>
  <c r="M230" i="5"/>
  <c r="P230" i="5" s="1"/>
  <c r="R230" i="5" s="1"/>
  <c r="M198" i="5"/>
  <c r="P198" i="5" s="1"/>
  <c r="R198" i="5" s="1"/>
  <c r="M197" i="5"/>
  <c r="P197" i="5" s="1"/>
  <c r="R197" i="5" s="1"/>
  <c r="M196" i="5"/>
  <c r="P196" i="5" s="1"/>
  <c r="R196" i="5" s="1"/>
  <c r="M195" i="5"/>
  <c r="P195" i="5" s="1"/>
  <c r="R195" i="5" s="1"/>
  <c r="M192" i="5"/>
  <c r="P192" i="5" s="1"/>
  <c r="R192" i="5" s="1"/>
  <c r="M177" i="5"/>
  <c r="P177" i="5" s="1"/>
  <c r="R177" i="5" s="1"/>
  <c r="M176" i="5"/>
  <c r="P176" i="5" s="1"/>
  <c r="R176" i="5" s="1"/>
  <c r="M175" i="5"/>
  <c r="P175" i="5" s="1"/>
  <c r="R175" i="5" s="1"/>
  <c r="M174" i="5"/>
  <c r="P174" i="5" s="1"/>
  <c r="R174" i="5" s="1"/>
  <c r="M173" i="5"/>
  <c r="P173" i="5" s="1"/>
  <c r="R173" i="5" s="1"/>
  <c r="M172" i="5"/>
  <c r="P172" i="5" s="1"/>
  <c r="R172" i="5" s="1"/>
  <c r="M171" i="5"/>
  <c r="P171" i="5" s="1"/>
  <c r="R171" i="5" s="1"/>
  <c r="M139" i="5"/>
  <c r="P139" i="5" s="1"/>
  <c r="R139" i="5" s="1"/>
  <c r="M138" i="5"/>
  <c r="P138" i="5" s="1"/>
  <c r="R138" i="5" s="1"/>
  <c r="M137" i="5"/>
  <c r="P137" i="5" s="1"/>
  <c r="R137" i="5" s="1"/>
  <c r="M136" i="5"/>
  <c r="P136" i="5" s="1"/>
  <c r="R136" i="5" s="1"/>
  <c r="M135" i="5"/>
  <c r="P135" i="5" s="1"/>
  <c r="R135" i="5" s="1"/>
  <c r="M133" i="5"/>
  <c r="P133" i="5" s="1"/>
  <c r="R133" i="5" s="1"/>
  <c r="M132" i="5"/>
  <c r="P132" i="5" s="1"/>
  <c r="R132" i="5" s="1"/>
  <c r="M118" i="5"/>
  <c r="P118" i="5" s="1"/>
  <c r="R118" i="5" s="1"/>
  <c r="M115" i="5"/>
  <c r="P115" i="5" s="1"/>
  <c r="R115" i="5" s="1"/>
  <c r="M114" i="5"/>
  <c r="P114" i="5" s="1"/>
  <c r="R114" i="5" s="1"/>
  <c r="M113" i="5"/>
  <c r="P113" i="5" s="1"/>
  <c r="R113" i="5" s="1"/>
  <c r="M112" i="5"/>
  <c r="P112" i="5" s="1"/>
  <c r="R112" i="5" s="1"/>
  <c r="M111" i="5"/>
  <c r="P111" i="5" s="1"/>
  <c r="R111" i="5" s="1"/>
  <c r="M109" i="5"/>
  <c r="P109" i="5" s="1"/>
  <c r="R109" i="5" s="1"/>
  <c r="M108" i="5"/>
  <c r="P108" i="5" s="1"/>
  <c r="R108" i="5" s="1"/>
  <c r="M107" i="5"/>
  <c r="P107" i="5" s="1"/>
  <c r="R107" i="5" s="1"/>
  <c r="M83" i="5"/>
  <c r="P83" i="5" s="1"/>
  <c r="R83" i="5" s="1"/>
  <c r="M54" i="5"/>
  <c r="P54" i="5" s="1"/>
  <c r="R54" i="5" s="1"/>
  <c r="M53" i="5"/>
  <c r="P53" i="5" s="1"/>
  <c r="R53" i="5" s="1"/>
  <c r="M47" i="5"/>
  <c r="P47" i="5" s="1"/>
  <c r="R47" i="5" s="1"/>
  <c r="M45" i="5"/>
  <c r="P45" i="5" s="1"/>
  <c r="R45" i="5" s="1"/>
  <c r="M44" i="5"/>
  <c r="P44" i="5" s="1"/>
  <c r="R44" i="5" s="1"/>
  <c r="M24" i="5"/>
  <c r="P24" i="5" s="1"/>
  <c r="R24" i="5" s="1"/>
  <c r="M23" i="5"/>
  <c r="P23" i="5" s="1"/>
  <c r="R23" i="5" s="1"/>
  <c r="M22" i="5"/>
  <c r="P22" i="5" s="1"/>
  <c r="R22" i="5" s="1"/>
  <c r="M21" i="5"/>
  <c r="P21" i="5" s="1"/>
  <c r="R21" i="5" s="1"/>
  <c r="M10" i="5"/>
  <c r="P10" i="5" s="1"/>
  <c r="R10" i="5" s="1"/>
  <c r="M9" i="5"/>
  <c r="P9" i="5" s="1"/>
  <c r="R9" i="5" s="1"/>
  <c r="M8" i="5"/>
  <c r="P8" i="5" s="1"/>
  <c r="R8" i="5" s="1"/>
  <c r="M7" i="5"/>
  <c r="P7" i="5" s="1"/>
  <c r="R7" i="5" s="1"/>
  <c r="J17" i="4"/>
  <c r="L17" i="4" s="1"/>
  <c r="M17" i="4" s="1"/>
  <c r="H16" i="6"/>
  <c r="O236" i="5"/>
  <c r="Q236" i="5" s="1"/>
  <c r="O233" i="5"/>
  <c r="Q233" i="5" s="1"/>
  <c r="O232" i="5"/>
  <c r="Q232" i="5" s="1"/>
  <c r="O230" i="5"/>
  <c r="Q230" i="5" s="1"/>
  <c r="O198" i="5"/>
  <c r="Q198" i="5" s="1"/>
  <c r="O197" i="5"/>
  <c r="Q197" i="5" s="1"/>
  <c r="O196" i="5"/>
  <c r="Q196" i="5" s="1"/>
  <c r="O195" i="5"/>
  <c r="Q195" i="5" s="1"/>
  <c r="O192" i="5"/>
  <c r="Q192" i="5" s="1"/>
  <c r="O177" i="5"/>
  <c r="Q177" i="5" s="1"/>
  <c r="O176" i="5"/>
  <c r="Q176" i="5" s="1"/>
  <c r="O175" i="5"/>
  <c r="Q175" i="5" s="1"/>
  <c r="O174" i="5"/>
  <c r="Q174" i="5" s="1"/>
  <c r="O173" i="5"/>
  <c r="Q173" i="5" s="1"/>
  <c r="O172" i="5"/>
  <c r="Q172" i="5" s="1"/>
  <c r="O171" i="5"/>
  <c r="Q171" i="5" s="1"/>
  <c r="O139" i="5"/>
  <c r="Q139" i="5" s="1"/>
  <c r="O138" i="5"/>
  <c r="Q138" i="5" s="1"/>
  <c r="O137" i="5"/>
  <c r="Q137" i="5" s="1"/>
  <c r="O136" i="5"/>
  <c r="Q136" i="5" s="1"/>
  <c r="O135" i="5"/>
  <c r="Q135" i="5" s="1"/>
  <c r="O133" i="5"/>
  <c r="Q133" i="5" s="1"/>
  <c r="O132" i="5"/>
  <c r="Q132" i="5" s="1"/>
  <c r="O118" i="5"/>
  <c r="Q118" i="5" s="1"/>
  <c r="O115" i="5"/>
  <c r="Q115" i="5" s="1"/>
  <c r="O114" i="5"/>
  <c r="Q114" i="5" s="1"/>
  <c r="O113" i="5"/>
  <c r="Q113" i="5" s="1"/>
  <c r="O112" i="5"/>
  <c r="Q112" i="5" s="1"/>
  <c r="O111" i="5"/>
  <c r="Q111" i="5" s="1"/>
  <c r="O109" i="5"/>
  <c r="Q109" i="5" s="1"/>
  <c r="O108" i="5"/>
  <c r="Q108" i="5" s="1"/>
  <c r="O107" i="5"/>
  <c r="Q107" i="5" s="1"/>
  <c r="O83" i="5"/>
  <c r="Q83" i="5" s="1"/>
  <c r="O54" i="5"/>
  <c r="Q54" i="5" s="1"/>
  <c r="O53" i="5"/>
  <c r="Q53" i="5" s="1"/>
  <c r="O47" i="5"/>
  <c r="Q47" i="5" s="1"/>
  <c r="O45" i="5"/>
  <c r="Q45" i="5" s="1"/>
  <c r="O44" i="5"/>
  <c r="Q44" i="5" s="1"/>
  <c r="O24" i="5"/>
  <c r="Q24" i="5" s="1"/>
  <c r="O23" i="5"/>
  <c r="Q23" i="5" s="1"/>
  <c r="O22" i="5"/>
  <c r="Q22" i="5" s="1"/>
  <c r="O21" i="5"/>
  <c r="Q21" i="5" s="1"/>
  <c r="O10" i="5"/>
  <c r="Q10" i="5" s="1"/>
  <c r="O9" i="5"/>
  <c r="Q9" i="5" s="1"/>
  <c r="O8" i="5"/>
  <c r="Q8" i="5" s="1"/>
  <c r="O7" i="5"/>
  <c r="Q7" i="5" s="1"/>
  <c r="K17" i="4"/>
  <c r="G17" i="6"/>
  <c r="M235" i="5"/>
  <c r="P235" i="5" s="1"/>
  <c r="R235" i="5" s="1"/>
  <c r="J18" i="4"/>
  <c r="L18" i="4" s="1"/>
  <c r="M18" i="4" s="1"/>
  <c r="H17" i="6"/>
  <c r="O235" i="5"/>
  <c r="Q235" i="5" s="1"/>
  <c r="K18" i="4"/>
  <c r="G18" i="6"/>
  <c r="M231" i="5"/>
  <c r="P231" i="5" s="1"/>
  <c r="R231" i="5" s="1"/>
  <c r="M180" i="5"/>
  <c r="P180" i="5" s="1"/>
  <c r="R180" i="5" s="1"/>
  <c r="M155" i="5"/>
  <c r="P155" i="5" s="1"/>
  <c r="R155" i="5" s="1"/>
  <c r="M140" i="5"/>
  <c r="P140" i="5" s="1"/>
  <c r="R140" i="5" s="1"/>
  <c r="M129" i="5"/>
  <c r="P129" i="5" s="1"/>
  <c r="R129" i="5" s="1"/>
  <c r="M120" i="5"/>
  <c r="P120" i="5" s="1"/>
  <c r="R120" i="5" s="1"/>
  <c r="M104" i="5"/>
  <c r="P104" i="5" s="1"/>
  <c r="R104" i="5" s="1"/>
  <c r="M67" i="5"/>
  <c r="P67" i="5" s="1"/>
  <c r="R67" i="5" s="1"/>
  <c r="J19" i="4"/>
  <c r="L19" i="4" s="1"/>
  <c r="M19" i="4" s="1"/>
  <c r="H18" i="6"/>
  <c r="O231" i="5"/>
  <c r="Q231" i="5" s="1"/>
  <c r="O180" i="5"/>
  <c r="Q180" i="5" s="1"/>
  <c r="O155" i="5"/>
  <c r="Q155" i="5" s="1"/>
  <c r="O140" i="5"/>
  <c r="Q140" i="5" s="1"/>
  <c r="O129" i="5"/>
  <c r="Q129" i="5" s="1"/>
  <c r="O120" i="5"/>
  <c r="Q120" i="5" s="1"/>
  <c r="O104" i="5"/>
  <c r="Q104" i="5" s="1"/>
  <c r="O67" i="5"/>
  <c r="Q67" i="5" s="1"/>
  <c r="K19" i="4"/>
  <c r="G19" i="6"/>
  <c r="M210" i="5"/>
  <c r="P210" i="5" s="1"/>
  <c r="R210" i="5" s="1"/>
  <c r="M34" i="5"/>
  <c r="P34" i="5" s="1"/>
  <c r="R34" i="5" s="1"/>
  <c r="M33" i="5"/>
  <c r="P33" i="5" s="1"/>
  <c r="R33" i="5" s="1"/>
  <c r="J20" i="4"/>
  <c r="L20" i="4" s="1"/>
  <c r="M20" i="4" s="1"/>
  <c r="H19" i="6"/>
  <c r="O210" i="5"/>
  <c r="Q210" i="5" s="1"/>
  <c r="O34" i="5"/>
  <c r="Q34" i="5" s="1"/>
  <c r="O33" i="5"/>
  <c r="Q33" i="5" s="1"/>
  <c r="K20" i="4"/>
  <c r="G20" i="6"/>
  <c r="M52" i="5"/>
  <c r="P52" i="5" s="1"/>
  <c r="R52" i="5" s="1"/>
  <c r="M50" i="5"/>
  <c r="P50" i="5" s="1"/>
  <c r="R50" i="5" s="1"/>
  <c r="M48" i="5"/>
  <c r="P48" i="5" s="1"/>
  <c r="R48" i="5" s="1"/>
  <c r="M37" i="5"/>
  <c r="P37" i="5" s="1"/>
  <c r="R37" i="5" s="1"/>
  <c r="M19" i="5"/>
  <c r="P19" i="5" s="1"/>
  <c r="R19" i="5" s="1"/>
  <c r="M17" i="5"/>
  <c r="P17" i="5" s="1"/>
  <c r="R17" i="5" s="1"/>
  <c r="M11" i="5"/>
  <c r="P11" i="5" s="1"/>
  <c r="R11" i="5" s="1"/>
  <c r="J21" i="4"/>
  <c r="L21" i="4" s="1"/>
  <c r="M21" i="4" s="1"/>
  <c r="H20" i="6"/>
  <c r="O52" i="5"/>
  <c r="Q52" i="5" s="1"/>
  <c r="O50" i="5"/>
  <c r="Q50" i="5" s="1"/>
  <c r="O48" i="5"/>
  <c r="Q48" i="5" s="1"/>
  <c r="O37" i="5"/>
  <c r="Q37" i="5" s="1"/>
  <c r="O19" i="5"/>
  <c r="Q19" i="5" s="1"/>
  <c r="O17" i="5"/>
  <c r="Q17" i="5" s="1"/>
  <c r="O11" i="5"/>
  <c r="Q11" i="5" s="1"/>
  <c r="K21" i="4"/>
  <c r="G21" i="6"/>
  <c r="M294" i="5"/>
  <c r="P294" i="5" s="1"/>
  <c r="R294" i="5" s="1"/>
  <c r="M292" i="5"/>
  <c r="P292" i="5" s="1"/>
  <c r="R292" i="5" s="1"/>
  <c r="M278" i="5"/>
  <c r="P278" i="5" s="1"/>
  <c r="R278" i="5" s="1"/>
  <c r="M276" i="5"/>
  <c r="P276" i="5" s="1"/>
  <c r="R276" i="5" s="1"/>
  <c r="M269" i="5"/>
  <c r="P269" i="5" s="1"/>
  <c r="R269" i="5" s="1"/>
  <c r="M266" i="5"/>
  <c r="P266" i="5" s="1"/>
  <c r="R266" i="5" s="1"/>
  <c r="M225" i="5"/>
  <c r="P225" i="5" s="1"/>
  <c r="R225" i="5" s="1"/>
  <c r="M223" i="5"/>
  <c r="P223" i="5" s="1"/>
  <c r="R223" i="5" s="1"/>
  <c r="M214" i="5"/>
  <c r="P214" i="5" s="1"/>
  <c r="R214" i="5" s="1"/>
  <c r="M212" i="5"/>
  <c r="P212" i="5" s="1"/>
  <c r="R212" i="5" s="1"/>
  <c r="M187" i="5"/>
  <c r="P187" i="5" s="1"/>
  <c r="R187" i="5" s="1"/>
  <c r="M185" i="5"/>
  <c r="P185" i="5" s="1"/>
  <c r="R185" i="5" s="1"/>
  <c r="M162" i="5"/>
  <c r="P162" i="5" s="1"/>
  <c r="R162" i="5" s="1"/>
  <c r="M160" i="5"/>
  <c r="P160" i="5" s="1"/>
  <c r="R160" i="5" s="1"/>
  <c r="M150" i="5"/>
  <c r="P150" i="5" s="1"/>
  <c r="R150" i="5" s="1"/>
  <c r="M147" i="5"/>
  <c r="P147" i="5" s="1"/>
  <c r="R147" i="5" s="1"/>
  <c r="M125" i="5"/>
  <c r="P125" i="5" s="1"/>
  <c r="R125" i="5" s="1"/>
  <c r="M123" i="5"/>
  <c r="P123" i="5" s="1"/>
  <c r="R123" i="5" s="1"/>
  <c r="M96" i="5"/>
  <c r="P96" i="5" s="1"/>
  <c r="R96" i="5" s="1"/>
  <c r="M94" i="5"/>
  <c r="P94" i="5" s="1"/>
  <c r="R94" i="5" s="1"/>
  <c r="M92" i="5"/>
  <c r="P92" i="5" s="1"/>
  <c r="R92" i="5" s="1"/>
  <c r="M59" i="5"/>
  <c r="P59" i="5" s="1"/>
  <c r="R59" i="5" s="1"/>
  <c r="M57" i="5"/>
  <c r="P57" i="5" s="1"/>
  <c r="R57" i="5" s="1"/>
  <c r="M55" i="5"/>
  <c r="P55" i="5" s="1"/>
  <c r="R55" i="5" s="1"/>
  <c r="M31" i="5"/>
  <c r="P31" i="5" s="1"/>
  <c r="R31" i="5" s="1"/>
  <c r="M29" i="5"/>
  <c r="P29" i="5" s="1"/>
  <c r="R29" i="5" s="1"/>
  <c r="J22" i="4"/>
  <c r="L22" i="4" s="1"/>
  <c r="M22" i="4" s="1"/>
  <c r="H21" i="6"/>
  <c r="O294" i="5"/>
  <c r="Q294" i="5" s="1"/>
  <c r="O292" i="5"/>
  <c r="Q292" i="5" s="1"/>
  <c r="O278" i="5"/>
  <c r="Q278" i="5" s="1"/>
  <c r="O276" i="5"/>
  <c r="Q276" i="5" s="1"/>
  <c r="O269" i="5"/>
  <c r="Q269" i="5" s="1"/>
  <c r="O266" i="5"/>
  <c r="Q266" i="5" s="1"/>
  <c r="O225" i="5"/>
  <c r="Q225" i="5" s="1"/>
  <c r="O223" i="5"/>
  <c r="Q223" i="5" s="1"/>
  <c r="O214" i="5"/>
  <c r="Q214" i="5" s="1"/>
  <c r="O212" i="5"/>
  <c r="Q212" i="5" s="1"/>
  <c r="O187" i="5"/>
  <c r="Q187" i="5" s="1"/>
  <c r="O185" i="5"/>
  <c r="Q185" i="5" s="1"/>
  <c r="O162" i="5"/>
  <c r="Q162" i="5" s="1"/>
  <c r="O160" i="5"/>
  <c r="Q160" i="5" s="1"/>
  <c r="O150" i="5"/>
  <c r="Q150" i="5" s="1"/>
  <c r="O147" i="5"/>
  <c r="Q147" i="5" s="1"/>
  <c r="O125" i="5"/>
  <c r="Q125" i="5" s="1"/>
  <c r="O123" i="5"/>
  <c r="Q123" i="5" s="1"/>
  <c r="O96" i="5"/>
  <c r="Q96" i="5" s="1"/>
  <c r="O94" i="5"/>
  <c r="Q94" i="5" s="1"/>
  <c r="O92" i="5"/>
  <c r="Q92" i="5" s="1"/>
  <c r="O59" i="5"/>
  <c r="Q59" i="5" s="1"/>
  <c r="O57" i="5"/>
  <c r="Q57" i="5" s="1"/>
  <c r="O55" i="5"/>
  <c r="Q55" i="5" s="1"/>
  <c r="O31" i="5"/>
  <c r="Q31" i="5" s="1"/>
  <c r="O29" i="5"/>
  <c r="Q29" i="5" s="1"/>
  <c r="K22" i="4"/>
  <c r="G22" i="6"/>
  <c r="M295" i="5"/>
  <c r="P295" i="5" s="1"/>
  <c r="R295" i="5" s="1"/>
  <c r="M293" i="5"/>
  <c r="P293" i="5" s="1"/>
  <c r="R293" i="5" s="1"/>
  <c r="M279" i="5"/>
  <c r="P279" i="5" s="1"/>
  <c r="R279" i="5" s="1"/>
  <c r="M277" i="5"/>
  <c r="P277" i="5" s="1"/>
  <c r="R277" i="5" s="1"/>
  <c r="M267" i="5"/>
  <c r="P267" i="5" s="1"/>
  <c r="R267" i="5" s="1"/>
  <c r="M226" i="5"/>
  <c r="P226" i="5" s="1"/>
  <c r="R226" i="5" s="1"/>
  <c r="M224" i="5"/>
  <c r="P224" i="5" s="1"/>
  <c r="R224" i="5" s="1"/>
  <c r="M215" i="5"/>
  <c r="P215" i="5" s="1"/>
  <c r="R215" i="5" s="1"/>
  <c r="M213" i="5"/>
  <c r="P213" i="5" s="1"/>
  <c r="R213" i="5" s="1"/>
  <c r="M188" i="5"/>
  <c r="P188" i="5" s="1"/>
  <c r="R188" i="5" s="1"/>
  <c r="M186" i="5"/>
  <c r="P186" i="5" s="1"/>
  <c r="R186" i="5" s="1"/>
  <c r="M163" i="5"/>
  <c r="P163" i="5" s="1"/>
  <c r="R163" i="5" s="1"/>
  <c r="M161" i="5"/>
  <c r="P161" i="5" s="1"/>
  <c r="R161" i="5" s="1"/>
  <c r="M151" i="5"/>
  <c r="P151" i="5" s="1"/>
  <c r="R151" i="5" s="1"/>
  <c r="M148" i="5"/>
  <c r="P148" i="5" s="1"/>
  <c r="R148" i="5" s="1"/>
  <c r="M126" i="5"/>
  <c r="P126" i="5" s="1"/>
  <c r="R126" i="5" s="1"/>
  <c r="M124" i="5"/>
  <c r="P124" i="5" s="1"/>
  <c r="R124" i="5" s="1"/>
  <c r="M97" i="5"/>
  <c r="P97" i="5" s="1"/>
  <c r="R97" i="5" s="1"/>
  <c r="M95" i="5"/>
  <c r="P95" i="5" s="1"/>
  <c r="R95" i="5" s="1"/>
  <c r="M93" i="5"/>
  <c r="P93" i="5" s="1"/>
  <c r="R93" i="5" s="1"/>
  <c r="M60" i="5"/>
  <c r="P60" i="5" s="1"/>
  <c r="R60" i="5" s="1"/>
  <c r="M58" i="5"/>
  <c r="P58" i="5" s="1"/>
  <c r="R58" i="5" s="1"/>
  <c r="M56" i="5"/>
  <c r="P56" i="5" s="1"/>
  <c r="R56" i="5" s="1"/>
  <c r="M32" i="5"/>
  <c r="P32" i="5" s="1"/>
  <c r="R32" i="5" s="1"/>
  <c r="M30" i="5"/>
  <c r="P30" i="5" s="1"/>
  <c r="R30" i="5" s="1"/>
  <c r="J23" i="4"/>
  <c r="L23" i="4" s="1"/>
  <c r="G23" i="6"/>
  <c r="M258" i="5"/>
  <c r="P258" i="5" s="1"/>
  <c r="R258" i="5" s="1"/>
  <c r="M256" i="5"/>
  <c r="P256" i="5" s="1"/>
  <c r="R256" i="5" s="1"/>
  <c r="M251" i="5"/>
  <c r="P251" i="5" s="1"/>
  <c r="R251" i="5" s="1"/>
  <c r="M250" i="5"/>
  <c r="P250" i="5" s="1"/>
  <c r="R250" i="5" s="1"/>
  <c r="M249" i="5"/>
  <c r="P249" i="5" s="1"/>
  <c r="R249" i="5" s="1"/>
  <c r="M46" i="5"/>
  <c r="P46" i="5" s="1"/>
  <c r="R46" i="5" s="1"/>
  <c r="M16" i="5"/>
  <c r="P16" i="5" s="1"/>
  <c r="R16" i="5" s="1"/>
  <c r="J24" i="4"/>
  <c r="L24" i="4" s="1"/>
  <c r="M24" i="4" s="1"/>
  <c r="H23" i="6"/>
  <c r="O258" i="5"/>
  <c r="Q258" i="5" s="1"/>
  <c r="O256" i="5"/>
  <c r="Q256" i="5" s="1"/>
  <c r="O251" i="5"/>
  <c r="Q251" i="5" s="1"/>
  <c r="O250" i="5"/>
  <c r="Q250" i="5" s="1"/>
  <c r="O249" i="5"/>
  <c r="Q249" i="5" s="1"/>
  <c r="O46" i="5"/>
  <c r="Q46" i="5" s="1"/>
  <c r="O16" i="5"/>
  <c r="Q16" i="5" s="1"/>
  <c r="K24" i="4"/>
  <c r="G24" i="6"/>
  <c r="M299" i="5"/>
  <c r="P299" i="5" s="1"/>
  <c r="R299" i="5" s="1"/>
  <c r="M284" i="5"/>
  <c r="P284" i="5" s="1"/>
  <c r="R284" i="5" s="1"/>
  <c r="M264" i="5"/>
  <c r="P264" i="5" s="1"/>
  <c r="R264" i="5" s="1"/>
  <c r="M261" i="5"/>
  <c r="P261" i="5" s="1"/>
  <c r="R261" i="5" s="1"/>
  <c r="M260" i="5"/>
  <c r="P260" i="5" s="1"/>
  <c r="R260" i="5" s="1"/>
  <c r="M257" i="5"/>
  <c r="P257" i="5" s="1"/>
  <c r="R257" i="5" s="1"/>
  <c r="M255" i="5"/>
  <c r="P255" i="5" s="1"/>
  <c r="R255" i="5" s="1"/>
  <c r="M254" i="5"/>
  <c r="P254" i="5" s="1"/>
  <c r="R254" i="5" s="1"/>
  <c r="M253" i="5"/>
  <c r="P253" i="5" s="1"/>
  <c r="R253" i="5" s="1"/>
  <c r="M248" i="5"/>
  <c r="P248" i="5" s="1"/>
  <c r="R248" i="5" s="1"/>
  <c r="M245" i="5"/>
  <c r="P245" i="5" s="1"/>
  <c r="R245" i="5" s="1"/>
  <c r="M240" i="5"/>
  <c r="P240" i="5" s="1"/>
  <c r="R240" i="5" s="1"/>
  <c r="M209" i="5"/>
  <c r="P209" i="5" s="1"/>
  <c r="R209" i="5" s="1"/>
  <c r="M82" i="5"/>
  <c r="P82" i="5" s="1"/>
  <c r="R82" i="5" s="1"/>
  <c r="M81" i="5"/>
  <c r="P81" i="5" s="1"/>
  <c r="R81" i="5" s="1"/>
  <c r="M80" i="5"/>
  <c r="P80" i="5" s="1"/>
  <c r="R80" i="5" s="1"/>
  <c r="M62" i="5"/>
  <c r="P62" i="5" s="1"/>
  <c r="R62" i="5" s="1"/>
  <c r="M36" i="5"/>
  <c r="P36" i="5" s="1"/>
  <c r="R36" i="5" s="1"/>
  <c r="M5" i="5"/>
  <c r="P5" i="5" s="1"/>
  <c r="J25" i="4"/>
  <c r="L25" i="4" s="1"/>
  <c r="M25" i="4" s="1"/>
  <c r="H24" i="6"/>
  <c r="O299" i="5"/>
  <c r="Q299" i="5" s="1"/>
  <c r="O284" i="5"/>
  <c r="Q284" i="5" s="1"/>
  <c r="O264" i="5"/>
  <c r="Q264" i="5" s="1"/>
  <c r="O261" i="5"/>
  <c r="Q261" i="5" s="1"/>
  <c r="O260" i="5"/>
  <c r="Q260" i="5" s="1"/>
  <c r="O257" i="5"/>
  <c r="Q257" i="5" s="1"/>
  <c r="O255" i="5"/>
  <c r="Q255" i="5" s="1"/>
  <c r="O254" i="5"/>
  <c r="Q254" i="5" s="1"/>
  <c r="O253" i="5"/>
  <c r="Q253" i="5" s="1"/>
  <c r="O248" i="5"/>
  <c r="Q248" i="5" s="1"/>
  <c r="O245" i="5"/>
  <c r="Q245" i="5" s="1"/>
  <c r="O240" i="5"/>
  <c r="Q240" i="5" s="1"/>
  <c r="O209" i="5"/>
  <c r="Q209" i="5" s="1"/>
  <c r="O82" i="5"/>
  <c r="Q82" i="5" s="1"/>
  <c r="O81" i="5"/>
  <c r="Q81" i="5" s="1"/>
  <c r="O80" i="5"/>
  <c r="Q80" i="5" s="1"/>
  <c r="O62" i="5"/>
  <c r="Q62" i="5" s="1"/>
  <c r="O36" i="5"/>
  <c r="Q36" i="5" s="1"/>
  <c r="O5" i="5"/>
  <c r="Q5" i="5" s="1"/>
  <c r="Q304" i="5" s="1"/>
  <c r="K25" i="4"/>
  <c r="P304" i="5" l="1"/>
  <c r="R5" i="5"/>
  <c r="S36" i="5"/>
  <c r="S62" i="5"/>
  <c r="S80" i="5"/>
  <c r="S81" i="5"/>
  <c r="S82" i="5"/>
  <c r="S209" i="5"/>
  <c r="S240" i="5"/>
  <c r="S245" i="5"/>
  <c r="S248" i="5"/>
  <c r="S253" i="5"/>
  <c r="S254" i="5"/>
  <c r="S255" i="5"/>
  <c r="S257" i="5"/>
  <c r="S260" i="5"/>
  <c r="S261" i="5"/>
  <c r="S264" i="5"/>
  <c r="S284" i="5"/>
  <c r="S299" i="5"/>
  <c r="S16" i="5"/>
  <c r="S46" i="5"/>
  <c r="S249" i="5"/>
  <c r="S250" i="5"/>
  <c r="S251" i="5"/>
  <c r="S256" i="5"/>
  <c r="S258" i="5"/>
  <c r="S29" i="5"/>
  <c r="S31" i="5"/>
  <c r="S55" i="5"/>
  <c r="S57" i="5"/>
  <c r="S59" i="5"/>
  <c r="S92" i="5"/>
  <c r="S94" i="5"/>
  <c r="S96" i="5"/>
  <c r="S123" i="5"/>
  <c r="S125" i="5"/>
  <c r="S147" i="5"/>
  <c r="S150" i="5"/>
  <c r="S160" i="5"/>
  <c r="S162" i="5"/>
  <c r="S185" i="5"/>
  <c r="S187" i="5"/>
  <c r="S212" i="5"/>
  <c r="S214" i="5"/>
  <c r="S223" i="5"/>
  <c r="S225" i="5"/>
  <c r="S266" i="5"/>
  <c r="S269" i="5"/>
  <c r="S276" i="5"/>
  <c r="S278" i="5"/>
  <c r="S292" i="5"/>
  <c r="S294" i="5"/>
  <c r="S11" i="5"/>
  <c r="S17" i="5"/>
  <c r="S19" i="5"/>
  <c r="S37" i="5"/>
  <c r="S48" i="5"/>
  <c r="S50" i="5"/>
  <c r="S52" i="5"/>
  <c r="S33" i="5"/>
  <c r="S34" i="5"/>
  <c r="S210" i="5"/>
  <c r="S67" i="5"/>
  <c r="S104" i="5"/>
  <c r="S120" i="5"/>
  <c r="S129" i="5"/>
  <c r="S140" i="5"/>
  <c r="S155" i="5"/>
  <c r="S180" i="5"/>
  <c r="S231" i="5"/>
  <c r="S235" i="5"/>
  <c r="S7" i="5"/>
  <c r="S8" i="5"/>
  <c r="S9" i="5"/>
  <c r="S10" i="5"/>
  <c r="S21" i="5"/>
  <c r="S22" i="5"/>
  <c r="S23" i="5"/>
  <c r="S24" i="5"/>
  <c r="S44" i="5"/>
  <c r="S45" i="5"/>
  <c r="S47" i="5"/>
  <c r="S53" i="5"/>
  <c r="S54" i="5"/>
  <c r="S83" i="5"/>
  <c r="S107" i="5"/>
  <c r="S108" i="5"/>
  <c r="S109" i="5"/>
  <c r="S111" i="5"/>
  <c r="S112" i="5"/>
  <c r="S113" i="5"/>
  <c r="S114" i="5"/>
  <c r="S115" i="5"/>
  <c r="S118" i="5"/>
  <c r="S132" i="5"/>
  <c r="S133" i="5"/>
  <c r="S135" i="5"/>
  <c r="S136" i="5"/>
  <c r="S137" i="5"/>
  <c r="S138" i="5"/>
  <c r="S139" i="5"/>
  <c r="S171" i="5"/>
  <c r="S172" i="5"/>
  <c r="S173" i="5"/>
  <c r="S174" i="5"/>
  <c r="S175" i="5"/>
  <c r="S176" i="5"/>
  <c r="S177" i="5"/>
  <c r="S192" i="5"/>
  <c r="S195" i="5"/>
  <c r="S196" i="5"/>
  <c r="S197" i="5"/>
  <c r="S198" i="5"/>
  <c r="S230" i="5"/>
  <c r="S232" i="5"/>
  <c r="S233" i="5"/>
  <c r="S236" i="5"/>
  <c r="S268" i="5"/>
  <c r="S270" i="5"/>
  <c r="S271" i="5"/>
  <c r="S275" i="5"/>
  <c r="S280" i="5"/>
  <c r="S283" i="5"/>
  <c r="S288" i="5"/>
  <c r="S290" i="5"/>
  <c r="S291" i="5"/>
  <c r="S71" i="5"/>
  <c r="S72" i="5"/>
  <c r="S73" i="5"/>
  <c r="S74" i="5"/>
  <c r="S159" i="5"/>
  <c r="S262" i="5"/>
  <c r="S300" i="5"/>
  <c r="S301" i="5"/>
  <c r="S302" i="5"/>
  <c r="S303" i="5"/>
  <c r="S6" i="5"/>
  <c r="S247" i="5"/>
  <c r="S285" i="5"/>
  <c r="S298" i="5"/>
  <c r="S68" i="5"/>
  <c r="S69" i="5"/>
  <c r="S70" i="5"/>
  <c r="S105" i="5"/>
  <c r="S106" i="5"/>
  <c r="S130" i="5"/>
  <c r="S131" i="5"/>
  <c r="S156" i="5"/>
  <c r="S157" i="5"/>
  <c r="S181" i="5"/>
  <c r="S182" i="5"/>
  <c r="S183" i="5"/>
  <c r="S220" i="5"/>
  <c r="S221" i="5"/>
  <c r="S289" i="5"/>
  <c r="S219" i="5"/>
  <c r="S20" i="5"/>
  <c r="S35" i="5"/>
  <c r="S38" i="5"/>
  <c r="S39" i="5"/>
  <c r="S40" i="5"/>
  <c r="S41" i="5"/>
  <c r="S42" i="5"/>
  <c r="S49" i="5"/>
  <c r="S78" i="5"/>
  <c r="S79" i="5"/>
  <c r="S84" i="5"/>
  <c r="S85" i="5"/>
  <c r="S86" i="5"/>
  <c r="S87" i="5"/>
  <c r="S88" i="5"/>
  <c r="S89" i="5"/>
  <c r="S90" i="5"/>
  <c r="S91" i="5"/>
  <c r="S110" i="5"/>
  <c r="S116" i="5"/>
  <c r="S117" i="5"/>
  <c r="S119" i="5"/>
  <c r="S134" i="5"/>
  <c r="S141" i="5"/>
  <c r="S142" i="5"/>
  <c r="S144" i="5"/>
  <c r="S145" i="5"/>
  <c r="S153" i="5"/>
  <c r="S158" i="5"/>
  <c r="S167" i="5"/>
  <c r="S168" i="5"/>
  <c r="S169" i="5"/>
  <c r="S170" i="5"/>
  <c r="S178" i="5"/>
  <c r="S179" i="5"/>
  <c r="S191" i="5"/>
  <c r="S193" i="5"/>
  <c r="S194" i="5"/>
  <c r="S200" i="5"/>
  <c r="S201" i="5"/>
  <c r="S202" i="5"/>
  <c r="S203" i="5"/>
  <c r="S204" i="5"/>
  <c r="S205" i="5"/>
  <c r="S206" i="5"/>
  <c r="S207" i="5"/>
  <c r="S208" i="5"/>
  <c r="S217" i="5"/>
  <c r="S229" i="5"/>
  <c r="S234" i="5"/>
  <c r="S238" i="5"/>
  <c r="S239" i="5"/>
  <c r="S273" i="5"/>
  <c r="J26" i="4"/>
  <c r="L6" i="4"/>
  <c r="S241" i="5"/>
  <c r="S242" i="5"/>
  <c r="S243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C18" i="2" l="1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L26" i="4"/>
  <c r="M6" i="4"/>
  <c r="R304" i="5"/>
  <c r="O304" i="5" s="1"/>
  <c r="S5" i="5"/>
  <c r="S304" i="5" s="1"/>
  <c r="L31" i="4" l="1"/>
  <c r="I28" i="4"/>
  <c r="F6" i="7" s="1"/>
  <c r="K6" i="7" s="1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G51" i="2" s="1"/>
  <c r="I42" i="2"/>
  <c r="E51" i="2" s="1"/>
  <c r="I41" i="2"/>
  <c r="K34" i="2"/>
  <c r="K33" i="2"/>
  <c r="K32" i="2"/>
  <c r="K31" i="2"/>
  <c r="K30" i="2"/>
  <c r="K29" i="2"/>
  <c r="K28" i="2"/>
  <c r="J35" i="2" s="1"/>
  <c r="K43" i="2"/>
  <c r="G52" i="2" s="1"/>
  <c r="K42" i="2"/>
  <c r="E52" i="2" s="1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Q37" i="2" l="1"/>
  <c r="P39" i="2" s="1"/>
  <c r="O37" i="2"/>
  <c r="N39" i="2" s="1"/>
  <c r="M37" i="2"/>
  <c r="L39" i="2" s="1"/>
  <c r="K37" i="2"/>
  <c r="J39" i="2" s="1"/>
  <c r="C52" i="2" s="1"/>
  <c r="I37" i="2"/>
  <c r="H39" i="2" s="1"/>
  <c r="C51" i="2" s="1"/>
  <c r="G37" i="2"/>
  <c r="F39" i="2" s="1"/>
  <c r="C49" i="2" s="1"/>
  <c r="E37" i="2"/>
  <c r="D39" i="2" s="1"/>
  <c r="C48" i="2" s="1"/>
  <c r="C37" i="2"/>
  <c r="B39" i="2" s="1"/>
  <c r="C47" i="2" s="1"/>
  <c r="I57" i="2" l="1"/>
  <c r="G57" i="2"/>
  <c r="E57" i="2"/>
  <c r="C57" i="2"/>
  <c r="I58" i="2"/>
  <c r="G58" i="2"/>
  <c r="E58" i="2"/>
  <c r="C58" i="2"/>
  <c r="I60" i="2"/>
  <c r="G60" i="2"/>
  <c r="E60" i="2"/>
  <c r="C60" i="2"/>
  <c r="C50" i="2"/>
  <c r="B53" i="2"/>
  <c r="H33" i="3"/>
  <c r="I13" i="4"/>
  <c r="H12" i="6"/>
  <c r="H24" i="3"/>
  <c r="I23" i="4"/>
  <c r="H22" i="6"/>
  <c r="J6" i="7"/>
  <c r="L6" i="7"/>
  <c r="N6" i="7"/>
  <c r="O6" i="7"/>
  <c r="O7" i="7"/>
  <c r="O10" i="7"/>
  <c r="O12" i="7"/>
  <c r="N7" i="7"/>
  <c r="N10" i="7"/>
  <c r="N12" i="7"/>
  <c r="F4" i="8"/>
  <c r="G4" i="8"/>
  <c r="H4" i="8"/>
  <c r="H6" i="8"/>
  <c r="G6" i="8"/>
  <c r="F6" i="8"/>
  <c r="C4" i="12"/>
  <c r="D4" i="12"/>
  <c r="G6" i="9"/>
  <c r="I6" i="9"/>
  <c r="J6" i="9"/>
  <c r="K6" i="9"/>
  <c r="K7" i="9"/>
  <c r="K9" i="9"/>
  <c r="C5" i="12"/>
  <c r="C59" i="2"/>
  <c r="B61" i="2"/>
  <c r="G6" i="11"/>
  <c r="I6" i="11"/>
  <c r="J6" i="11"/>
  <c r="K6" i="11"/>
  <c r="E59" i="2"/>
  <c r="D61" i="2"/>
  <c r="G7" i="11"/>
  <c r="I7" i="11"/>
  <c r="J7" i="11"/>
  <c r="K7" i="11"/>
  <c r="G59" i="2"/>
  <c r="F61" i="2"/>
  <c r="G8" i="11"/>
  <c r="I8" i="11"/>
  <c r="J8" i="11"/>
  <c r="K8" i="11"/>
  <c r="K10" i="11"/>
  <c r="K12" i="11"/>
  <c r="C6" i="12"/>
  <c r="C8" i="12"/>
  <c r="D8" i="12"/>
  <c r="C11" i="12"/>
  <c r="E11" i="12"/>
  <c r="G6" i="7"/>
  <c r="I6" i="7"/>
  <c r="M6" i="7"/>
  <c r="M7" i="7"/>
  <c r="M10" i="7"/>
  <c r="E4" i="8"/>
  <c r="E6" i="8"/>
  <c r="B4" i="12"/>
  <c r="B8" i="12"/>
  <c r="I59" i="2"/>
  <c r="H61" i="2"/>
  <c r="G50" i="2"/>
  <c r="F53" i="2"/>
  <c r="E50" i="2"/>
  <c r="D53" i="2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K23" i="4"/>
  <c r="O30" i="5"/>
  <c r="Q30" i="5"/>
  <c r="O32" i="5"/>
  <c r="Q32" i="5"/>
  <c r="O56" i="5"/>
  <c r="Q56" i="5"/>
  <c r="O58" i="5"/>
  <c r="Q58" i="5"/>
  <c r="O60" i="5"/>
  <c r="Q60" i="5"/>
  <c r="O93" i="5"/>
  <c r="Q93" i="5"/>
  <c r="O95" i="5"/>
  <c r="Q95" i="5"/>
  <c r="O97" i="5"/>
  <c r="Q97" i="5"/>
  <c r="O124" i="5"/>
  <c r="Q124" i="5"/>
  <c r="O126" i="5"/>
  <c r="Q126" i="5"/>
  <c r="O148" i="5"/>
  <c r="Q148" i="5"/>
  <c r="O151" i="5"/>
  <c r="Q151" i="5"/>
  <c r="O161" i="5"/>
  <c r="Q161" i="5"/>
  <c r="O163" i="5"/>
  <c r="Q163" i="5"/>
  <c r="O186" i="5"/>
  <c r="Q186" i="5"/>
  <c r="O188" i="5"/>
  <c r="Q188" i="5"/>
  <c r="O213" i="5"/>
  <c r="Q213" i="5"/>
  <c r="O215" i="5"/>
  <c r="Q215" i="5"/>
  <c r="O224" i="5"/>
  <c r="Q224" i="5"/>
  <c r="O226" i="5"/>
  <c r="Q226" i="5"/>
  <c r="O267" i="5"/>
  <c r="Q267" i="5"/>
  <c r="O277" i="5"/>
  <c r="Q277" i="5"/>
  <c r="O279" i="5"/>
  <c r="Q279" i="5"/>
  <c r="O293" i="5"/>
  <c r="Q293" i="5"/>
  <c r="O295" i="5"/>
  <c r="Q295" i="5"/>
  <c r="H25" i="3"/>
  <c r="H26" i="3"/>
  <c r="H27" i="3"/>
  <c r="H28" i="3"/>
  <c r="H29" i="3"/>
  <c r="H30" i="3"/>
  <c r="H31" i="3"/>
  <c r="H32" i="3"/>
  <c r="K13" i="4"/>
  <c r="O281" i="5"/>
  <c r="Q281" i="5"/>
  <c r="O296" i="5"/>
  <c r="Q296" i="5"/>
  <c r="H34" i="3"/>
  <c r="H35" i="3"/>
  <c r="H36" i="3"/>
  <c r="H37" i="3"/>
  <c r="H38" i="3"/>
  <c r="H39" i="3"/>
  <c r="H40" i="3"/>
  <c r="H41" i="3"/>
  <c r="L8" i="11"/>
  <c r="L7" i="11"/>
  <c r="L6" i="11"/>
  <c r="L10" i="11"/>
  <c r="L12" i="11"/>
  <c r="D6" i="12"/>
  <c r="L6" i="9"/>
  <c r="L7" i="9"/>
  <c r="L9" i="9"/>
  <c r="D5" i="12"/>
  <c r="C15" i="12"/>
  <c r="S296" i="5"/>
  <c r="S281" i="5"/>
  <c r="M13" i="4"/>
  <c r="S295" i="5"/>
  <c r="S293" i="5"/>
  <c r="S279" i="5"/>
  <c r="S277" i="5"/>
  <c r="S267" i="5"/>
  <c r="S226" i="5"/>
  <c r="S224" i="5"/>
  <c r="S215" i="5"/>
  <c r="S213" i="5"/>
  <c r="S188" i="5"/>
  <c r="S186" i="5"/>
  <c r="S163" i="5"/>
  <c r="S161" i="5"/>
  <c r="S151" i="5"/>
  <c r="S148" i="5"/>
  <c r="S126" i="5"/>
  <c r="S124" i="5"/>
  <c r="S97" i="5"/>
  <c r="S95" i="5"/>
  <c r="S93" i="5"/>
  <c r="S60" i="5"/>
  <c r="S58" i="5"/>
  <c r="S56" i="5"/>
  <c r="S32" i="5"/>
  <c r="S30" i="5"/>
  <c r="M23" i="4"/>
  <c r="K26" i="4"/>
  <c r="M26" i="4"/>
  <c r="M31" i="4"/>
</calcChain>
</file>

<file path=xl/sharedStrings.xml><?xml version="1.0" encoding="utf-8"?>
<sst xmlns="http://schemas.openxmlformats.org/spreadsheetml/2006/main" count="4019" uniqueCount="836">
  <si>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</si>
  <si>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</si>
  <si>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</si>
  <si>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</si>
  <si>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</si>
  <si>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</si>
  <si>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</si>
  <si>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</si>
  <si>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</si>
  <si>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</si>
  <si>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</si>
  <si>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</si>
  <si>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</si>
  <si>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2W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</si>
  <si>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</si>
  <si>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</si>
  <si>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</si>
  <si>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</si>
  <si>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</si>
  <si>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</si>
  <si>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</si>
  <si>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</si>
  <si>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</si>
  <si>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</si>
  <si>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</si>
  <si>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</si>
  <si>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</si>
  <si>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</si>
  <si>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</si>
  <si>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</si>
  <si>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</si>
  <si>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</si>
  <si>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</si>
  <si>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</si>
  <si>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</si>
  <si>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</si>
  <si>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</si>
  <si>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</si>
  <si>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</si>
  <si>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</si>
  <si>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</si>
  <si>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</si>
  <si>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</si>
  <si>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</si>
  <si>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</si>
  <si>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</si>
  <si>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</si>
  <si>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</si>
  <si>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</si>
  <si>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</si>
  <si>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</si>
  <si>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</si>
  <si>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</si>
  <si>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</si>
  <si>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</si>
  <si>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</si>
  <si>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</si>
  <si>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</si>
  <si>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</si>
  <si>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</si>
  <si>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</si>
  <si>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</si>
  <si>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</si>
  <si>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</si>
  <si>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</si>
  <si>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</si>
  <si>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</si>
  <si>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</si>
  <si>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</si>
  <si>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</si>
  <si>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</si>
  <si>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</si>
  <si>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</si>
  <si>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</si>
  <si>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</si>
  <si>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</si>
  <si>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</si>
  <si>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</si>
  <si>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</si>
  <si>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</si>
  <si>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</si>
  <si>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</si>
  <si>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</si>
  <si>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</si>
  <si>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</si>
  <si>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</si>
  <si>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Regie</t>
  </si>
  <si>
    <t>Regie specialist</t>
  </si>
  <si>
    <t>Regie bouwschoonmaak</t>
  </si>
  <si>
    <t>Uurtarief glasbewassing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</si>
  <si>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</si>
  <si>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</si>
  <si>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</si>
  <si>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</si>
  <si>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</si>
  <si>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</si>
  <si>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</si>
  <si>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</si>
  <si>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</si>
  <si>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</si>
  <si>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</si>
  <si>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</si>
  <si>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</si>
  <si>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</si>
  <si>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BHV</t>
  </si>
  <si>
    <t>Kantoor-/personeels-/vergaderruimte hard (volledig)</t>
  </si>
  <si>
    <t>CHB</t>
  </si>
  <si>
    <t>Collegezaal; harde vloeren (basis)</t>
  </si>
  <si>
    <t>CHV</t>
  </si>
  <si>
    <t>Collegezaal; harde vloeren (volledig)</t>
  </si>
  <si>
    <t>ITHB</t>
  </si>
  <si>
    <t>Computer/ict lokaal hard (basis)</t>
  </si>
  <si>
    <t>ITHV</t>
  </si>
  <si>
    <t>Computer/ict lokaal hard (volledig)</t>
  </si>
  <si>
    <t>LHB</t>
  </si>
  <si>
    <t>Leslokalen/studieruimte hard (basis)</t>
  </si>
  <si>
    <t>LHV</t>
  </si>
  <si>
    <t>Leslokalen/studieruimte hard (volledig)</t>
  </si>
  <si>
    <t>MHB</t>
  </si>
  <si>
    <t>Media-/bilbiotheek hard (basis)</t>
  </si>
  <si>
    <t>MHV</t>
  </si>
  <si>
    <t>Media-/bilbiotheek hard (volledig)</t>
  </si>
  <si>
    <t>OLHB</t>
  </si>
  <si>
    <t>Open studieruimte - harde vloeren (basis)</t>
  </si>
  <si>
    <t>OLHV</t>
  </si>
  <si>
    <t>Open studieruimte - harde vloeren (volledig)</t>
  </si>
  <si>
    <t>PUHB</t>
  </si>
  <si>
    <t xml:space="preserve">PU   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</si>
  <si>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</si>
  <si>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</si>
  <si>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</si>
  <si>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</si>
  <si>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</si>
  <si>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</si>
  <si>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</si>
  <si>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</si>
  <si>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</si>
  <si>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</si>
  <si>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</si>
  <si>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</si>
  <si>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</si>
  <si>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</si>
  <si>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</si>
  <si>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</si>
  <si>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</si>
  <si>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</si>
  <si>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</si>
  <si>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</si>
  <si>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</si>
  <si>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EHB</t>
  </si>
  <si>
    <t>Entree hard (basis)</t>
  </si>
  <si>
    <t>EHV</t>
  </si>
  <si>
    <t>Entree hard (volledig)</t>
  </si>
  <si>
    <t>EZB</t>
  </si>
  <si>
    <t>Entree zacht (basis)</t>
  </si>
  <si>
    <t>EZV</t>
  </si>
  <si>
    <t>Entree zacht (volledig)</t>
  </si>
  <si>
    <t>GHB</t>
  </si>
  <si>
    <t>Gymzaal/sportruimte hard (basis)</t>
  </si>
  <si>
    <t>GHV</t>
  </si>
  <si>
    <t>Gymzaal/sportruimte hard (volledig)</t>
  </si>
  <si>
    <t>IHB</t>
  </si>
  <si>
    <t>Lift hard (basis)</t>
  </si>
  <si>
    <t>IHV</t>
  </si>
  <si>
    <t>Lift hard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</si>
  <si>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</si>
  <si>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</si>
  <si>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</si>
  <si>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</si>
  <si>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</si>
  <si>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</si>
  <si>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</si>
  <si>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</si>
  <si>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VHB</t>
  </si>
  <si>
    <t>Verkeersruimte/garderobe/reprografie hard (basis)</t>
  </si>
  <si>
    <t>VHV</t>
  </si>
  <si>
    <t>Verkeersruimte/garderobe/reprografie hard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</si>
  <si>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</si>
  <si>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</si>
  <si>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</si>
  <si>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</si>
  <si>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</si>
  <si>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</si>
  <si>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</si>
  <si>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</si>
  <si>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</si>
  <si>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</si>
  <si>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</si>
  <si>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BH</t>
  </si>
  <si>
    <t>Kantoor/personeels-/vergaderrruimte harde vloer</t>
  </si>
  <si>
    <t>CH</t>
  </si>
  <si>
    <t>Collegezaal- harde vloeren</t>
  </si>
  <si>
    <t>DH</t>
  </si>
  <si>
    <t>Douche/wasruimte harde vloer</t>
  </si>
  <si>
    <t>EH</t>
  </si>
  <si>
    <t>Entree harde vloer</t>
  </si>
  <si>
    <t>EZ</t>
  </si>
  <si>
    <t>Entree zachte vloer</t>
  </si>
  <si>
    <t>GH</t>
  </si>
  <si>
    <t>Gymzaal/sportruimte/toestelberging harde vloer</t>
  </si>
  <si>
    <t>IH</t>
  </si>
  <si>
    <t>Lift harde vloer</t>
  </si>
  <si>
    <t>ITH</t>
  </si>
  <si>
    <t>Computer/ICT lokaal</t>
  </si>
  <si>
    <t>KH</t>
  </si>
  <si>
    <t>Kleedruimte harde vloer</t>
  </si>
  <si>
    <t>LH</t>
  </si>
  <si>
    <t>Leslokaal/studieruimte hardev loer</t>
  </si>
  <si>
    <t>MH</t>
  </si>
  <si>
    <t>Media-/bibliotheek harde vloer</t>
  </si>
  <si>
    <t>OLH</t>
  </si>
  <si>
    <t>Open lesruimte - harde vloeren</t>
  </si>
  <si>
    <t>PH</t>
  </si>
  <si>
    <t>Pantry/keuken harde vloer</t>
  </si>
  <si>
    <t>PUH</t>
  </si>
  <si>
    <t>Praktijklokaal uitgebreid harde vloer</t>
  </si>
  <si>
    <t>SH</t>
  </si>
  <si>
    <t>Sanitaire ruimte/toiletten harde vloer</t>
  </si>
  <si>
    <t>SHN</t>
  </si>
  <si>
    <t>Sanitaire ruimte/toiletten harde vloer naloop</t>
  </si>
  <si>
    <t>TH</t>
  </si>
  <si>
    <t>Trap harde vloer</t>
  </si>
  <si>
    <t>VH</t>
  </si>
  <si>
    <t>Verkeersruimte/garderobe/reprografie harde vloer</t>
  </si>
  <si>
    <t xml:space="preserve">Totaal werkdag                  </t>
  </si>
  <si>
    <t xml:space="preserve">Gemiddeld uurtarief werkdag     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</si>
  <si>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</si>
  <si>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</si>
  <si>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</si>
  <si>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</si>
  <si>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</si>
  <si>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</si>
  <si>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</si>
  <si>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</si>
  <si>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TAAK OMSCHRIJVING</t>
  </si>
  <si>
    <t>001 - Griftland College, Noorderweg 79, Soest</t>
  </si>
  <si>
    <t>001</t>
  </si>
  <si>
    <t>A</t>
  </si>
  <si>
    <t>00</t>
  </si>
  <si>
    <t>(A) 0.01</t>
  </si>
  <si>
    <t>kunstplein</t>
  </si>
  <si>
    <t>tegels</t>
  </si>
  <si>
    <t>(A) 0.01A</t>
  </si>
  <si>
    <t>entree A</t>
  </si>
  <si>
    <t>inloopmat</t>
  </si>
  <si>
    <t>(A) 0.02</t>
  </si>
  <si>
    <t>muziek/CKV</t>
  </si>
  <si>
    <t>tarkett</t>
  </si>
  <si>
    <t>(A) 0.03</t>
  </si>
  <si>
    <t>studio</t>
  </si>
  <si>
    <t>(A) 0.04</t>
  </si>
  <si>
    <t>(A) 0.05</t>
  </si>
  <si>
    <t>(A) 0.06</t>
  </si>
  <si>
    <t>handvaardigheid</t>
  </si>
  <si>
    <t>(A) 0.07a</t>
  </si>
  <si>
    <t>berging hv</t>
  </si>
  <si>
    <t>N.I.O.</t>
  </si>
  <si>
    <t>(A) 0.07b</t>
  </si>
  <si>
    <t>ovenruimte</t>
  </si>
  <si>
    <t>(A) 0.08</t>
  </si>
  <si>
    <t>magazijn hv</t>
  </si>
  <si>
    <t>(A) 0.09</t>
  </si>
  <si>
    <t>berging</t>
  </si>
  <si>
    <t>(A) 0.10</t>
  </si>
  <si>
    <t>trap</t>
  </si>
  <si>
    <t>coating</t>
  </si>
  <si>
    <t>(A) 0.11</t>
  </si>
  <si>
    <t>tekenen</t>
  </si>
  <si>
    <t>(A) 0.12</t>
  </si>
  <si>
    <t>magazijn tekenen</t>
  </si>
  <si>
    <t>(A) 0.13</t>
  </si>
  <si>
    <t>(A) 0.14</t>
  </si>
  <si>
    <t>werkruimte</t>
  </si>
  <si>
    <t>(A) 0.15</t>
  </si>
  <si>
    <t>muziek</t>
  </si>
  <si>
    <t>(A) 0.16</t>
  </si>
  <si>
    <t>(A) 0.17</t>
  </si>
  <si>
    <t>(A) 0.18</t>
  </si>
  <si>
    <t>(A) 0.19</t>
  </si>
  <si>
    <t>SER</t>
  </si>
  <si>
    <t>(A) 0.20</t>
  </si>
  <si>
    <t>berging theater</t>
  </si>
  <si>
    <t>(A) 0.21</t>
  </si>
  <si>
    <t>berging keuken</t>
  </si>
  <si>
    <t>(A) 0.22</t>
  </si>
  <si>
    <t>evk/mk</t>
  </si>
  <si>
    <t>(A) 0.23</t>
  </si>
  <si>
    <t>sanitair</t>
  </si>
  <si>
    <t>gietvloer</t>
  </si>
  <si>
    <t>(A) 0.24</t>
  </si>
  <si>
    <t>(A) 0.25</t>
  </si>
  <si>
    <t>keuken</t>
  </si>
  <si>
    <t>(A) 0.26</t>
  </si>
  <si>
    <t>spoelkeuken</t>
  </si>
  <si>
    <t>01</t>
  </si>
  <si>
    <t>(A) 1.01</t>
  </si>
  <si>
    <t>toa werkplek</t>
  </si>
  <si>
    <t>(A) 1.02</t>
  </si>
  <si>
    <t>gang betalab</t>
  </si>
  <si>
    <t>(A) 1.02a</t>
  </si>
  <si>
    <t>betalab</t>
  </si>
  <si>
    <t>(A) 1.02b</t>
  </si>
  <si>
    <t>werkruimte zelfstandig</t>
  </si>
  <si>
    <t>(A) 1.02c</t>
  </si>
  <si>
    <t>(A) 1.02d</t>
  </si>
  <si>
    <t>(A) 1.02e</t>
  </si>
  <si>
    <t>(A) 1.02f</t>
  </si>
  <si>
    <t>(A) 1.03</t>
  </si>
  <si>
    <t>(A) 1.04</t>
  </si>
  <si>
    <t>instructie</t>
  </si>
  <si>
    <t>(A) 1.05</t>
  </si>
  <si>
    <t>(A) 1.06</t>
  </si>
  <si>
    <t>(A) 1.07</t>
  </si>
  <si>
    <t>(A) 1.08</t>
  </si>
  <si>
    <t>practicum binask</t>
  </si>
  <si>
    <t>(A) 1.10</t>
  </si>
  <si>
    <t>toa kabinet</t>
  </si>
  <si>
    <t>(A) 1.11</t>
  </si>
  <si>
    <t>(A) 1.12</t>
  </si>
  <si>
    <t>berging science</t>
  </si>
  <si>
    <t>(A) 1.13</t>
  </si>
  <si>
    <t>science prakticum</t>
  </si>
  <si>
    <t>(A) 1.14</t>
  </si>
  <si>
    <t>(A) 1.15</t>
  </si>
  <si>
    <t>(A) 1.16</t>
  </si>
  <si>
    <t>(A) 1.17</t>
  </si>
  <si>
    <t>(A) 1.18</t>
  </si>
  <si>
    <t>sanitair personeel</t>
  </si>
  <si>
    <t>(A) 1.19</t>
  </si>
  <si>
    <t>MK</t>
  </si>
  <si>
    <t>(A) 1.20</t>
  </si>
  <si>
    <t>gang</t>
  </si>
  <si>
    <t>(A) 1.21</t>
  </si>
  <si>
    <t>installaties</t>
  </si>
  <si>
    <t>(A) 1.22</t>
  </si>
  <si>
    <t>02</t>
  </si>
  <si>
    <t>(A) 2.01</t>
  </si>
  <si>
    <t>installatieruimte LBK A</t>
  </si>
  <si>
    <t>(A) 2.02</t>
  </si>
  <si>
    <t>B</t>
  </si>
  <si>
    <t>(B) 0.01</t>
  </si>
  <si>
    <t>ICT plein</t>
  </si>
  <si>
    <t>pvc</t>
  </si>
  <si>
    <t>(B) 0.01A</t>
  </si>
  <si>
    <t>entree B</t>
  </si>
  <si>
    <t>(B) 0.01B</t>
  </si>
  <si>
    <t>(B) 0.01C</t>
  </si>
  <si>
    <t>(B) 0.02</t>
  </si>
  <si>
    <t>ICT ruimte</t>
  </si>
  <si>
    <t>(B) 0.03</t>
  </si>
  <si>
    <t>(B) 0.04</t>
  </si>
  <si>
    <t>(B) 0.05</t>
  </si>
  <si>
    <t>ICT studio/berging</t>
  </si>
  <si>
    <t>(B) 0.06</t>
  </si>
  <si>
    <t>ICT FO + BO + berging</t>
  </si>
  <si>
    <t>(B) 0.06a</t>
  </si>
  <si>
    <t>(B) 0.07</t>
  </si>
  <si>
    <t>MER</t>
  </si>
  <si>
    <t>(B) 0.08</t>
  </si>
  <si>
    <t>EHBO kolf/rust ruimte</t>
  </si>
  <si>
    <t>(B) 0.09</t>
  </si>
  <si>
    <t>personeelskamer</t>
  </si>
  <si>
    <t>(B) 0.10a</t>
  </si>
  <si>
    <t>(B) 0.10b</t>
  </si>
  <si>
    <t>(B) 0.11</t>
  </si>
  <si>
    <t>garderobe</t>
  </si>
  <si>
    <t>(B) 0.12</t>
  </si>
  <si>
    <t>rebound</t>
  </si>
  <si>
    <t>(B) 0.13</t>
  </si>
  <si>
    <t>kantoor zorgco</t>
  </si>
  <si>
    <t>(B) 0.14</t>
  </si>
  <si>
    <t>kantoor RT</t>
  </si>
  <si>
    <t>(B) 0.15</t>
  </si>
  <si>
    <t>jeugdteam balans</t>
  </si>
  <si>
    <t>(B) 0.16</t>
  </si>
  <si>
    <t>spreekkamer</t>
  </si>
  <si>
    <t>(B) 0.17</t>
  </si>
  <si>
    <t>(B) 0.18</t>
  </si>
  <si>
    <t>(B) 0.19</t>
  </si>
  <si>
    <t>(B) 0.20</t>
  </si>
  <si>
    <t>concierge</t>
  </si>
  <si>
    <t>(B) 0.21</t>
  </si>
  <si>
    <t>MIVA toilet</t>
  </si>
  <si>
    <t>(B) 0.22</t>
  </si>
  <si>
    <t>(B) 0.23</t>
  </si>
  <si>
    <t>(B) 0.24</t>
  </si>
  <si>
    <t>(B) 0.25</t>
  </si>
  <si>
    <t>installaties WKO</t>
  </si>
  <si>
    <t>(B) 0.25A</t>
  </si>
  <si>
    <t>(B) 0.26</t>
  </si>
  <si>
    <t>werkkast</t>
  </si>
  <si>
    <t>(B) 0.26A</t>
  </si>
  <si>
    <t>werkkast voorraad</t>
  </si>
  <si>
    <t>(B) 0.29</t>
  </si>
  <si>
    <t>hydrofoor</t>
  </si>
  <si>
    <t>(B) 1.01</t>
  </si>
  <si>
    <t>middenbouwplein</t>
  </si>
  <si>
    <t>(B) 1.01A</t>
  </si>
  <si>
    <t>(B) 1.01B</t>
  </si>
  <si>
    <t>(B) 1.02</t>
  </si>
  <si>
    <t>instructieruimte</t>
  </si>
  <si>
    <t>(B) 1.03</t>
  </si>
  <si>
    <t>(B) 1.04</t>
  </si>
  <si>
    <t>(B) 1.05</t>
  </si>
  <si>
    <t>(B) 1.06</t>
  </si>
  <si>
    <t>(B) 1.07</t>
  </si>
  <si>
    <t>(B) 1.08</t>
  </si>
  <si>
    <t>(B) 1.09</t>
  </si>
  <si>
    <t>(B) 1.10</t>
  </si>
  <si>
    <t>(B) 1.11</t>
  </si>
  <si>
    <t>overlegruimte</t>
  </si>
  <si>
    <t>(B) 1.12</t>
  </si>
  <si>
    <t>(B) 1.13</t>
  </si>
  <si>
    <t>(B) 1.14</t>
  </si>
  <si>
    <t>vergaderruimte</t>
  </si>
  <si>
    <t>(B) 1.15</t>
  </si>
  <si>
    <t>(B) 1.16</t>
  </si>
  <si>
    <t>ekv</t>
  </si>
  <si>
    <t>(B) 1.17</t>
  </si>
  <si>
    <t>(B) 1.18</t>
  </si>
  <si>
    <t>(B) 1.19</t>
  </si>
  <si>
    <t>(B) 1.20</t>
  </si>
  <si>
    <t>(B) 1.21</t>
  </si>
  <si>
    <t>(B) 2.01</t>
  </si>
  <si>
    <t>bovenbouwplein</t>
  </si>
  <si>
    <t>(B) 2.01A</t>
  </si>
  <si>
    <t>(B) 2.01B</t>
  </si>
  <si>
    <t>(B) 2.02</t>
  </si>
  <si>
    <t>(B) 2.03</t>
  </si>
  <si>
    <t>(B) 2.04</t>
  </si>
  <si>
    <t>(B) 2.05</t>
  </si>
  <si>
    <t>(B) 2.06</t>
  </si>
  <si>
    <t>(B) 2.07</t>
  </si>
  <si>
    <t>(B) 2.08</t>
  </si>
  <si>
    <t>(B) 2.09</t>
  </si>
  <si>
    <t>(B) 2.10</t>
  </si>
  <si>
    <t>(B) 2.11</t>
  </si>
  <si>
    <t>stilte werkruimte</t>
  </si>
  <si>
    <t>(B) 2.12</t>
  </si>
  <si>
    <t>(B) 2.13</t>
  </si>
  <si>
    <t>(B) 2.14</t>
  </si>
  <si>
    <t>(B) 2.15</t>
  </si>
  <si>
    <t>(B) 2.16</t>
  </si>
  <si>
    <t>evk</t>
  </si>
  <si>
    <t>(B) 2.17</t>
  </si>
  <si>
    <t>(B) 2.18</t>
  </si>
  <si>
    <t>stookruimte</t>
  </si>
  <si>
    <t>(B) 2.19</t>
  </si>
  <si>
    <t>(B) 2.20</t>
  </si>
  <si>
    <t>(B) 2.21</t>
  </si>
  <si>
    <t>(B) 2.22</t>
  </si>
  <si>
    <t>schacht</t>
  </si>
  <si>
    <t>C</t>
  </si>
  <si>
    <t>(C) 0.01</t>
  </si>
  <si>
    <t>brugklas plein</t>
  </si>
  <si>
    <t>(C) 0.01A</t>
  </si>
  <si>
    <t>entree C</t>
  </si>
  <si>
    <t>(C) 0.01B</t>
  </si>
  <si>
    <t>(C) 0.01C</t>
  </si>
  <si>
    <t>leerlingen balie</t>
  </si>
  <si>
    <t>(C) 0.02</t>
  </si>
  <si>
    <t>lift</t>
  </si>
  <si>
    <t>(C) 0.03</t>
  </si>
  <si>
    <t>(C) 0.04</t>
  </si>
  <si>
    <t>(C) 0.05</t>
  </si>
  <si>
    <t>(C) 0.06</t>
  </si>
  <si>
    <t>(C) 0.07</t>
  </si>
  <si>
    <t>(C) 0.08</t>
  </si>
  <si>
    <t>(C) 0.09</t>
  </si>
  <si>
    <t>werkplaats TD</t>
  </si>
  <si>
    <t>(C) 0.10</t>
  </si>
  <si>
    <t>werkkamer</t>
  </si>
  <si>
    <t>(C) 0.11</t>
  </si>
  <si>
    <t>(C) 0.12</t>
  </si>
  <si>
    <t>(C) 0.13</t>
  </si>
  <si>
    <t>(C) 0.14</t>
  </si>
  <si>
    <t>(C) 0.15</t>
  </si>
  <si>
    <t>(C) 0.16</t>
  </si>
  <si>
    <t>(C) 0.17</t>
  </si>
  <si>
    <t>(C) 0.18</t>
  </si>
  <si>
    <t>leeshoek</t>
  </si>
  <si>
    <t>(C) 0.19</t>
  </si>
  <si>
    <t>werkruimte adm.</t>
  </si>
  <si>
    <t>(C) 0.20</t>
  </si>
  <si>
    <t>receptie</t>
  </si>
  <si>
    <t>(C) 1.01</t>
  </si>
  <si>
    <t>mavoplein</t>
  </si>
  <si>
    <t>(C) 1.01A</t>
  </si>
  <si>
    <t>(C) 1.01B</t>
  </si>
  <si>
    <t>(C) 1.01C</t>
  </si>
  <si>
    <t>(C) 1.02</t>
  </si>
  <si>
    <t>(C) 1.03</t>
  </si>
  <si>
    <t>(C) 1.04</t>
  </si>
  <si>
    <t>(C) 1.05</t>
  </si>
  <si>
    <t>(C) 1.06</t>
  </si>
  <si>
    <t>(C) 1.07</t>
  </si>
  <si>
    <t>(C) 1.08</t>
  </si>
  <si>
    <t>(C) 1.09</t>
  </si>
  <si>
    <t>(C) 1.10</t>
  </si>
  <si>
    <t>(C) 1.11</t>
  </si>
  <si>
    <t>(C) 1.12</t>
  </si>
  <si>
    <t>(C) 1.13</t>
  </si>
  <si>
    <t>(C) 1.14</t>
  </si>
  <si>
    <t>(C) 1.15</t>
  </si>
  <si>
    <t>(C) 1.16</t>
  </si>
  <si>
    <t>directie</t>
  </si>
  <si>
    <t>(C) 1.17</t>
  </si>
  <si>
    <t>fin + pers. adm.</t>
  </si>
  <si>
    <t>(C) 1.18</t>
  </si>
  <si>
    <t>sectretariaat</t>
  </si>
  <si>
    <t>(C) 1.19</t>
  </si>
  <si>
    <t>(C) 1.20</t>
  </si>
  <si>
    <t>P&amp;O</t>
  </si>
  <si>
    <t>(C) 1.21</t>
  </si>
  <si>
    <t>hft facilitair</t>
  </si>
  <si>
    <t>(C) 1.22</t>
  </si>
  <si>
    <t>communicatie</t>
  </si>
  <si>
    <t>(C) 1.23</t>
  </si>
  <si>
    <t>flex</t>
  </si>
  <si>
    <t>(C) 1.24</t>
  </si>
  <si>
    <t>decanen</t>
  </si>
  <si>
    <t>(C) 1.25</t>
  </si>
  <si>
    <t>(C) 1.26</t>
  </si>
  <si>
    <t>pantry</t>
  </si>
  <si>
    <t>(C) 1.27</t>
  </si>
  <si>
    <t>(C) 1.28a</t>
  </si>
  <si>
    <t>toilet</t>
  </si>
  <si>
    <t>(C) 1.28b</t>
  </si>
  <si>
    <t>(C) 1.29</t>
  </si>
  <si>
    <t>archief</t>
  </si>
  <si>
    <t>(C) 1.30</t>
  </si>
  <si>
    <t>(C) 1.31</t>
  </si>
  <si>
    <t>(C) 2.01</t>
  </si>
  <si>
    <t>Collegezaal</t>
  </si>
  <si>
    <t>(C) 2.01A</t>
  </si>
  <si>
    <t>(C) 2.01B</t>
  </si>
  <si>
    <t>(C) 2.02</t>
  </si>
  <si>
    <t>(C) 2.03</t>
  </si>
  <si>
    <t>(C) 2.04</t>
  </si>
  <si>
    <t>(C) 2.05</t>
  </si>
  <si>
    <t>(C) 2.06</t>
  </si>
  <si>
    <t>(C) 2.07</t>
  </si>
  <si>
    <t>(C) 2.08</t>
  </si>
  <si>
    <t>(C) 2.09</t>
  </si>
  <si>
    <t>(C) 2.10</t>
  </si>
  <si>
    <t>(C) 2.11</t>
  </si>
  <si>
    <t>(C) 2.12</t>
  </si>
  <si>
    <t>(C) 2.13</t>
  </si>
  <si>
    <t>bib</t>
  </si>
  <si>
    <t>(C) 2.14</t>
  </si>
  <si>
    <t>talenlab/studieruimte</t>
  </si>
  <si>
    <t>(C) 2.15</t>
  </si>
  <si>
    <t>(C) 2.17</t>
  </si>
  <si>
    <t>(C) 2.18</t>
  </si>
  <si>
    <t>(C) 2.19</t>
  </si>
  <si>
    <t>D</t>
  </si>
  <si>
    <t>(D) 0.01</t>
  </si>
  <si>
    <t>theater aula</t>
  </si>
  <si>
    <t>(D) 0.01A</t>
  </si>
  <si>
    <t>aula verhoogd 1</t>
  </si>
  <si>
    <t>(D) 0.01B</t>
  </si>
  <si>
    <t>aula verhoogd 2</t>
  </si>
  <si>
    <t>(D) 0.02</t>
  </si>
  <si>
    <t>stoelenberging</t>
  </si>
  <si>
    <t>(D) 0.03</t>
  </si>
  <si>
    <t>toneel</t>
  </si>
  <si>
    <t>(D) 1.01</t>
  </si>
  <si>
    <t>balkon</t>
  </si>
  <si>
    <t>E</t>
  </si>
  <si>
    <t>(E) 0.01</t>
  </si>
  <si>
    <t>entree school</t>
  </si>
  <si>
    <t>(E) 0.02</t>
  </si>
  <si>
    <t>centrale hal</t>
  </si>
  <si>
    <t>(E) 0.02a</t>
  </si>
  <si>
    <t>tarket</t>
  </si>
  <si>
    <t>(E) 0.02b</t>
  </si>
  <si>
    <t>(E) 0.02c</t>
  </si>
  <si>
    <t>(E) 0.03</t>
  </si>
  <si>
    <t>wasruimte + berging schoonmaak</t>
  </si>
  <si>
    <t>(E) 0.05</t>
  </si>
  <si>
    <t>(E) 0.06</t>
  </si>
  <si>
    <t>Repro</t>
  </si>
  <si>
    <t>(E) 1.01</t>
  </si>
  <si>
    <t>(E) 1.01a</t>
  </si>
  <si>
    <t>(E) 1.02</t>
  </si>
  <si>
    <t>(E) 1.02a</t>
  </si>
  <si>
    <t>(E) 1.03</t>
  </si>
  <si>
    <t>(E) 2.01</t>
  </si>
  <si>
    <t>(E) 2.02</t>
  </si>
  <si>
    <t>F</t>
  </si>
  <si>
    <t>(F) 0.01</t>
  </si>
  <si>
    <t>gymzaal 4</t>
  </si>
  <si>
    <t>sportvloer herculan</t>
  </si>
  <si>
    <t>(F) 0.02</t>
  </si>
  <si>
    <t>fietsenstalling</t>
  </si>
  <si>
    <t>(F) 0.03</t>
  </si>
  <si>
    <t>containerberging</t>
  </si>
  <si>
    <t>(F) 1.01</t>
  </si>
  <si>
    <t>installatieruimte LBK FGH</t>
  </si>
  <si>
    <t>G</t>
  </si>
  <si>
    <t>(G) 0.01</t>
  </si>
  <si>
    <t>(G) 0.02</t>
  </si>
  <si>
    <t>kleedkamer</t>
  </si>
  <si>
    <t>(G) 0.04</t>
  </si>
  <si>
    <t>miva</t>
  </si>
  <si>
    <t>(G) 0.06</t>
  </si>
  <si>
    <t>(G) 0.07</t>
  </si>
  <si>
    <t>(G) 0.08</t>
  </si>
  <si>
    <t>(G) 0.09</t>
  </si>
  <si>
    <t>EHBO</t>
  </si>
  <si>
    <t>(G) 0.10</t>
  </si>
  <si>
    <t>(G) 0.11</t>
  </si>
  <si>
    <t>(G) 0.12</t>
  </si>
  <si>
    <t>(G) 0.13</t>
  </si>
  <si>
    <t>(G) 0.14</t>
  </si>
  <si>
    <t>(G) 0.15</t>
  </si>
  <si>
    <t>(G) 0.16</t>
  </si>
  <si>
    <t>(G) 0.17</t>
  </si>
  <si>
    <t>(G) 0.18</t>
  </si>
  <si>
    <t>(G) 0.19</t>
  </si>
  <si>
    <t>portaal</t>
  </si>
  <si>
    <t>(G) 0.19a</t>
  </si>
  <si>
    <t>(G) 0.19b</t>
  </si>
  <si>
    <t>gas + water</t>
  </si>
  <si>
    <t>(G) 0.20</t>
  </si>
  <si>
    <t>docenten</t>
  </si>
  <si>
    <t>(G) 0.20a</t>
  </si>
  <si>
    <t>douche</t>
  </si>
  <si>
    <t>(G) 0.21</t>
  </si>
  <si>
    <t>(G) 0.22</t>
  </si>
  <si>
    <t>(G) 0.23</t>
  </si>
  <si>
    <t>(G) 0.24</t>
  </si>
  <si>
    <t>(G) 0.25</t>
  </si>
  <si>
    <t>(G) 0.26</t>
  </si>
  <si>
    <t>buiten berging</t>
  </si>
  <si>
    <t>(G) 0.27</t>
  </si>
  <si>
    <t>entree sport</t>
  </si>
  <si>
    <t>(G) 0.28</t>
  </si>
  <si>
    <t>hal sport</t>
  </si>
  <si>
    <t>(G) 0.29</t>
  </si>
  <si>
    <t>fitness</t>
  </si>
  <si>
    <t>H</t>
  </si>
  <si>
    <t>(H) 0.01</t>
  </si>
  <si>
    <t>gymzaal 1</t>
  </si>
  <si>
    <t>(H) 0.02</t>
  </si>
  <si>
    <t>gymzaal 2</t>
  </si>
  <si>
    <t>(H) 0.03</t>
  </si>
  <si>
    <t>gymzaal 3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</si>
  <si>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</si>
  <si>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</si>
  <si>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</si>
  <si>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</si>
  <si>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</si>
  <si>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</si>
  <si>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</si>
  <si>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>TARIEF</t>
  </si>
  <si>
    <t xml:space="preserve">     001</t>
  </si>
  <si>
    <t>werkdag</t>
  </si>
  <si>
    <t>NAAM</t>
  </si>
  <si>
    <t>ADRES</t>
  </si>
  <si>
    <t>PLAATS</t>
  </si>
  <si>
    <t>BASIS UUR- TARIEF</t>
  </si>
  <si>
    <t>UREN/ UITVOERING</t>
  </si>
  <si>
    <t>UREN SUPPLETIE/ UITVOERING</t>
  </si>
  <si>
    <t>UREN TOTAAL/ UITVOERING</t>
  </si>
  <si>
    <t>PRIJS/ UITVOERING</t>
  </si>
  <si>
    <t>PRIJS SUPPLETIE/ UITVOERING</t>
  </si>
  <si>
    <t>PRIJS TOTAAL/ UITVOERING</t>
  </si>
  <si>
    <t>PRIJS/ MAAND (EURO)</t>
  </si>
  <si>
    <t>Griftland College</t>
  </si>
  <si>
    <t>Noorderweg 79</t>
  </si>
  <si>
    <t>Soest</t>
  </si>
  <si>
    <t>Totaal regulier werk incl. suppleties (excl. BTW)</t>
  </si>
  <si>
    <t>Totaal regulier werk incl. suppleties (incl. BTW)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</si>
  <si>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</si>
  <si>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</si>
  <si>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</si>
  <si>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</si>
  <si>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</si>
  <si>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</si>
  <si>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</si>
  <si>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</si>
  <si>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</si>
  <si>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</si>
  <si>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9200</t>
  </si>
  <si>
    <t>Uurtarief vervanging eigen beheer</t>
  </si>
  <si>
    <t>prijs per uur</t>
  </si>
  <si>
    <t>Totaal additioneel werk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</si>
  <si>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</si>
  <si>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</si>
  <si>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</si>
  <si>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</si>
  <si>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</si>
  <si>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</si>
  <si>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</si>
  <si>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</si>
  <si>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</si>
  <si>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</si>
  <si>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</si>
  <si>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</si>
  <si>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</si>
  <si>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</si>
  <si>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</si>
  <si>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</si>
  <si>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</si>
  <si>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</si>
  <si>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</si>
  <si>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</si>
  <si>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</si>
  <si>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</si>
  <si>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</si>
  <si>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</si>
  <si>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</si>
  <si>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</si>
  <si>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</si>
  <si>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</si>
  <si>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</si>
  <si>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</si>
  <si>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</si>
  <si>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</si>
  <si>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</si>
  <si>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</si>
  <si>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</si>
  <si>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</si>
  <si>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</si>
  <si>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</si>
  <si>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</si>
  <si>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</si>
  <si>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</si>
  <si>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</si>
  <si>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</si>
  <si>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</si>
  <si>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</si>
  <si>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</si>
  <si>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</si>
  <si>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</si>
  <si>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</si>
  <si>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</si>
  <si>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</si>
  <si>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</si>
  <si>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</si>
  <si>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</si>
  <si>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</si>
  <si>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</si>
  <si>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</si>
  <si>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</si>
  <si>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</si>
  <si>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</si>
  <si>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</si>
  <si>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</si>
  <si>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</si>
  <si>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</si>
  <si>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</si>
  <si>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</si>
  <si>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</si>
  <si>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</si>
  <si>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</si>
  <si>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</si>
  <si>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</si>
  <si>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</si>
  <si>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</si>
  <si>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</si>
  <si>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</si>
  <si>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</si>
  <si>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</si>
  <si>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</si>
  <si>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</si>
  <si>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</si>
  <si>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</si>
  <si>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</si>
  <si>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</si>
  <si>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</si>
  <si>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</si>
  <si>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</si>
  <si>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</si>
  <si>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</si>
  <si>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</si>
  <si>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</si>
  <si>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(Bonet)</t>
  </si>
  <si>
    <t>4040B</t>
  </si>
  <si>
    <t>4040C</t>
  </si>
  <si>
    <t>Tapijt reinigen droge methode (Bonett)</t>
  </si>
  <si>
    <t>4040D</t>
  </si>
  <si>
    <t>Tapijt reinigen droge methode (Boent)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</si>
  <si>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</si>
  <si>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</si>
  <si>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</si>
  <si>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</si>
  <si>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</si>
  <si>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</si>
  <si>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</si>
  <si>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</si>
  <si>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</si>
  <si>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</si>
  <si>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</si>
  <si>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</si>
  <si>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</si>
  <si>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</si>
  <si>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</si>
  <si>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</si>
  <si>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</si>
  <si>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</si>
  <si>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</si>
  <si>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</si>
  <si>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</si>
  <si>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</si>
  <si>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</si>
  <si>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</si>
  <si>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</si>
  <si>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</si>
  <si>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</si>
  <si>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</si>
  <si>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</si>
  <si>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</si>
  <si>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</si>
  <si>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</si>
  <si>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</si>
  <si>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</si>
  <si>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specialistische werkzaamheden</t>
  </si>
  <si>
    <t>9150</t>
  </si>
  <si>
    <t>Medewerker bouwschoonmaak</t>
  </si>
  <si>
    <t>9300</t>
  </si>
  <si>
    <t>Digiborden reinigen</t>
  </si>
  <si>
    <t>Totaal regiewerk excl. BTW</t>
  </si>
  <si>
    <t>Soort werk</t>
  </si>
  <si>
    <t>Uren per jaar uitvoering</t>
  </si>
  <si>
    <t>Bedrag per jaar excl. BTW (euro)</t>
  </si>
  <si>
    <t>Bedrag per jaar incl. BTW (euro)</t>
  </si>
  <si>
    <t xml:space="preserve">Regulier werk </t>
  </si>
  <si>
    <t>Additioneel werk</t>
  </si>
  <si>
    <t>Regie (geschat)</t>
  </si>
  <si>
    <t>Totaal generaal</t>
  </si>
  <si>
    <t>WERK IN BUDGET</t>
  </si>
  <si>
    <t>* BUDGET</t>
  </si>
  <si>
    <t>VERGELIJKINGSPRIJS</t>
  </si>
  <si>
    <t>In de kolom H, cel H6, zijn de totaal urenm per dag medewerkers eigen dienst weergegeven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</si>
</sst>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3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4" fontId="0" fillId="2" borderId="26" xfId="0" applyNumberFormat="1" applyFill="1" applyBorder="1"/>
    <xf numFmtId="165" fontId="0" fillId="2" borderId="26" xfId="0" applyNumberFormat="1" applyFill="1" applyBorder="1"/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2" borderId="6" xfId="0" applyNumberFormat="1" applyFill="1" applyBorder="1"/>
    <xf numFmtId="164" fontId="0" fillId="2" borderId="6" xfId="0" applyNumberFormat="1" applyFill="1" applyBorder="1"/>
    <xf numFmtId="1" fontId="0" fillId="2" borderId="6" xfId="0" applyNumberFormat="1" applyFill="1" applyBorder="1"/>
    <xf numFmtId="4" fontId="0" fillId="4" borderId="6" xfId="0" applyNumberFormat="1" applyFill="1" applyBorder="1"/>
    <xf numFmtId="164" fontId="0" fillId="2" borderId="6" xfId="0" applyNumberFormat="1" applyFill="1" applyBorder="1" applyProtection="1"/>
    <xf numFmtId="4" fontId="0" fillId="3" borderId="6" xfId="0" applyNumberFormat="1" applyFill="1" applyBorder="1" applyProtection="1"/>
    <xf numFmtId="164" fontId="0" fillId="3" borderId="23" xfId="0" applyNumberFormat="1" applyFill="1" applyBorder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3" borderId="23" xfId="0" applyFill="1" applyBorder="1"/>
    <xf numFmtId="4" fontId="0" fillId="4" borderId="24" xfId="0" applyNumberFormat="1" applyFill="1" applyBorder="1"/>
    <xf numFmtId="164" fontId="0" fillId="2" borderId="24" xfId="0" applyNumberFormat="1" applyFill="1" applyBorder="1" applyProtection="1"/>
    <xf numFmtId="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2" borderId="25" xfId="0" applyNumberFormat="1" applyFill="1" applyBorder="1" applyProtection="1"/>
    <xf numFmtId="4" fontId="0" fillId="3" borderId="25" xfId="0" applyNumberFormat="1" applyFill="1" applyBorder="1" applyProtection="1"/>
    <xf numFmtId="4" fontId="0" fillId="4" borderId="26" xfId="0" applyNumberFormat="1" applyFill="1" applyBorder="1"/>
    <xf numFmtId="4" fontId="0" fillId="3" borderId="26" xfId="0" applyNumberFormat="1" applyFill="1" applyBorder="1" applyProtection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" fontId="0" fillId="3" borderId="25" xfId="0" applyNumberFormat="1" applyFill="1" applyBorder="1"/>
    <xf numFmtId="49" fontId="0" fillId="3" borderId="26" xfId="0" applyNumberFormat="1" applyFill="1" applyBorder="1" applyAlignment="1">
      <alignment wrapText="1"/>
    </xf>
    <xf numFmtId="4" fontId="0" fillId="3" borderId="2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  <xf numFmtId="0" fontId="2" fillId="0" borderId="0" xfId="0" applyFont="1"/>
    <xf numFmtId="49" fontId="0" fillId="3" borderId="6" xfId="0" applyNumberFormat="1" applyFill="1" applyBorder="1"/>
    <xf numFmtId="4" fontId="0" fillId="5" borderId="6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0FD8-443B-4349-AF19-1A59202938B7}">
  <dimension ref="A1:B27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260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IF(A13="2½W",2.5/dagenperweek1,IF(RIGHT(A13,1)="W",VALUE(LEFT(A13,LEN(A13)-1))/dagenperweek1,IF(RIGHT(A13,1)="J",VALUE(LEFT(A13,LEN(A13)-1))/dagenperjaar1,IF(RIGHT(A13,1)="D",VALUE(LEFT(A13,LEN(A13)-1)),"handmatig!"))))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IF(A14="2½W",2.5/dagenperweek1,IF(RIGHT(A14,1)="W",VALUE(LEFT(A14,LEN(A14)-1))/dagenperweek1,IF(RIGHT(A14,1)="J",VALUE(LEFT(A14,LEN(A14)-1))/dagenperjaar1,IF(RIGHT(A14,1)="D",VALUE(LEFT(A14,LEN(A14)-1)),"handmatig!"))))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IF(A15="2½W",2.5/dagenperweek1,IF(RIGHT(A15,1)="W",VALUE(LEFT(A15,LEN(A15)-1))/dagenperweek1,IF(RIGHT(A15,1)="J",VALUE(LEFT(A15,LEN(A15)-1))/dagenperjaar1,IF(RIGHT(A15,1)="D",VALUE(LEFT(A15,LEN(A15)-1)),"handmatig!"))))</f>
        <v>0.76923076923076927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IF(A16="2½W",2.5/dagenperweek1,IF(RIGHT(A16,1)="W",VALUE(LEFT(A16,LEN(A16)-1))/dagenperweek1,IF(RIGHT(A16,1)="J",VALUE(LEFT(A16,LEN(A16)-1))/dagenperjaar1,IF(RIGHT(A16,1)="D",VALUE(LEFT(A16,LEN(A16)-1)),"handmatig!"))))</f>
        <v>0.6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IF(A17="2½W",2.5/dagenperweek1,IF(RIGHT(A17,1)="W",VALUE(LEFT(A17,LEN(A17)-1))/dagenperweek1,IF(RIGHT(A17,1)="J",VALUE(LEFT(A17,LEN(A17)-1))/dagenperjaar1,IF(RIGHT(A17,1)="D",VALUE(LEFT(A17,LEN(A17)-1)),"handmatig!"))))</f>
        <v>0.4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IF(A18="2½W",2.5/dagenperweek1,IF(RIGHT(A18,1)="W",VALUE(LEFT(A18,LEN(A18)-1))/dagenperweek1,IF(RIGHT(A18,1)="J",VALUE(LEFT(A18,LEN(A18)-1))/dagenperjaar1,IF(RIGHT(A18,1)="D",VALUE(LEFT(A18,LEN(A18)-1)),"handmatig!"))))</f>
        <v>0.2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IF(A19="2½W",2.5/dagenperweek1,IF(RIGHT(A19,1)="W",VALUE(LEFT(A19,LEN(A19)-1))/dagenperweek1,IF(RIGHT(A19,1)="J",VALUE(LEFT(A19,LEN(A19)-1))/dagenperjaar1,IF(RIGHT(A19,1)="D",VALUE(LEFT(A19,LEN(A19)-1)),"handmatig!"))))</f>
        <v>0.15384615384615385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IF(A20="2½W",2.5/dagenperweek1,IF(RIGHT(A20,1)="W",VALUE(LEFT(A20,LEN(A20)-1))/dagenperweek1,IF(RIGHT(A20,1)="J",VALUE(LEFT(A20,LEN(A20)-1))/dagenperjaar1,IF(RIGHT(A20,1)="D",VALUE(LEFT(A20,LEN(A20)-1)),"handmatig!"))))</f>
        <v>0.1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IF(A21="2½W",2.5/dagenperweek1,IF(RIGHT(A21,1)="W",VALUE(LEFT(A21,LEN(A21)-1))/dagenperweek1,IF(RIGHT(A21,1)="J",VALUE(LEFT(A21,LEN(A21)-1))/dagenperjaar1,IF(RIGHT(A21,1)="D",VALUE(LEFT(A21,LEN(A21)-1)),"handmatig!"))))</f>
        <v>4.6153846153846156E-2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IF(A22="2½W",2.5/dagenperweek1,IF(RIGHT(A22,1)="W",VALUE(LEFT(A22,LEN(A22)-1))/dagenperweek1,IF(RIGHT(A22,1)="J",VALUE(LEFT(A22,LEN(A22)-1))/dagenperjaar1,IF(RIGHT(A22,1)="D",VALUE(LEFT(A22,LEN(A22)-1)),"handmatig!"))))</f>
        <v>3.8461538461538464E-2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IF(A23="2½W",2.5/dagenperweek1,IF(RIGHT(A23,1)="W",VALUE(LEFT(A23,LEN(A23)-1))/dagenperweek1,IF(RIGHT(A23,1)="J",VALUE(LEFT(A23,LEN(A23)-1))/dagenperjaar1,IF(RIGHT(A23,1)="D",VALUE(LEFT(A23,LEN(A23)-1)),"handmatig!"))))</f>
        <v>2.3076923076923078E-2</v>
      </c>
    </row>
    <row r="24" spans="1:2" x14ac:dyDescent="0.2">
      <c r="A24" s="2" t="s">
        <v>20</v>
      </c>
      <c r="B24" s="3">
        <f>IF(A24="2½W",2.5/dagenperweek1,IF(RIGHT(A24,1)="W",VALUE(LEFT(A24,LEN(A24)-1))/dagenperweek1,IF(RIGHT(A24,1)="J",VALUE(LEFT(A24,LEN(A24)-1))/dagenperjaar1,IF(RIGHT(A24,1)="D",VALUE(LEFT(A24,LEN(A24)-1)),"handmatig!"))))</f>
        <v>1.5384615384615385E-2</v>
      </c>
    </row>
    <row r="25" spans="1:2" x14ac:dyDescent="0.2">
      <c r="A25" s="2" t="s">
        <v>21</v>
      </c>
      <c r="B25" s="3">
        <f>IF(A25="2½W",2.5/dagenperweek1,IF(RIGHT(A25,1)="W",VALUE(LEFT(A25,LEN(A25)-1))/dagenperweek1,IF(RIGHT(A25,1)="J",VALUE(LEFT(A25,LEN(A25)-1))/dagenperjaar1,IF(RIGHT(A25,1)="D",VALUE(LEFT(A25,LEN(A25)-1)),"handmatig!"))))</f>
        <v>1.1538461538461539E-2</v>
      </c>
    </row>
    <row r="26" spans="1:2" x14ac:dyDescent="0.2">
      <c r="A26" s="2" t="s">
        <v>22</v>
      </c>
      <c r="B26" s="3">
        <f>IF(A26="2½W",2.5/dagenperweek1,IF(RIGHT(A26,1)="W",VALUE(LEFT(A26,LEN(A26)-1))/dagenperweek1,IF(RIGHT(A26,1)="J",VALUE(LEFT(A26,LEN(A26)-1))/dagenperjaar1,IF(RIGHT(A26,1)="D",VALUE(LEFT(A26,LEN(A26)-1)),"handmatig!"))))</f>
        <v>7.6923076923076927E-3</v>
      </c>
    </row>
    <row r="27" spans="1:2" x14ac:dyDescent="0.2">
      <c r="A27" s="6" t="s">
        <v>23</v>
      </c>
      <c r="B27" s="7">
        <f>IF(A27="2½W",2.5/dagenperweek1,IF(RIGHT(A27,1)="W",VALUE(LEFT(A27,LEN(A27)-1))/dagenperweek1,IF(RIGHT(A27,1)="J",VALUE(LEFT(A27,LEN(A27)-1))/dagenperjaar1,IF(RIGHT(A27,1)="D",VALUE(LEFT(A27,LEN(A27)-1)),"handmatig!"))))</f>
        <v>3.8461538461538464E-3</v>
      </c>
    </row>
  </sheetData>
  <sheetProtection algorithmName="SHA-512" hashValue="YtiIFRQwTPu5rtT7Kb1wqFvbXON57AH/vl5N9VvGOttKzOcTRqs5//9ue0At97wq20Fu21QgI8PHqtE6037dYA==" saltValue="1mD6DgjHW+cdn133QMtnSQ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853A-2ECA-4FA7-9573-13FDD86763FA}">
  <dimension ref="A1:E94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F.7: ",tabeltype," afroep incidenteel")</f>
        <v>Bijlage F.7: Invultabel afroep incidenteel</v>
      </c>
    </row>
    <row r="3" spans="1:5" ht="38.25" x14ac:dyDescent="0.2">
      <c r="A3" s="44" t="s">
        <v>677</v>
      </c>
      <c r="B3" s="44" t="s">
        <v>94</v>
      </c>
      <c r="C3" s="44" t="s">
        <v>97</v>
      </c>
      <c r="D3" s="44" t="s">
        <v>688</v>
      </c>
      <c r="E3" s="44" t="s">
        <v>682</v>
      </c>
    </row>
    <row r="4" spans="1:5" x14ac:dyDescent="0.2">
      <c r="A4" s="45"/>
      <c r="B4" s="46"/>
      <c r="C4" s="46"/>
      <c r="D4" s="46"/>
      <c r="E4" s="47"/>
    </row>
    <row r="5" spans="1:5" x14ac:dyDescent="0.2">
      <c r="A5" s="48" t="s">
        <v>99</v>
      </c>
      <c r="B5" s="49"/>
      <c r="C5" s="49"/>
      <c r="D5" s="49"/>
      <c r="E5" s="50"/>
    </row>
    <row r="6" spans="1:5" x14ac:dyDescent="0.2">
      <c r="A6" s="51" t="s">
        <v>689</v>
      </c>
      <c r="B6" s="51" t="s">
        <v>690</v>
      </c>
      <c r="C6" s="51" t="s">
        <v>691</v>
      </c>
      <c r="D6" s="51" t="s">
        <v>692</v>
      </c>
      <c r="E6" s="116"/>
    </row>
    <row r="7" spans="1:5" x14ac:dyDescent="0.2">
      <c r="A7" s="56" t="s">
        <v>693</v>
      </c>
      <c r="B7" s="56" t="s">
        <v>690</v>
      </c>
      <c r="C7" s="56" t="s">
        <v>691</v>
      </c>
      <c r="D7" s="56" t="s">
        <v>694</v>
      </c>
      <c r="E7" s="117"/>
    </row>
    <row r="8" spans="1:5" x14ac:dyDescent="0.2">
      <c r="A8" s="56" t="s">
        <v>695</v>
      </c>
      <c r="B8" s="56" t="s">
        <v>690</v>
      </c>
      <c r="C8" s="56" t="s">
        <v>691</v>
      </c>
      <c r="D8" s="56" t="s">
        <v>696</v>
      </c>
      <c r="E8" s="117"/>
    </row>
    <row r="9" spans="1:5" x14ac:dyDescent="0.2">
      <c r="A9" s="56" t="s">
        <v>697</v>
      </c>
      <c r="B9" s="56" t="s">
        <v>690</v>
      </c>
      <c r="C9" s="56" t="s">
        <v>691</v>
      </c>
      <c r="D9" s="56" t="s">
        <v>698</v>
      </c>
      <c r="E9" s="117"/>
    </row>
    <row r="10" spans="1:5" x14ac:dyDescent="0.2">
      <c r="A10" s="56" t="s">
        <v>699</v>
      </c>
      <c r="B10" s="56" t="s">
        <v>700</v>
      </c>
      <c r="C10" s="56" t="s">
        <v>691</v>
      </c>
      <c r="D10" s="56" t="s">
        <v>692</v>
      </c>
      <c r="E10" s="117"/>
    </row>
    <row r="11" spans="1:5" x14ac:dyDescent="0.2">
      <c r="A11" s="56" t="s">
        <v>701</v>
      </c>
      <c r="B11" s="56" t="s">
        <v>700</v>
      </c>
      <c r="C11" s="56" t="s">
        <v>691</v>
      </c>
      <c r="D11" s="56" t="s">
        <v>694</v>
      </c>
      <c r="E11" s="117"/>
    </row>
    <row r="12" spans="1:5" x14ac:dyDescent="0.2">
      <c r="A12" s="56" t="s">
        <v>702</v>
      </c>
      <c r="B12" s="56" t="s">
        <v>700</v>
      </c>
      <c r="C12" s="56" t="s">
        <v>691</v>
      </c>
      <c r="D12" s="56" t="s">
        <v>696</v>
      </c>
      <c r="E12" s="117"/>
    </row>
    <row r="13" spans="1:5" x14ac:dyDescent="0.2">
      <c r="A13" s="56" t="s">
        <v>703</v>
      </c>
      <c r="B13" s="56" t="s">
        <v>700</v>
      </c>
      <c r="C13" s="56" t="s">
        <v>691</v>
      </c>
      <c r="D13" s="56" t="s">
        <v>698</v>
      </c>
      <c r="E13" s="117"/>
    </row>
    <row r="14" spans="1:5" x14ac:dyDescent="0.2">
      <c r="A14" s="56" t="s">
        <v>704</v>
      </c>
      <c r="B14" s="56" t="s">
        <v>705</v>
      </c>
      <c r="C14" s="56" t="s">
        <v>691</v>
      </c>
      <c r="D14" s="56" t="s">
        <v>692</v>
      </c>
      <c r="E14" s="117"/>
    </row>
    <row r="15" spans="1:5" x14ac:dyDescent="0.2">
      <c r="A15" s="56" t="s">
        <v>706</v>
      </c>
      <c r="B15" s="56" t="s">
        <v>705</v>
      </c>
      <c r="C15" s="56" t="s">
        <v>691</v>
      </c>
      <c r="D15" s="56" t="s">
        <v>694</v>
      </c>
      <c r="E15" s="117"/>
    </row>
    <row r="16" spans="1:5" x14ac:dyDescent="0.2">
      <c r="A16" s="56" t="s">
        <v>707</v>
      </c>
      <c r="B16" s="56" t="s">
        <v>705</v>
      </c>
      <c r="C16" s="56" t="s">
        <v>691</v>
      </c>
      <c r="D16" s="56" t="s">
        <v>696</v>
      </c>
      <c r="E16" s="117"/>
    </row>
    <row r="17" spans="1:5" x14ac:dyDescent="0.2">
      <c r="A17" s="56" t="s">
        <v>708</v>
      </c>
      <c r="B17" s="56" t="s">
        <v>705</v>
      </c>
      <c r="C17" s="56" t="s">
        <v>691</v>
      </c>
      <c r="D17" s="56" t="s">
        <v>698</v>
      </c>
      <c r="E17" s="117"/>
    </row>
    <row r="18" spans="1:5" x14ac:dyDescent="0.2">
      <c r="A18" s="56" t="s">
        <v>709</v>
      </c>
      <c r="B18" s="56" t="s">
        <v>710</v>
      </c>
      <c r="C18" s="56" t="s">
        <v>711</v>
      </c>
      <c r="D18" s="56" t="s">
        <v>712</v>
      </c>
      <c r="E18" s="117"/>
    </row>
    <row r="19" spans="1:5" x14ac:dyDescent="0.2">
      <c r="A19" s="56" t="s">
        <v>713</v>
      </c>
      <c r="B19" s="56" t="s">
        <v>710</v>
      </c>
      <c r="C19" s="56" t="s">
        <v>711</v>
      </c>
      <c r="D19" s="56" t="s">
        <v>714</v>
      </c>
      <c r="E19" s="117"/>
    </row>
    <row r="20" spans="1:5" x14ac:dyDescent="0.2">
      <c r="A20" s="56" t="s">
        <v>715</v>
      </c>
      <c r="B20" s="56" t="s">
        <v>710</v>
      </c>
      <c r="C20" s="56" t="s">
        <v>711</v>
      </c>
      <c r="D20" s="56" t="s">
        <v>716</v>
      </c>
      <c r="E20" s="117"/>
    </row>
    <row r="21" spans="1:5" x14ac:dyDescent="0.2">
      <c r="A21" s="56" t="s">
        <v>717</v>
      </c>
      <c r="B21" s="56" t="s">
        <v>710</v>
      </c>
      <c r="C21" s="56" t="s">
        <v>711</v>
      </c>
      <c r="D21" s="56" t="s">
        <v>718</v>
      </c>
      <c r="E21" s="117"/>
    </row>
    <row r="22" spans="1:5" x14ac:dyDescent="0.2">
      <c r="A22" s="56" t="s">
        <v>719</v>
      </c>
      <c r="B22" s="56" t="s">
        <v>720</v>
      </c>
      <c r="C22" s="56" t="s">
        <v>711</v>
      </c>
      <c r="D22" s="56" t="s">
        <v>712</v>
      </c>
      <c r="E22" s="117"/>
    </row>
    <row r="23" spans="1:5" x14ac:dyDescent="0.2">
      <c r="A23" s="56" t="s">
        <v>721</v>
      </c>
      <c r="B23" s="56" t="s">
        <v>720</v>
      </c>
      <c r="C23" s="56" t="s">
        <v>711</v>
      </c>
      <c r="D23" s="56" t="s">
        <v>714</v>
      </c>
      <c r="E23" s="117"/>
    </row>
    <row r="24" spans="1:5" x14ac:dyDescent="0.2">
      <c r="A24" s="56" t="s">
        <v>722</v>
      </c>
      <c r="B24" s="56" t="s">
        <v>720</v>
      </c>
      <c r="C24" s="56" t="s">
        <v>711</v>
      </c>
      <c r="D24" s="56" t="s">
        <v>716</v>
      </c>
      <c r="E24" s="117"/>
    </row>
    <row r="25" spans="1:5" x14ac:dyDescent="0.2">
      <c r="A25" s="56" t="s">
        <v>723</v>
      </c>
      <c r="B25" s="56" t="s">
        <v>720</v>
      </c>
      <c r="C25" s="56" t="s">
        <v>711</v>
      </c>
      <c r="D25" s="56" t="s">
        <v>718</v>
      </c>
      <c r="E25" s="117"/>
    </row>
    <row r="26" spans="1:5" x14ac:dyDescent="0.2">
      <c r="A26" s="56" t="s">
        <v>724</v>
      </c>
      <c r="B26" s="56" t="s">
        <v>725</v>
      </c>
      <c r="C26" s="56" t="s">
        <v>711</v>
      </c>
      <c r="D26" s="56" t="s">
        <v>712</v>
      </c>
      <c r="E26" s="117"/>
    </row>
    <row r="27" spans="1:5" x14ac:dyDescent="0.2">
      <c r="A27" s="56" t="s">
        <v>726</v>
      </c>
      <c r="B27" s="56" t="s">
        <v>725</v>
      </c>
      <c r="C27" s="56" t="s">
        <v>711</v>
      </c>
      <c r="D27" s="56" t="s">
        <v>714</v>
      </c>
      <c r="E27" s="117"/>
    </row>
    <row r="28" spans="1:5" x14ac:dyDescent="0.2">
      <c r="A28" s="56" t="s">
        <v>727</v>
      </c>
      <c r="B28" s="56" t="s">
        <v>725</v>
      </c>
      <c r="C28" s="56" t="s">
        <v>711</v>
      </c>
      <c r="D28" s="56" t="s">
        <v>716</v>
      </c>
      <c r="E28" s="117"/>
    </row>
    <row r="29" spans="1:5" x14ac:dyDescent="0.2">
      <c r="A29" s="56" t="s">
        <v>728</v>
      </c>
      <c r="B29" s="56" t="s">
        <v>725</v>
      </c>
      <c r="C29" s="56" t="s">
        <v>711</v>
      </c>
      <c r="D29" s="56" t="s">
        <v>718</v>
      </c>
      <c r="E29" s="117"/>
    </row>
    <row r="30" spans="1:5" x14ac:dyDescent="0.2">
      <c r="A30" s="56" t="s">
        <v>729</v>
      </c>
      <c r="B30" s="56" t="s">
        <v>730</v>
      </c>
      <c r="C30" s="56" t="s">
        <v>711</v>
      </c>
      <c r="D30" s="56" t="s">
        <v>712</v>
      </c>
      <c r="E30" s="117"/>
    </row>
    <row r="31" spans="1:5" x14ac:dyDescent="0.2">
      <c r="A31" s="56" t="s">
        <v>731</v>
      </c>
      <c r="B31" s="56" t="s">
        <v>730</v>
      </c>
      <c r="C31" s="56" t="s">
        <v>711</v>
      </c>
      <c r="D31" s="56" t="s">
        <v>714</v>
      </c>
      <c r="E31" s="117"/>
    </row>
    <row r="32" spans="1:5" x14ac:dyDescent="0.2">
      <c r="A32" s="56" t="s">
        <v>732</v>
      </c>
      <c r="B32" s="56" t="s">
        <v>730</v>
      </c>
      <c r="C32" s="56" t="s">
        <v>711</v>
      </c>
      <c r="D32" s="56" t="s">
        <v>716</v>
      </c>
      <c r="E32" s="117"/>
    </row>
    <row r="33" spans="1:5" x14ac:dyDescent="0.2">
      <c r="A33" s="56" t="s">
        <v>733</v>
      </c>
      <c r="B33" s="56" t="s">
        <v>730</v>
      </c>
      <c r="C33" s="56" t="s">
        <v>711</v>
      </c>
      <c r="D33" s="56" t="s">
        <v>718</v>
      </c>
      <c r="E33" s="117"/>
    </row>
    <row r="34" spans="1:5" x14ac:dyDescent="0.2">
      <c r="A34" s="56" t="s">
        <v>734</v>
      </c>
      <c r="B34" s="56" t="s">
        <v>735</v>
      </c>
      <c r="C34" s="56" t="s">
        <v>711</v>
      </c>
      <c r="D34" s="56" t="s">
        <v>712</v>
      </c>
      <c r="E34" s="117"/>
    </row>
    <row r="35" spans="1:5" x14ac:dyDescent="0.2">
      <c r="A35" s="56" t="s">
        <v>736</v>
      </c>
      <c r="B35" s="56" t="s">
        <v>735</v>
      </c>
      <c r="C35" s="56" t="s">
        <v>711</v>
      </c>
      <c r="D35" s="56" t="s">
        <v>714</v>
      </c>
      <c r="E35" s="117"/>
    </row>
    <row r="36" spans="1:5" x14ac:dyDescent="0.2">
      <c r="A36" s="56" t="s">
        <v>737</v>
      </c>
      <c r="B36" s="56" t="s">
        <v>735</v>
      </c>
      <c r="C36" s="56" t="s">
        <v>711</v>
      </c>
      <c r="D36" s="56" t="s">
        <v>716</v>
      </c>
      <c r="E36" s="117"/>
    </row>
    <row r="37" spans="1:5" x14ac:dyDescent="0.2">
      <c r="A37" s="56" t="s">
        <v>738</v>
      </c>
      <c r="B37" s="56" t="s">
        <v>735</v>
      </c>
      <c r="C37" s="56" t="s">
        <v>711</v>
      </c>
      <c r="D37" s="56" t="s">
        <v>718</v>
      </c>
      <c r="E37" s="117"/>
    </row>
    <row r="38" spans="1:5" x14ac:dyDescent="0.2">
      <c r="A38" s="56" t="s">
        <v>739</v>
      </c>
      <c r="B38" s="56" t="s">
        <v>740</v>
      </c>
      <c r="C38" s="56" t="s">
        <v>711</v>
      </c>
      <c r="D38" s="56" t="s">
        <v>712</v>
      </c>
      <c r="E38" s="117"/>
    </row>
    <row r="39" spans="1:5" x14ac:dyDescent="0.2">
      <c r="A39" s="56" t="s">
        <v>741</v>
      </c>
      <c r="B39" s="56" t="s">
        <v>740</v>
      </c>
      <c r="C39" s="56" t="s">
        <v>711</v>
      </c>
      <c r="D39" s="56" t="s">
        <v>714</v>
      </c>
      <c r="E39" s="117"/>
    </row>
    <row r="40" spans="1:5" x14ac:dyDescent="0.2">
      <c r="A40" s="56" t="s">
        <v>742</v>
      </c>
      <c r="B40" s="56" t="s">
        <v>740</v>
      </c>
      <c r="C40" s="56" t="s">
        <v>711</v>
      </c>
      <c r="D40" s="56" t="s">
        <v>716</v>
      </c>
      <c r="E40" s="117"/>
    </row>
    <row r="41" spans="1:5" x14ac:dyDescent="0.2">
      <c r="A41" s="56" t="s">
        <v>743</v>
      </c>
      <c r="B41" s="56" t="s">
        <v>740</v>
      </c>
      <c r="C41" s="56" t="s">
        <v>711</v>
      </c>
      <c r="D41" s="56" t="s">
        <v>718</v>
      </c>
      <c r="E41" s="117"/>
    </row>
    <row r="42" spans="1:5" x14ac:dyDescent="0.2">
      <c r="A42" s="56" t="s">
        <v>744</v>
      </c>
      <c r="B42" s="56" t="s">
        <v>745</v>
      </c>
      <c r="C42" s="56" t="s">
        <v>711</v>
      </c>
      <c r="D42" s="56" t="s">
        <v>712</v>
      </c>
      <c r="E42" s="117"/>
    </row>
    <row r="43" spans="1:5" x14ac:dyDescent="0.2">
      <c r="A43" s="56" t="s">
        <v>746</v>
      </c>
      <c r="B43" s="56" t="s">
        <v>745</v>
      </c>
      <c r="C43" s="56" t="s">
        <v>711</v>
      </c>
      <c r="D43" s="56" t="s">
        <v>714</v>
      </c>
      <c r="E43" s="117"/>
    </row>
    <row r="44" spans="1:5" x14ac:dyDescent="0.2">
      <c r="A44" s="56" t="s">
        <v>747</v>
      </c>
      <c r="B44" s="56" t="s">
        <v>745</v>
      </c>
      <c r="C44" s="56" t="s">
        <v>711</v>
      </c>
      <c r="D44" s="56" t="s">
        <v>716</v>
      </c>
      <c r="E44" s="117"/>
    </row>
    <row r="45" spans="1:5" x14ac:dyDescent="0.2">
      <c r="A45" s="56" t="s">
        <v>748</v>
      </c>
      <c r="B45" s="56" t="s">
        <v>745</v>
      </c>
      <c r="C45" s="56" t="s">
        <v>711</v>
      </c>
      <c r="D45" s="56" t="s">
        <v>718</v>
      </c>
      <c r="E45" s="117"/>
    </row>
    <row r="46" spans="1:5" x14ac:dyDescent="0.2">
      <c r="A46" s="56" t="s">
        <v>749</v>
      </c>
      <c r="B46" s="56" t="s">
        <v>750</v>
      </c>
      <c r="C46" s="56" t="s">
        <v>711</v>
      </c>
      <c r="D46" s="56" t="s">
        <v>37</v>
      </c>
      <c r="E46" s="117"/>
    </row>
    <row r="47" spans="1:5" x14ac:dyDescent="0.2">
      <c r="A47" s="56" t="s">
        <v>751</v>
      </c>
      <c r="B47" s="56" t="s">
        <v>752</v>
      </c>
      <c r="C47" s="56" t="s">
        <v>686</v>
      </c>
      <c r="D47" s="56" t="s">
        <v>37</v>
      </c>
      <c r="E47" s="117"/>
    </row>
    <row r="48" spans="1:5" x14ac:dyDescent="0.2">
      <c r="A48" s="56" t="s">
        <v>753</v>
      </c>
      <c r="B48" s="56" t="s">
        <v>754</v>
      </c>
      <c r="C48" s="56" t="s">
        <v>711</v>
      </c>
      <c r="D48" s="56" t="s">
        <v>755</v>
      </c>
      <c r="E48" s="117"/>
    </row>
    <row r="49" spans="1:5" x14ac:dyDescent="0.2">
      <c r="A49" s="56" t="s">
        <v>756</v>
      </c>
      <c r="B49" s="56" t="s">
        <v>754</v>
      </c>
      <c r="C49" s="56" t="s">
        <v>711</v>
      </c>
      <c r="D49" s="56" t="s">
        <v>757</v>
      </c>
      <c r="E49" s="117"/>
    </row>
    <row r="50" spans="1:5" x14ac:dyDescent="0.2">
      <c r="A50" s="56" t="s">
        <v>758</v>
      </c>
      <c r="B50" s="56" t="s">
        <v>754</v>
      </c>
      <c r="C50" s="56" t="s">
        <v>711</v>
      </c>
      <c r="D50" s="56" t="s">
        <v>759</v>
      </c>
      <c r="E50" s="117"/>
    </row>
    <row r="51" spans="1:5" x14ac:dyDescent="0.2">
      <c r="A51" s="56" t="s">
        <v>760</v>
      </c>
      <c r="B51" s="56" t="s">
        <v>754</v>
      </c>
      <c r="C51" s="56" t="s">
        <v>711</v>
      </c>
      <c r="D51" s="56" t="s">
        <v>761</v>
      </c>
      <c r="E51" s="117"/>
    </row>
    <row r="52" spans="1:5" x14ac:dyDescent="0.2">
      <c r="A52" s="56" t="s">
        <v>762</v>
      </c>
      <c r="B52" s="56" t="s">
        <v>763</v>
      </c>
      <c r="C52" s="56" t="s">
        <v>711</v>
      </c>
      <c r="D52" s="56" t="s">
        <v>755</v>
      </c>
      <c r="E52" s="117"/>
    </row>
    <row r="53" spans="1:5" x14ac:dyDescent="0.2">
      <c r="A53" s="56" t="s">
        <v>764</v>
      </c>
      <c r="B53" s="56" t="s">
        <v>763</v>
      </c>
      <c r="C53" s="56" t="s">
        <v>711</v>
      </c>
      <c r="D53" s="56" t="s">
        <v>757</v>
      </c>
      <c r="E53" s="117"/>
    </row>
    <row r="54" spans="1:5" x14ac:dyDescent="0.2">
      <c r="A54" s="56" t="s">
        <v>765</v>
      </c>
      <c r="B54" s="56" t="s">
        <v>763</v>
      </c>
      <c r="C54" s="56" t="s">
        <v>711</v>
      </c>
      <c r="D54" s="56" t="s">
        <v>759</v>
      </c>
      <c r="E54" s="117"/>
    </row>
    <row r="55" spans="1:5" x14ac:dyDescent="0.2">
      <c r="A55" s="56" t="s">
        <v>766</v>
      </c>
      <c r="B55" s="56" t="s">
        <v>763</v>
      </c>
      <c r="C55" s="56" t="s">
        <v>711</v>
      </c>
      <c r="D55" s="56" t="s">
        <v>761</v>
      </c>
      <c r="E55" s="117"/>
    </row>
    <row r="56" spans="1:5" x14ac:dyDescent="0.2">
      <c r="A56" s="56" t="s">
        <v>767</v>
      </c>
      <c r="B56" s="56" t="s">
        <v>768</v>
      </c>
      <c r="C56" s="56" t="s">
        <v>711</v>
      </c>
      <c r="D56" s="56" t="s">
        <v>755</v>
      </c>
      <c r="E56" s="117"/>
    </row>
    <row r="57" spans="1:5" x14ac:dyDescent="0.2">
      <c r="A57" s="56" t="s">
        <v>769</v>
      </c>
      <c r="B57" s="56" t="s">
        <v>768</v>
      </c>
      <c r="C57" s="56" t="s">
        <v>711</v>
      </c>
      <c r="D57" s="56" t="s">
        <v>757</v>
      </c>
      <c r="E57" s="117"/>
    </row>
    <row r="58" spans="1:5" x14ac:dyDescent="0.2">
      <c r="A58" s="56" t="s">
        <v>770</v>
      </c>
      <c r="B58" s="56" t="s">
        <v>768</v>
      </c>
      <c r="C58" s="56" t="s">
        <v>711</v>
      </c>
      <c r="D58" s="56" t="s">
        <v>759</v>
      </c>
      <c r="E58" s="117"/>
    </row>
    <row r="59" spans="1:5" x14ac:dyDescent="0.2">
      <c r="A59" s="56" t="s">
        <v>771</v>
      </c>
      <c r="B59" s="56" t="s">
        <v>768</v>
      </c>
      <c r="C59" s="56" t="s">
        <v>711</v>
      </c>
      <c r="D59" s="56" t="s">
        <v>761</v>
      </c>
      <c r="E59" s="117"/>
    </row>
    <row r="60" spans="1:5" x14ac:dyDescent="0.2">
      <c r="A60" s="56" t="s">
        <v>772</v>
      </c>
      <c r="B60" s="56" t="s">
        <v>773</v>
      </c>
      <c r="C60" s="56" t="s">
        <v>711</v>
      </c>
      <c r="D60" s="56" t="s">
        <v>755</v>
      </c>
      <c r="E60" s="117"/>
    </row>
    <row r="61" spans="1:5" x14ac:dyDescent="0.2">
      <c r="A61" s="56" t="s">
        <v>774</v>
      </c>
      <c r="B61" s="56" t="s">
        <v>773</v>
      </c>
      <c r="C61" s="56" t="s">
        <v>711</v>
      </c>
      <c r="D61" s="56" t="s">
        <v>757</v>
      </c>
      <c r="E61" s="117"/>
    </row>
    <row r="62" spans="1:5" x14ac:dyDescent="0.2">
      <c r="A62" s="56" t="s">
        <v>775</v>
      </c>
      <c r="B62" s="56" t="s">
        <v>773</v>
      </c>
      <c r="C62" s="56" t="s">
        <v>711</v>
      </c>
      <c r="D62" s="56" t="s">
        <v>759</v>
      </c>
      <c r="E62" s="117"/>
    </row>
    <row r="63" spans="1:5" x14ac:dyDescent="0.2">
      <c r="A63" s="56" t="s">
        <v>776</v>
      </c>
      <c r="B63" s="56" t="s">
        <v>773</v>
      </c>
      <c r="C63" s="56" t="s">
        <v>711</v>
      </c>
      <c r="D63" s="56" t="s">
        <v>761</v>
      </c>
      <c r="E63" s="117"/>
    </row>
    <row r="64" spans="1:5" x14ac:dyDescent="0.2">
      <c r="A64" s="56" t="s">
        <v>777</v>
      </c>
      <c r="B64" s="56" t="s">
        <v>778</v>
      </c>
      <c r="C64" s="56" t="s">
        <v>711</v>
      </c>
      <c r="D64" s="56" t="s">
        <v>755</v>
      </c>
      <c r="E64" s="117"/>
    </row>
    <row r="65" spans="1:5" x14ac:dyDescent="0.2">
      <c r="A65" s="56" t="s">
        <v>779</v>
      </c>
      <c r="B65" s="56" t="s">
        <v>778</v>
      </c>
      <c r="C65" s="56" t="s">
        <v>711</v>
      </c>
      <c r="D65" s="56" t="s">
        <v>757</v>
      </c>
      <c r="E65" s="117"/>
    </row>
    <row r="66" spans="1:5" x14ac:dyDescent="0.2">
      <c r="A66" s="56" t="s">
        <v>780</v>
      </c>
      <c r="B66" s="56" t="s">
        <v>781</v>
      </c>
      <c r="C66" s="56" t="s">
        <v>711</v>
      </c>
      <c r="D66" s="56" t="s">
        <v>759</v>
      </c>
      <c r="E66" s="117"/>
    </row>
    <row r="67" spans="1:5" x14ac:dyDescent="0.2">
      <c r="A67" s="56" t="s">
        <v>782</v>
      </c>
      <c r="B67" s="56" t="s">
        <v>783</v>
      </c>
      <c r="C67" s="56" t="s">
        <v>711</v>
      </c>
      <c r="D67" s="56" t="s">
        <v>761</v>
      </c>
      <c r="E67" s="117"/>
    </row>
    <row r="68" spans="1:5" x14ac:dyDescent="0.2">
      <c r="A68" s="56" t="s">
        <v>784</v>
      </c>
      <c r="B68" s="56" t="s">
        <v>785</v>
      </c>
      <c r="C68" s="56" t="s">
        <v>711</v>
      </c>
      <c r="D68" s="56" t="s">
        <v>755</v>
      </c>
      <c r="E68" s="117"/>
    </row>
    <row r="69" spans="1:5" x14ac:dyDescent="0.2">
      <c r="A69" s="56" t="s">
        <v>786</v>
      </c>
      <c r="B69" s="56" t="s">
        <v>785</v>
      </c>
      <c r="C69" s="56" t="s">
        <v>711</v>
      </c>
      <c r="D69" s="56" t="s">
        <v>757</v>
      </c>
      <c r="E69" s="117"/>
    </row>
    <row r="70" spans="1:5" x14ac:dyDescent="0.2">
      <c r="A70" s="56" t="s">
        <v>787</v>
      </c>
      <c r="B70" s="56" t="s">
        <v>785</v>
      </c>
      <c r="C70" s="56" t="s">
        <v>711</v>
      </c>
      <c r="D70" s="56" t="s">
        <v>759</v>
      </c>
      <c r="E70" s="117"/>
    </row>
    <row r="71" spans="1:5" x14ac:dyDescent="0.2">
      <c r="A71" s="56" t="s">
        <v>788</v>
      </c>
      <c r="B71" s="56" t="s">
        <v>785</v>
      </c>
      <c r="C71" s="56" t="s">
        <v>711</v>
      </c>
      <c r="D71" s="56" t="s">
        <v>761</v>
      </c>
      <c r="E71" s="117"/>
    </row>
    <row r="72" spans="1:5" x14ac:dyDescent="0.2">
      <c r="A72" s="56" t="s">
        <v>789</v>
      </c>
      <c r="B72" s="56" t="s">
        <v>790</v>
      </c>
      <c r="C72" s="56" t="s">
        <v>711</v>
      </c>
      <c r="D72" s="56" t="s">
        <v>755</v>
      </c>
      <c r="E72" s="117"/>
    </row>
    <row r="73" spans="1:5" x14ac:dyDescent="0.2">
      <c r="A73" s="56" t="s">
        <v>791</v>
      </c>
      <c r="B73" s="56" t="s">
        <v>790</v>
      </c>
      <c r="C73" s="56" t="s">
        <v>711</v>
      </c>
      <c r="D73" s="56" t="s">
        <v>757</v>
      </c>
      <c r="E73" s="117"/>
    </row>
    <row r="74" spans="1:5" x14ac:dyDescent="0.2">
      <c r="A74" s="56" t="s">
        <v>792</v>
      </c>
      <c r="B74" s="56" t="s">
        <v>790</v>
      </c>
      <c r="C74" s="56" t="s">
        <v>711</v>
      </c>
      <c r="D74" s="56" t="s">
        <v>759</v>
      </c>
      <c r="E74" s="117"/>
    </row>
    <row r="75" spans="1:5" x14ac:dyDescent="0.2">
      <c r="A75" s="56" t="s">
        <v>793</v>
      </c>
      <c r="B75" s="56" t="s">
        <v>790</v>
      </c>
      <c r="C75" s="56" t="s">
        <v>711</v>
      </c>
      <c r="D75" s="56" t="s">
        <v>761</v>
      </c>
      <c r="E75" s="117"/>
    </row>
    <row r="76" spans="1:5" x14ac:dyDescent="0.2">
      <c r="A76" s="56" t="s">
        <v>794</v>
      </c>
      <c r="B76" s="56" t="s">
        <v>795</v>
      </c>
      <c r="C76" s="56" t="s">
        <v>711</v>
      </c>
      <c r="D76" s="56" t="s">
        <v>755</v>
      </c>
      <c r="E76" s="117"/>
    </row>
    <row r="77" spans="1:5" x14ac:dyDescent="0.2">
      <c r="A77" s="56" t="s">
        <v>796</v>
      </c>
      <c r="B77" s="56" t="s">
        <v>795</v>
      </c>
      <c r="C77" s="56" t="s">
        <v>711</v>
      </c>
      <c r="D77" s="56" t="s">
        <v>757</v>
      </c>
      <c r="E77" s="117"/>
    </row>
    <row r="78" spans="1:5" x14ac:dyDescent="0.2">
      <c r="A78" s="56" t="s">
        <v>797</v>
      </c>
      <c r="B78" s="56" t="s">
        <v>795</v>
      </c>
      <c r="C78" s="56" t="s">
        <v>711</v>
      </c>
      <c r="D78" s="56" t="s">
        <v>759</v>
      </c>
      <c r="E78" s="117"/>
    </row>
    <row r="79" spans="1:5" x14ac:dyDescent="0.2">
      <c r="A79" s="56" t="s">
        <v>798</v>
      </c>
      <c r="B79" s="56" t="s">
        <v>795</v>
      </c>
      <c r="C79" s="56" t="s">
        <v>711</v>
      </c>
      <c r="D79" s="56" t="s">
        <v>761</v>
      </c>
      <c r="E79" s="117"/>
    </row>
    <row r="80" spans="1:5" x14ac:dyDescent="0.2">
      <c r="A80" s="56" t="s">
        <v>799</v>
      </c>
      <c r="B80" s="56" t="s">
        <v>800</v>
      </c>
      <c r="C80" s="56" t="s">
        <v>711</v>
      </c>
      <c r="D80" s="56" t="s">
        <v>755</v>
      </c>
      <c r="E80" s="117"/>
    </row>
    <row r="81" spans="1:5" x14ac:dyDescent="0.2">
      <c r="A81" s="56" t="s">
        <v>801</v>
      </c>
      <c r="B81" s="56" t="s">
        <v>800</v>
      </c>
      <c r="C81" s="56" t="s">
        <v>711</v>
      </c>
      <c r="D81" s="56" t="s">
        <v>757</v>
      </c>
      <c r="E81" s="117"/>
    </row>
    <row r="82" spans="1:5" x14ac:dyDescent="0.2">
      <c r="A82" s="56" t="s">
        <v>802</v>
      </c>
      <c r="B82" s="56" t="s">
        <v>800</v>
      </c>
      <c r="C82" s="56" t="s">
        <v>711</v>
      </c>
      <c r="D82" s="56" t="s">
        <v>759</v>
      </c>
      <c r="E82" s="117"/>
    </row>
    <row r="83" spans="1:5" x14ac:dyDescent="0.2">
      <c r="A83" s="56" t="s">
        <v>803</v>
      </c>
      <c r="B83" s="56" t="s">
        <v>800</v>
      </c>
      <c r="C83" s="56" t="s">
        <v>711</v>
      </c>
      <c r="D83" s="56" t="s">
        <v>761</v>
      </c>
      <c r="E83" s="117"/>
    </row>
    <row r="84" spans="1:5" x14ac:dyDescent="0.2">
      <c r="A84" s="56" t="s">
        <v>804</v>
      </c>
      <c r="B84" s="56" t="s">
        <v>805</v>
      </c>
      <c r="C84" s="56" t="s">
        <v>711</v>
      </c>
      <c r="D84" s="56" t="s">
        <v>755</v>
      </c>
      <c r="E84" s="117"/>
    </row>
    <row r="85" spans="1:5" x14ac:dyDescent="0.2">
      <c r="A85" s="56" t="s">
        <v>806</v>
      </c>
      <c r="B85" s="56" t="s">
        <v>805</v>
      </c>
      <c r="C85" s="56" t="s">
        <v>711</v>
      </c>
      <c r="D85" s="56" t="s">
        <v>757</v>
      </c>
      <c r="E85" s="117"/>
    </row>
    <row r="86" spans="1:5" x14ac:dyDescent="0.2">
      <c r="A86" s="56" t="s">
        <v>807</v>
      </c>
      <c r="B86" s="56" t="s">
        <v>805</v>
      </c>
      <c r="C86" s="56" t="s">
        <v>711</v>
      </c>
      <c r="D86" s="56" t="s">
        <v>759</v>
      </c>
      <c r="E86" s="117"/>
    </row>
    <row r="87" spans="1:5" x14ac:dyDescent="0.2">
      <c r="A87" s="56" t="s">
        <v>808</v>
      </c>
      <c r="B87" s="56" t="s">
        <v>805</v>
      </c>
      <c r="C87" s="56" t="s">
        <v>711</v>
      </c>
      <c r="D87" s="56" t="s">
        <v>761</v>
      </c>
      <c r="E87" s="117"/>
    </row>
    <row r="88" spans="1:5" x14ac:dyDescent="0.2">
      <c r="A88" s="56" t="s">
        <v>809</v>
      </c>
      <c r="B88" s="56" t="s">
        <v>810</v>
      </c>
      <c r="C88" s="56" t="s">
        <v>691</v>
      </c>
      <c r="D88" s="56" t="s">
        <v>692</v>
      </c>
      <c r="E88" s="117"/>
    </row>
    <row r="89" spans="1:5" x14ac:dyDescent="0.2">
      <c r="A89" s="56" t="s">
        <v>811</v>
      </c>
      <c r="B89" s="56" t="s">
        <v>810</v>
      </c>
      <c r="C89" s="56" t="s">
        <v>691</v>
      </c>
      <c r="D89" s="56" t="s">
        <v>694</v>
      </c>
      <c r="E89" s="117"/>
    </row>
    <row r="90" spans="1:5" x14ac:dyDescent="0.2">
      <c r="A90" s="56" t="s">
        <v>812</v>
      </c>
      <c r="B90" s="56" t="s">
        <v>810</v>
      </c>
      <c r="C90" s="56" t="s">
        <v>691</v>
      </c>
      <c r="D90" s="56" t="s">
        <v>696</v>
      </c>
      <c r="E90" s="117"/>
    </row>
    <row r="91" spans="1:5" x14ac:dyDescent="0.2">
      <c r="A91" s="61" t="s">
        <v>813</v>
      </c>
      <c r="B91" s="61" t="s">
        <v>810</v>
      </c>
      <c r="C91" s="61" t="s">
        <v>691</v>
      </c>
      <c r="D91" s="61" t="s">
        <v>698</v>
      </c>
      <c r="E91" s="118"/>
    </row>
    <row r="92" spans="1:5" x14ac:dyDescent="0.2">
      <c r="A92" s="73" t="s">
        <v>224</v>
      </c>
      <c r="B92" s="74"/>
      <c r="C92" s="74"/>
      <c r="D92" s="74"/>
      <c r="E92" s="119"/>
    </row>
    <row r="94" spans="1:5" x14ac:dyDescent="0.2">
      <c r="A94" s="73" t="s">
        <v>814</v>
      </c>
      <c r="B94" s="74"/>
      <c r="C94" s="74"/>
      <c r="D94" s="74"/>
      <c r="E94" s="119"/>
    </row>
  </sheetData>
  <sheetProtection algorithmName="SHA-512" hashValue="ymU1oVaovYO58IdhOnTbJJaOkNdkGJHadxk+JI7QryTyo2UMik/crDseDytLqS9xZrIvSfI0LoE4hVk31528Yw==" saltValue="aYFwGe24bo9lpqLk8XaMfg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6532-D899-4104-9AC8-39C828A4426C}">
  <dimension ref="A1:L1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F.8: ",tabeltype," regiewerk")</f>
        <v>Bijlage F.8: Invultabel regiewerk</v>
      </c>
    </row>
    <row r="3" spans="1:12" ht="38.25" x14ac:dyDescent="0.2">
      <c r="A3" s="44" t="s">
        <v>677</v>
      </c>
      <c r="B3" s="44" t="s">
        <v>7</v>
      </c>
      <c r="C3" s="44" t="s">
        <v>678</v>
      </c>
      <c r="D3" s="44" t="s">
        <v>94</v>
      </c>
      <c r="E3" s="44" t="s">
        <v>97</v>
      </c>
      <c r="F3" s="44" t="s">
        <v>679</v>
      </c>
      <c r="G3" s="44" t="s">
        <v>680</v>
      </c>
      <c r="H3" s="44" t="s">
        <v>681</v>
      </c>
      <c r="I3" s="44" t="s">
        <v>682</v>
      </c>
      <c r="J3" s="44" t="s">
        <v>683</v>
      </c>
      <c r="K3" s="44" t="s">
        <v>184</v>
      </c>
      <c r="L3" s="44" t="s">
        <v>668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51" t="s">
        <v>815</v>
      </c>
      <c r="B6" s="51" t="s">
        <v>18</v>
      </c>
      <c r="C6" s="52">
        <f>IF(ISBLANK(B6),0,IF(ISERROR(VALUE(B6)),VLOOKUP(B6,dagsoorttabel1,2,FALSE)*dagenperjaar1,VALUE(B6)))</f>
        <v>10</v>
      </c>
      <c r="D6" s="51" t="s">
        <v>816</v>
      </c>
      <c r="E6" s="51" t="s">
        <v>686</v>
      </c>
      <c r="F6" s="120">
        <v>20</v>
      </c>
      <c r="G6" s="121">
        <f>Tariefopbouw2</f>
        <v>0</v>
      </c>
      <c r="H6" s="122"/>
      <c r="I6" s="121">
        <f>G6</f>
        <v>0</v>
      </c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2">
      <c r="A7" s="56" t="s">
        <v>817</v>
      </c>
      <c r="B7" s="56" t="s">
        <v>18</v>
      </c>
      <c r="C7" s="57">
        <f>IF(ISBLANK(B7),0,IF(ISERROR(VALUE(B7)),VLOOKUP(B7,dagsoorttabel1,2,FALSE)*dagenperjaar1,VALUE(B7)))</f>
        <v>10</v>
      </c>
      <c r="D7" s="56" t="s">
        <v>818</v>
      </c>
      <c r="E7" s="56" t="s">
        <v>686</v>
      </c>
      <c r="F7" s="123">
        <v>4</v>
      </c>
      <c r="G7" s="124">
        <f>Tariefopbouw3</f>
        <v>0</v>
      </c>
      <c r="H7" s="125"/>
      <c r="I7" s="124">
        <f>G7</f>
        <v>0</v>
      </c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2">
      <c r="A8" s="56" t="s">
        <v>819</v>
      </c>
      <c r="B8" s="56" t="s">
        <v>20</v>
      </c>
      <c r="C8" s="57">
        <f>IF(ISBLANK(B8),0,IF(ISERROR(VALUE(B8)),VLOOKUP(B8,dagsoorttabel1,2,FALSE)*dagenperjaar1,VALUE(B8)))</f>
        <v>4</v>
      </c>
      <c r="D8" s="56" t="s">
        <v>820</v>
      </c>
      <c r="E8" s="56" t="s">
        <v>686</v>
      </c>
      <c r="F8" s="123">
        <v>30</v>
      </c>
      <c r="G8" s="124">
        <f>Tariefopbouw4</f>
        <v>0</v>
      </c>
      <c r="H8" s="125"/>
      <c r="I8" s="124">
        <f>G8</f>
        <v>0</v>
      </c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2">
      <c r="A9" s="61" t="s">
        <v>821</v>
      </c>
      <c r="B9" s="61" t="s">
        <v>23</v>
      </c>
      <c r="C9" s="62">
        <f>IF(ISBLANK(B9),0,IF(ISERROR(VALUE(B9)),VLOOKUP(B9,dagsoorttabel1,2,FALSE)*dagenperjaar1,VALUE(B9)))</f>
        <v>1</v>
      </c>
      <c r="D9" s="61" t="s">
        <v>822</v>
      </c>
      <c r="E9" s="61" t="s">
        <v>691</v>
      </c>
      <c r="F9" s="126">
        <v>150</v>
      </c>
      <c r="G9" s="118"/>
      <c r="H9" s="127"/>
      <c r="I9" s="118"/>
      <c r="J9" s="65">
        <f>IF(ISBLANK(F9),0,F9)*ROUND(I9,2)</f>
        <v>0</v>
      </c>
      <c r="K9" s="65">
        <f>C9*J9</f>
        <v>0</v>
      </c>
      <c r="L9" s="65">
        <f>K9/12</f>
        <v>0</v>
      </c>
    </row>
    <row r="10" spans="1:12" x14ac:dyDescent="0.2">
      <c r="A10" s="73" t="s">
        <v>224</v>
      </c>
      <c r="B10" s="74"/>
      <c r="C10" s="74"/>
      <c r="D10" s="74"/>
      <c r="E10" s="74"/>
      <c r="F10" s="74"/>
      <c r="G10" s="74"/>
      <c r="H10" s="74"/>
      <c r="I10" s="74"/>
      <c r="J10" s="74"/>
      <c r="K10" s="76">
        <f>SUM(K6:K9)</f>
        <v>0</v>
      </c>
      <c r="L10" s="115">
        <f>K10/12</f>
        <v>0</v>
      </c>
    </row>
    <row r="12" spans="1:12" x14ac:dyDescent="0.2">
      <c r="A12" s="73" t="s">
        <v>823</v>
      </c>
      <c r="B12" s="74"/>
      <c r="C12" s="74"/>
      <c r="D12" s="74"/>
      <c r="E12" s="74"/>
      <c r="F12" s="74"/>
      <c r="G12" s="74"/>
      <c r="H12" s="74"/>
      <c r="I12" s="74"/>
      <c r="J12" s="74"/>
      <c r="K12" s="76">
        <f>prijsjaarregie1</f>
        <v>0</v>
      </c>
      <c r="L12" s="115">
        <f>K12/12</f>
        <v>0</v>
      </c>
    </row>
  </sheetData>
  <sheetProtection algorithmName="SHA-512" hashValue="VTfxKZD/k3mkpHghCg8QR8c1qdsQsGhfMwQ7C6zNHiHbvEYMJfM4YkuK33lXy8mrFdth5rV8Y4lIY4iaNpQFiQ==" saltValue="K0TYOpJcmBP1EhVL+Ga3M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1955-DCB8-4AA6-83E0-8FBADE41FB48}">
  <dimension ref="A1:E15"/>
  <sheetViews>
    <sheetView workbookViewId="0">
      <selection activeCell="C15" sqref="C15"/>
    </sheetView>
  </sheetViews>
  <sheetFormatPr defaultRowHeight="12.75" x14ac:dyDescent="0.2"/>
  <cols>
    <col min="1" max="1" width="30.625" customWidth="1"/>
    <col min="2" max="4" width="20.625" customWidth="1"/>
  </cols>
  <sheetData>
    <row r="1" spans="1:5" x14ac:dyDescent="0.2">
      <c r="A1" s="1" t="str">
        <f>CONCATENATE("Bijlage F.9: ",tabeltype," totaalblad schoonmaakwerk")</f>
        <v>Bijlage F.9: Invultabel totaalblad schoonmaakwerk</v>
      </c>
    </row>
    <row r="3" spans="1:5" ht="25.5" x14ac:dyDescent="0.2">
      <c r="A3" s="44" t="s">
        <v>824</v>
      </c>
      <c r="B3" s="44" t="s">
        <v>825</v>
      </c>
      <c r="C3" s="44" t="s">
        <v>826</v>
      </c>
      <c r="D3" s="44" t="s">
        <v>827</v>
      </c>
    </row>
    <row r="4" spans="1:5" x14ac:dyDescent="0.2">
      <c r="A4" s="128" t="s">
        <v>828</v>
      </c>
      <c r="B4" s="66">
        <f>urenjaartotaaloverzicht</f>
        <v>-2880</v>
      </c>
      <c r="C4" s="55">
        <f>prijsjaartotaaloverzicht</f>
        <v>0</v>
      </c>
      <c r="D4" s="55">
        <f>C4*1.21</f>
        <v>0</v>
      </c>
    </row>
    <row r="5" spans="1:5" x14ac:dyDescent="0.2">
      <c r="A5" s="129" t="s">
        <v>829</v>
      </c>
      <c r="B5" s="130"/>
      <c r="C5" s="60">
        <f>prijsjaaradditioneel</f>
        <v>0</v>
      </c>
      <c r="D5" s="60">
        <f>C5*1.21</f>
        <v>0</v>
      </c>
    </row>
    <row r="6" spans="1:5" x14ac:dyDescent="0.2">
      <c r="A6" s="131" t="s">
        <v>830</v>
      </c>
      <c r="B6" s="132"/>
      <c r="C6" s="65">
        <f>prijsjaarregie</f>
        <v>0</v>
      </c>
      <c r="D6" s="65">
        <f>C6*1.21</f>
        <v>0</v>
      </c>
    </row>
    <row r="8" spans="1:5" x14ac:dyDescent="0.2">
      <c r="A8" s="44" t="s">
        <v>831</v>
      </c>
      <c r="B8" s="75">
        <f>SUM(B4:B6)</f>
        <v>-2880</v>
      </c>
      <c r="C8" s="76">
        <f>SUM(C4:C6)</f>
        <v>0</v>
      </c>
      <c r="D8" s="76">
        <f>C8*1.21</f>
        <v>0</v>
      </c>
    </row>
    <row r="11" spans="1:5" x14ac:dyDescent="0.2">
      <c r="A11" s="133" t="s">
        <v>832</v>
      </c>
      <c r="B11" s="105"/>
      <c r="C11" s="134">
        <f>ROUND(SUM(wib_regulier),2)</f>
        <v>0</v>
      </c>
      <c r="D11" s="105"/>
      <c r="E11" s="135" t="str">
        <f>IF(C11&gt;_xlfn.SINGLE(wib_prijs_budget),"ONGELDIG","")</f>
        <v/>
      </c>
    </row>
    <row r="12" spans="1:5" x14ac:dyDescent="0.2">
      <c r="A12" s="136" t="s">
        <v>833</v>
      </c>
      <c r="B12" s="105"/>
      <c r="C12" s="110">
        <v>136275</v>
      </c>
      <c r="D12" s="105"/>
    </row>
    <row r="15" spans="1:5" x14ac:dyDescent="0.2">
      <c r="A15" s="133" t="s">
        <v>834</v>
      </c>
      <c r="B15" s="105"/>
      <c r="C15" s="134">
        <f>ROUND(SUM(vp_additioneel,vp_regie),2)</f>
        <v>0</v>
      </c>
      <c r="D15" s="105"/>
    </row>
  </sheetData>
  <sheetProtection algorithmName="SHA-512" hashValue="qkssRZSN07AX6U2DYnUp1NmZznG2Tsll2hT4bC4fLHWjnrHAwQO2Vrd/yJRNb/KKNZecbZjAUaTdA8FS7RRMdg==" saltValue="eesoopuz3eR7d8Tksmg64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DEA1-D327-484F-9AC5-E9A3C6509E20}">
  <dimension ref="A1:Q61"/>
  <sheetViews>
    <sheetView workbookViewId="0"/>
  </sheetViews>
  <sheetFormatPr defaultRowHeight="12.75" x14ac:dyDescent="0.2"/>
  <cols>
    <col min="1" max="1" width="40.625" customWidth="1"/>
    <col min="2" max="2" width="8.125" customWidth="1"/>
    <col min="3" max="3" width="10.625" customWidth="1"/>
    <col min="4" max="4" width="8.125" customWidth="1"/>
    <col min="5" max="5" width="10.625" customWidth="1"/>
    <col min="6" max="6" width="8.125" customWidth="1"/>
    <col min="7" max="7" width="10.625" customWidth="1"/>
    <col min="8" max="8" width="8.125" customWidth="1"/>
    <col min="9" max="9" width="10.625" customWidth="1"/>
    <col min="10" max="10" width="8.125" customWidth="1"/>
    <col min="11" max="11" width="10.625" customWidth="1"/>
    <col min="12" max="12" width="8.125" customWidth="1"/>
    <col min="13" max="13" width="10.625" customWidth="1"/>
    <col min="14" max="14" width="8.125" customWidth="1"/>
    <col min="15" max="15" width="10.625" customWidth="1"/>
    <col min="16" max="16" width="8.125" customWidth="1"/>
    <col min="17" max="17" width="10.625" customWidth="1"/>
  </cols>
  <sheetData>
    <row r="1" spans="1:17" x14ac:dyDescent="0.2">
      <c r="A1" s="1" t="s">
        <v>24</v>
      </c>
    </row>
    <row r="3" spans="1:17" x14ac:dyDescent="0.2">
      <c r="A3" s="8"/>
      <c r="B3" s="9" t="s">
        <v>25</v>
      </c>
      <c r="C3" s="9"/>
      <c r="D3" s="9" t="s">
        <v>25</v>
      </c>
      <c r="E3" s="9"/>
      <c r="F3" s="9" t="s">
        <v>25</v>
      </c>
      <c r="G3" s="9"/>
      <c r="H3" s="9" t="s">
        <v>25</v>
      </c>
      <c r="I3" s="9"/>
      <c r="J3" s="9" t="s">
        <v>25</v>
      </c>
      <c r="K3" s="9"/>
      <c r="L3" s="9" t="s">
        <v>26</v>
      </c>
      <c r="M3" s="9"/>
      <c r="N3" s="9" t="s">
        <v>26</v>
      </c>
      <c r="O3" s="9"/>
      <c r="P3" s="9" t="s">
        <v>26</v>
      </c>
      <c r="Q3" s="10"/>
    </row>
    <row r="4" spans="1:17" x14ac:dyDescent="0.2">
      <c r="A4" s="11"/>
      <c r="B4" s="12" t="s">
        <v>27</v>
      </c>
      <c r="C4" s="12"/>
      <c r="D4" s="12" t="s">
        <v>27</v>
      </c>
      <c r="E4" s="12"/>
      <c r="F4" s="12" t="s">
        <v>27</v>
      </c>
      <c r="G4" s="12"/>
      <c r="H4" s="12" t="s">
        <v>28</v>
      </c>
      <c r="I4" s="12"/>
      <c r="J4" s="12" t="s">
        <v>28</v>
      </c>
      <c r="K4" s="12"/>
      <c r="L4" s="12" t="s">
        <v>27</v>
      </c>
      <c r="M4" s="12"/>
      <c r="N4" s="12" t="s">
        <v>27</v>
      </c>
      <c r="O4" s="12"/>
      <c r="P4" s="12" t="s">
        <v>28</v>
      </c>
      <c r="Q4" s="13"/>
    </row>
    <row r="5" spans="1:17" ht="25.5" customHeight="1" x14ac:dyDescent="0.2">
      <c r="A5" s="14" t="s">
        <v>29</v>
      </c>
      <c r="B5" s="15" t="s">
        <v>30</v>
      </c>
      <c r="C5" s="15"/>
      <c r="D5" s="15" t="s">
        <v>30</v>
      </c>
      <c r="E5" s="15"/>
      <c r="F5" s="15" t="s">
        <v>31</v>
      </c>
      <c r="G5" s="15"/>
      <c r="H5" s="15" t="s">
        <v>32</v>
      </c>
      <c r="I5" s="15"/>
      <c r="J5" s="15" t="s">
        <v>32</v>
      </c>
      <c r="K5" s="15"/>
      <c r="L5" s="15" t="s">
        <v>33</v>
      </c>
      <c r="M5" s="15"/>
      <c r="N5" s="15" t="s">
        <v>33</v>
      </c>
      <c r="O5" s="15"/>
      <c r="P5" s="15" t="s">
        <v>34</v>
      </c>
      <c r="Q5" s="16"/>
    </row>
    <row r="6" spans="1:17" ht="38.25" customHeight="1" x14ac:dyDescent="0.2">
      <c r="A6" s="17" t="s">
        <v>35</v>
      </c>
      <c r="B6" s="15" t="s">
        <v>36</v>
      </c>
      <c r="C6" s="15"/>
      <c r="D6" s="18" t="s">
        <v>37</v>
      </c>
      <c r="E6" s="18"/>
      <c r="F6" s="15" t="s">
        <v>38</v>
      </c>
      <c r="G6" s="15"/>
      <c r="H6" s="15" t="s">
        <v>38</v>
      </c>
      <c r="I6" s="15"/>
      <c r="J6" s="15" t="s">
        <v>39</v>
      </c>
      <c r="K6" s="15"/>
      <c r="L6" s="18" t="s">
        <v>37</v>
      </c>
      <c r="M6" s="18"/>
      <c r="N6" s="15" t="s">
        <v>40</v>
      </c>
      <c r="O6" s="15"/>
      <c r="P6" s="18" t="s">
        <v>37</v>
      </c>
      <c r="Q6" s="19"/>
    </row>
    <row r="7" spans="1:17" x14ac:dyDescent="0.2">
      <c r="A7" s="20" t="s">
        <v>41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x14ac:dyDescent="0.2">
      <c r="A8" s="20" t="s">
        <v>42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1:17" x14ac:dyDescent="0.2">
      <c r="A9" s="11" t="s">
        <v>43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4"/>
    </row>
    <row r="10" spans="1:17" x14ac:dyDescent="0.2">
      <c r="A10" s="20" t="s">
        <v>44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7">
        <f>TariefOpbouwBasisloon8*P10</f>
        <v>0</v>
      </c>
    </row>
    <row r="11" spans="1:17" x14ac:dyDescent="0.2">
      <c r="A11" s="20" t="s">
        <v>45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7">
        <f>TariefOpbouwBasisloon8*P11</f>
        <v>0</v>
      </c>
    </row>
    <row r="12" spans="1:17" x14ac:dyDescent="0.2">
      <c r="A12" s="11" t="s">
        <v>46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4"/>
    </row>
    <row r="13" spans="1:17" x14ac:dyDescent="0.2">
      <c r="A13" s="20" t="s">
        <v>47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7">
        <f>TariefOpbouwUurloon8*P13</f>
        <v>0</v>
      </c>
    </row>
    <row r="14" spans="1:17" x14ac:dyDescent="0.2">
      <c r="A14" s="11" t="s">
        <v>48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4"/>
    </row>
    <row r="15" spans="1:17" x14ac:dyDescent="0.2">
      <c r="A15" s="20" t="s">
        <v>49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7">
        <f>TariefOpbouwUurloonkosten8*P15</f>
        <v>0</v>
      </c>
    </row>
    <row r="16" spans="1:17" x14ac:dyDescent="0.2">
      <c r="A16" s="20" t="s">
        <v>50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7">
        <f>TariefOpbouwUurloonkosten8*P16</f>
        <v>0</v>
      </c>
    </row>
    <row r="17" spans="1:17" x14ac:dyDescent="0.2">
      <c r="A17" s="20" t="s">
        <v>51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7">
        <f>TariefOpbouwUurloonkosten8*P17</f>
        <v>0</v>
      </c>
    </row>
    <row r="18" spans="1:17" x14ac:dyDescent="0.2">
      <c r="A18" s="20" t="s">
        <v>52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7">
        <f>TariefOpbouwUurloonkosten8*P18</f>
        <v>0</v>
      </c>
    </row>
    <row r="19" spans="1:17" x14ac:dyDescent="0.2">
      <c r="A19" s="11" t="s">
        <v>53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4"/>
    </row>
    <row r="20" spans="1:17" x14ac:dyDescent="0.2">
      <c r="A20" s="20" t="s">
        <v>54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7">
        <f>TariefOpbouwTotaalLoonkosten8*P20</f>
        <v>0</v>
      </c>
    </row>
    <row r="21" spans="1:17" x14ac:dyDescent="0.2">
      <c r="A21" s="20" t="s">
        <v>55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7">
        <f>TariefOpbouwTotaalLoonkosten8*P21</f>
        <v>0</v>
      </c>
    </row>
    <row r="22" spans="1:17" x14ac:dyDescent="0.2">
      <c r="A22" s="20" t="s">
        <v>56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7">
        <f>TariefOpbouwTotaalLoonkosten8*P22</f>
        <v>0</v>
      </c>
    </row>
    <row r="23" spans="1:17" x14ac:dyDescent="0.2">
      <c r="A23" s="20" t="s">
        <v>57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7">
        <f>TariefOpbouwTotaalLoonkosten8*P23</f>
        <v>0</v>
      </c>
    </row>
    <row r="24" spans="1:17" x14ac:dyDescent="0.2">
      <c r="A24" s="20" t="s">
        <v>58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7">
        <f>TariefOpbouwTotaalLoonkosten8*P24</f>
        <v>0</v>
      </c>
    </row>
    <row r="25" spans="1:17" x14ac:dyDescent="0.2">
      <c r="A25" s="20" t="s">
        <v>59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7">
        <f>TariefOpbouwTotaalLoonkosten8*P25</f>
        <v>0</v>
      </c>
    </row>
    <row r="26" spans="1:17" x14ac:dyDescent="0.2">
      <c r="A26" s="11" t="s">
        <v>60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4"/>
    </row>
    <row r="27" spans="1:17" x14ac:dyDescent="0.2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x14ac:dyDescent="0.2">
      <c r="A28" s="20" t="s">
        <v>61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7">
        <f>TariefOpbouwDirecteKosten8*P28</f>
        <v>0</v>
      </c>
    </row>
    <row r="29" spans="1:17" x14ac:dyDescent="0.2">
      <c r="A29" s="20" t="s">
        <v>62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7">
        <f>TariefOpbouwDirecteKosten8*P29</f>
        <v>0</v>
      </c>
    </row>
    <row r="30" spans="1:17" x14ac:dyDescent="0.2">
      <c r="A30" s="20" t="s">
        <v>63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7">
        <f>TariefOpbouwDirecteKosten8*P30</f>
        <v>0</v>
      </c>
    </row>
    <row r="31" spans="1:17" x14ac:dyDescent="0.2">
      <c r="A31" s="20" t="s">
        <v>64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7">
        <f>TariefOpbouwDirecteKosten8*P31</f>
        <v>0</v>
      </c>
    </row>
    <row r="32" spans="1:17" x14ac:dyDescent="0.2">
      <c r="A32" s="20" t="s">
        <v>65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7">
        <f>TariefOpbouwDirecteKosten8*P32</f>
        <v>0</v>
      </c>
    </row>
    <row r="33" spans="1:17" x14ac:dyDescent="0.2">
      <c r="A33" s="20" t="s">
        <v>66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7">
        <f>TariefOpbouwDirecteKosten8*P33</f>
        <v>0</v>
      </c>
    </row>
    <row r="34" spans="1:17" x14ac:dyDescent="0.2">
      <c r="A34" s="20" t="s">
        <v>67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7">
        <f>TariefOpbouwDirecteKosten8*P34</f>
        <v>0</v>
      </c>
    </row>
    <row r="35" spans="1:17" x14ac:dyDescent="0.2">
      <c r="A35" s="11" t="s">
        <v>68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4"/>
    </row>
    <row r="36" spans="1:17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x14ac:dyDescent="0.2">
      <c r="A37" s="11" t="s">
        <v>69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7">
        <f>(TariefOpbouwDirecteKosten8+TariefOpbouwIndirecteKosten8)*P37</f>
        <v>0</v>
      </c>
    </row>
    <row r="38" spans="1:17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x14ac:dyDescent="0.2">
      <c r="A39" s="11" t="s">
        <v>70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4"/>
    </row>
    <row r="40" spans="1:17" x14ac:dyDescent="0.2">
      <c r="A40" s="11" t="s">
        <v>71</v>
      </c>
      <c r="B40" s="31" t="s">
        <v>72</v>
      </c>
      <c r="C40" s="31" t="s">
        <v>73</v>
      </c>
      <c r="D40" s="31" t="s">
        <v>72</v>
      </c>
      <c r="E40" s="31" t="s">
        <v>73</v>
      </c>
      <c r="F40" s="31" t="s">
        <v>72</v>
      </c>
      <c r="G40" s="31" t="s">
        <v>73</v>
      </c>
      <c r="H40" s="31" t="s">
        <v>72</v>
      </c>
      <c r="I40" s="31" t="s">
        <v>73</v>
      </c>
      <c r="J40" s="31" t="s">
        <v>72</v>
      </c>
      <c r="K40" s="31" t="s">
        <v>73</v>
      </c>
      <c r="L40" s="31" t="s">
        <v>72</v>
      </c>
      <c r="M40" s="31" t="s">
        <v>73</v>
      </c>
      <c r="N40" s="31" t="s">
        <v>72</v>
      </c>
      <c r="O40" s="31" t="s">
        <v>73</v>
      </c>
      <c r="P40" s="31" t="s">
        <v>72</v>
      </c>
      <c r="Q40" s="32" t="s">
        <v>73</v>
      </c>
    </row>
    <row r="41" spans="1:17" x14ac:dyDescent="0.2">
      <c r="A41" s="11" t="s">
        <v>74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7">
        <f>((1+P41)*TariefOpbouwTotaalLoonkosten8+TariefOpbouwDirecteKosten8-TariefOpbouwTotaalLoonkosten8+TariefOpbouwIndirecteKosten8)*(1+TariefOpbouwRisicoWinstPercentage8)</f>
        <v>0</v>
      </c>
    </row>
    <row r="42" spans="1:17" x14ac:dyDescent="0.2">
      <c r="A42" s="11" t="s">
        <v>75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7">
        <f>((1+P42)*TariefOpbouwTotaalLoonkosten8+TariefOpbouwDirecteKosten8-TariefOpbouwTotaalLoonkosten8+TariefOpbouwIndirecteKosten8)*(1+TariefOpbouwRisicoWinstPercentage8)</f>
        <v>0</v>
      </c>
    </row>
    <row r="43" spans="1:17" x14ac:dyDescent="0.2">
      <c r="A43" s="34" t="s">
        <v>76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7">
        <f>((1+P43)*TariefOpbouwTotaalLoonkosten8+TariefOpbouwDirecteKosten8-TariefOpbouwTotaalLoonkosten8+TariefOpbouwIndirecteKosten8)*(1+TariefOpbouwRisicoWinstPercentage8)</f>
        <v>0</v>
      </c>
    </row>
    <row r="45" spans="1:17" ht="25.5" customHeight="1" x14ac:dyDescent="0.2">
      <c r="A45" s="8" t="s">
        <v>77</v>
      </c>
      <c r="B45" s="38" t="s">
        <v>78</v>
      </c>
      <c r="C45" s="38"/>
      <c r="D45" s="38" t="s">
        <v>79</v>
      </c>
      <c r="E45" s="38"/>
      <c r="F45" s="38" t="s">
        <v>80</v>
      </c>
      <c r="G45" s="39"/>
    </row>
    <row r="46" spans="1:17" x14ac:dyDescent="0.2">
      <c r="A46" s="28"/>
      <c r="B46" s="31" t="s">
        <v>81</v>
      </c>
      <c r="C46" s="31" t="s">
        <v>82</v>
      </c>
      <c r="D46" s="31" t="s">
        <v>81</v>
      </c>
      <c r="E46" s="31" t="s">
        <v>82</v>
      </c>
      <c r="F46" s="31" t="s">
        <v>81</v>
      </c>
      <c r="G46" s="32" t="s">
        <v>82</v>
      </c>
    </row>
    <row r="47" spans="1:17" x14ac:dyDescent="0.2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TariefOpbouwTarief1W</f>
        <v>0</v>
      </c>
      <c r="F47" s="25"/>
      <c r="G47" s="27">
        <f>TariefOpbouwTarief1X</f>
        <v>0</v>
      </c>
    </row>
    <row r="48" spans="1:17" x14ac:dyDescent="0.2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TariefOpbouwTarief2W</f>
        <v>0</v>
      </c>
      <c r="F48" s="25"/>
      <c r="G48" s="27">
        <f>TariefOpbouwTarief2X</f>
        <v>0</v>
      </c>
    </row>
    <row r="49" spans="1:9" x14ac:dyDescent="0.2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TariefOpbouwTarief3W</f>
        <v>0</v>
      </c>
      <c r="F49" s="25"/>
      <c r="G49" s="27">
        <f>TariefOpbouwTarief3X</f>
        <v>0</v>
      </c>
    </row>
    <row r="50" spans="1:9" x14ac:dyDescent="0.2">
      <c r="A50" s="11" t="s">
        <v>83</v>
      </c>
      <c r="B50" s="41" t="str">
        <f>IF(SUM(B47:B49)=1,SUM(B47:B49),"ongeldig")</f>
        <v>ongeldig</v>
      </c>
      <c r="C50" s="26">
        <f>SUMPRODUCT(B47:B49,C47:C49)</f>
        <v>0</v>
      </c>
      <c r="D50" s="41" t="str">
        <f>IF(SUM(D47:D49)=1,SUM(D47:D49),"ongeldig")</f>
        <v>ongeldig</v>
      </c>
      <c r="E50" s="26">
        <f>SUMPRODUCT(D47:D49,E47:E49)</f>
        <v>0</v>
      </c>
      <c r="F50" s="41" t="str">
        <f>IF(SUM(F47:F49)=1,SUM(F47:F49),"ongeldig")</f>
        <v>ongeldig</v>
      </c>
      <c r="G50" s="27">
        <f>SUMPRODUCT(F47:F49,G47:G49)</f>
        <v>0</v>
      </c>
    </row>
    <row r="51" spans="1:9" x14ac:dyDescent="0.2">
      <c r="A51" s="40" t="str">
        <f>TariefOpbouwNaam4&amp;" "&amp;TariefOpbouwErvaring4</f>
        <v>Leiding (niet-meewerkend) voorman/vrouw</v>
      </c>
      <c r="B51" s="25"/>
      <c r="C51" s="26">
        <f>TariefOpbouwTarief4</f>
        <v>0</v>
      </c>
      <c r="D51" s="25"/>
      <c r="E51" s="26">
        <f>TariefOpbouwTarief4W</f>
        <v>0</v>
      </c>
      <c r="F51" s="25"/>
      <c r="G51" s="27">
        <f>TariefOpbouwTarief4X</f>
        <v>0</v>
      </c>
    </row>
    <row r="52" spans="1:9" x14ac:dyDescent="0.2">
      <c r="A52" s="40" t="str">
        <f>TariefOpbouwNaam5&amp;" "&amp;TariefOpbouwErvaring5</f>
        <v>Leiding (niet-meewerkend) objectleider</v>
      </c>
      <c r="B52" s="25"/>
      <c r="C52" s="26">
        <f>TariefOpbouwTarief5</f>
        <v>0</v>
      </c>
      <c r="D52" s="25"/>
      <c r="E52" s="26">
        <f>TariefOpbouwTarief5W</f>
        <v>0</v>
      </c>
      <c r="F52" s="25"/>
      <c r="G52" s="27">
        <f>TariefOpbouwTarief5X</f>
        <v>0</v>
      </c>
    </row>
    <row r="53" spans="1:9" x14ac:dyDescent="0.2">
      <c r="A53" s="34" t="s">
        <v>84</v>
      </c>
      <c r="B53" s="42">
        <f>TariefUitvoering1+IF(SUM(B51:B52)&gt;0,SUMPRODUCT(B51:B52,C51:C52))</f>
        <v>0</v>
      </c>
      <c r="C53" s="42"/>
      <c r="D53" s="42">
        <f>TariefUitvoering6+IF(SUM(D51:D52)&gt;0,SUMPRODUCT(D51:D52,E51:E52))</f>
        <v>0</v>
      </c>
      <c r="E53" s="42"/>
      <c r="F53" s="42">
        <f>TariefUitvoering7+IF(SUM(F51:F52)&gt;0,SUMPRODUCT(F51:F52,G51:G52))</f>
        <v>0</v>
      </c>
      <c r="G53" s="43"/>
    </row>
    <row r="55" spans="1:9" ht="38.25" customHeight="1" x14ac:dyDescent="0.2">
      <c r="A55" s="8" t="s">
        <v>85</v>
      </c>
      <c r="B55" s="38" t="s">
        <v>86</v>
      </c>
      <c r="C55" s="38"/>
      <c r="D55" s="38" t="s">
        <v>87</v>
      </c>
      <c r="E55" s="38"/>
      <c r="F55" s="38" t="s">
        <v>88</v>
      </c>
      <c r="G55" s="38"/>
      <c r="H55" s="38" t="s">
        <v>89</v>
      </c>
      <c r="I55" s="39"/>
    </row>
    <row r="56" spans="1:9" x14ac:dyDescent="0.2">
      <c r="A56" s="28"/>
      <c r="B56" s="31" t="s">
        <v>81</v>
      </c>
      <c r="C56" s="31" t="s">
        <v>82</v>
      </c>
      <c r="D56" s="31" t="s">
        <v>81</v>
      </c>
      <c r="E56" s="31" t="s">
        <v>82</v>
      </c>
      <c r="F56" s="31" t="s">
        <v>81</v>
      </c>
      <c r="G56" s="31" t="s">
        <v>82</v>
      </c>
      <c r="H56" s="31" t="s">
        <v>81</v>
      </c>
      <c r="I56" s="32" t="s">
        <v>82</v>
      </c>
    </row>
    <row r="57" spans="1:9" x14ac:dyDescent="0.2">
      <c r="A57" s="40" t="str">
        <f>TariefOpbouwNaam6&amp;" "&amp;TariefOpbouwErvaring6</f>
        <v xml:space="preserve">Vakvolwassene regie </v>
      </c>
      <c r="B57" s="25"/>
      <c r="C57" s="26">
        <f>TariefOpbouwTarief6</f>
        <v>0</v>
      </c>
      <c r="D57" s="25"/>
      <c r="E57" s="26">
        <f>TariefOpbouwTarief6</f>
        <v>0</v>
      </c>
      <c r="F57" s="25"/>
      <c r="G57" s="26">
        <f>TariefOpbouwTarief6</f>
        <v>0</v>
      </c>
      <c r="H57" s="25"/>
      <c r="I57" s="27">
        <f>TariefOpbouwTarief6</f>
        <v>0</v>
      </c>
    </row>
    <row r="58" spans="1:9" x14ac:dyDescent="0.2">
      <c r="A58" s="40" t="str">
        <f>TariefOpbouwNaam7&amp;" "&amp;TariefOpbouwErvaring7</f>
        <v>Vakvolwassene regie specialist</v>
      </c>
      <c r="B58" s="25"/>
      <c r="C58" s="26">
        <f>TariefOpbouwTarief7</f>
        <v>0</v>
      </c>
      <c r="D58" s="25"/>
      <c r="E58" s="26">
        <f>TariefOpbouwTarief7</f>
        <v>0</v>
      </c>
      <c r="F58" s="25"/>
      <c r="G58" s="26">
        <f>TariefOpbouwTarief7</f>
        <v>0</v>
      </c>
      <c r="H58" s="25"/>
      <c r="I58" s="27">
        <f>TariefOpbouwTarief7</f>
        <v>0</v>
      </c>
    </row>
    <row r="59" spans="1:9" x14ac:dyDescent="0.2">
      <c r="A59" s="11" t="s">
        <v>83</v>
      </c>
      <c r="B59" s="41" t="str">
        <f>IF(SUM(B57:B58)=1,SUM(B57:B58),"ongeldig")</f>
        <v>ongeldig</v>
      </c>
      <c r="C59" s="26">
        <f>SUMPRODUCT(B57:B58,C57:C58)</f>
        <v>0</v>
      </c>
      <c r="D59" s="41" t="str">
        <f>IF(SUM(D57:D58)=1,SUM(D57:D58),"ongeldig")</f>
        <v>ongeldig</v>
      </c>
      <c r="E59" s="26">
        <f>SUMPRODUCT(D57:D58,E57:E58)</f>
        <v>0</v>
      </c>
      <c r="F59" s="41" t="str">
        <f>IF(SUM(F57:F58)=1,SUM(F57:F58),"ongeldig")</f>
        <v>ongeldig</v>
      </c>
      <c r="G59" s="26">
        <f>SUMPRODUCT(F57:F58,G57:G58)</f>
        <v>0</v>
      </c>
      <c r="H59" s="41" t="str">
        <f>IF(SUM(H57:H58)=1,SUM(H57:H58),"ongeldig")</f>
        <v>ongeldig</v>
      </c>
      <c r="I59" s="27">
        <f>SUMPRODUCT(H57:H58,I57:I58)</f>
        <v>0</v>
      </c>
    </row>
    <row r="60" spans="1:9" x14ac:dyDescent="0.2">
      <c r="A60" s="40" t="str">
        <f>TariefOpbouwNaam8&amp;" "&amp;TariefOpbouwErvaring8</f>
        <v xml:space="preserve">Leiding regie </v>
      </c>
      <c r="B60" s="25"/>
      <c r="C60" s="26">
        <f>TariefOpbouwTarief8</f>
        <v>0</v>
      </c>
      <c r="D60" s="25"/>
      <c r="E60" s="26">
        <f>TariefOpbouwTarief8</f>
        <v>0</v>
      </c>
      <c r="F60" s="25"/>
      <c r="G60" s="26">
        <f>TariefOpbouwTarief8</f>
        <v>0</v>
      </c>
      <c r="H60" s="25"/>
      <c r="I60" s="27">
        <f>TariefOpbouwTarief8</f>
        <v>0</v>
      </c>
    </row>
    <row r="61" spans="1:9" x14ac:dyDescent="0.2">
      <c r="A61" s="34" t="s">
        <v>90</v>
      </c>
      <c r="B61" s="42">
        <f>TariefUitvoering2+IF(SUM(B60:B60)&gt;0,SUMPRODUCT(B60:B60,C60:C60))</f>
        <v>0</v>
      </c>
      <c r="C61" s="42"/>
      <c r="D61" s="42">
        <f>TariefUitvoering3+IF(SUM(D60:D60)&gt;0,SUMPRODUCT(D60:D60,E60:E60))</f>
        <v>0</v>
      </c>
      <c r="E61" s="42"/>
      <c r="F61" s="42">
        <f>TariefUitvoering4+IF(SUM(F60:F60)&gt;0,SUMPRODUCT(F60:F60,G60:G60))</f>
        <v>0</v>
      </c>
      <c r="G61" s="42"/>
      <c r="H61" s="42">
        <f>TariefUitvoering5+IF(SUM(H60:H60)&gt;0,SUMPRODUCT(H60:H60,I60:I60))</f>
        <v>0</v>
      </c>
      <c r="I61" s="43"/>
    </row>
  </sheetData>
  <sheetProtection algorithmName="SHA-512" hashValue="pe4lIxOLLokJAykHOLLgNI7ZOXgmN1MGsUka/COndgPbf3qziPLLIkSh9lFaETS8vCF9OqaWl4ZYssdJajdDOA==" saltValue="CvJcN8YnvOFZeQ0JjzE7+g==" spinCount="100000" sheet="1" objects="1" scenarios="1" autoFilter="0"/>
  <mergeCells count="118">
    <mergeCell ref="B55:C55"/>
    <mergeCell ref="D55:E55"/>
    <mergeCell ref="F55:G55"/>
    <mergeCell ref="H55:I55"/>
    <mergeCell ref="B61:C61"/>
    <mergeCell ref="D61:E61"/>
    <mergeCell ref="F61:G61"/>
    <mergeCell ref="H61:I61"/>
    <mergeCell ref="N39:O39"/>
    <mergeCell ref="P39:Q39"/>
    <mergeCell ref="B45:C45"/>
    <mergeCell ref="D45:E45"/>
    <mergeCell ref="F45:G45"/>
    <mergeCell ref="B53:C53"/>
    <mergeCell ref="D53:E53"/>
    <mergeCell ref="F53:G53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6912-E1B1-44F3-87A4-B9C3D1E5F8C5}">
  <dimension ref="A1:H41"/>
  <sheetViews>
    <sheetView workbookViewId="0">
      <selection activeCell="K13" sqref="K13"/>
    </sheetView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F.1: ",tabeltype," categorienormen")</f>
        <v>Bijlage F.1: Invultabel categorienormen</v>
      </c>
    </row>
    <row r="3" spans="1:8" ht="38.25" x14ac:dyDescent="0.2">
      <c r="A3" s="44" t="s">
        <v>91</v>
      </c>
      <c r="B3" s="44" t="s">
        <v>92</v>
      </c>
      <c r="C3" s="44" t="s">
        <v>93</v>
      </c>
      <c r="D3" s="44" t="s">
        <v>94</v>
      </c>
      <c r="E3" s="44" t="s">
        <v>95</v>
      </c>
      <c r="F3" s="44" t="s">
        <v>96</v>
      </c>
      <c r="G3" s="44" t="s">
        <v>97</v>
      </c>
      <c r="H3" s="44" t="s">
        <v>98</v>
      </c>
    </row>
    <row r="4" spans="1:8" x14ac:dyDescent="0.2">
      <c r="A4" s="45"/>
      <c r="B4" s="46"/>
      <c r="C4" s="46"/>
      <c r="D4" s="46"/>
      <c r="E4" s="46"/>
      <c r="F4" s="46"/>
      <c r="G4" s="46"/>
      <c r="H4" s="47"/>
    </row>
    <row r="5" spans="1:8" x14ac:dyDescent="0.2">
      <c r="A5" s="48" t="s">
        <v>99</v>
      </c>
      <c r="B5" s="49"/>
      <c r="C5" s="49"/>
      <c r="D5" s="49"/>
      <c r="E5" s="49"/>
      <c r="F5" s="49"/>
      <c r="G5" s="49"/>
      <c r="H5" s="50"/>
    </row>
    <row r="6" spans="1:8" x14ac:dyDescent="0.2">
      <c r="A6" s="51" t="s">
        <v>100</v>
      </c>
      <c r="B6" s="52" t="s">
        <v>101</v>
      </c>
      <c r="C6" s="51">
        <v>1</v>
      </c>
      <c r="D6" s="51" t="s">
        <v>102</v>
      </c>
      <c r="E6" s="53"/>
      <c r="F6" s="54"/>
      <c r="G6" s="51" t="s">
        <v>103</v>
      </c>
      <c r="H6" s="55">
        <f>Tariefopbouw1</f>
        <v>0</v>
      </c>
    </row>
    <row r="7" spans="1:8" x14ac:dyDescent="0.2">
      <c r="A7" s="56" t="s">
        <v>104</v>
      </c>
      <c r="B7" s="57" t="s">
        <v>101</v>
      </c>
      <c r="C7" s="56">
        <v>40</v>
      </c>
      <c r="D7" s="56" t="s">
        <v>105</v>
      </c>
      <c r="E7" s="58"/>
      <c r="F7" s="59"/>
      <c r="G7" s="56" t="s">
        <v>103</v>
      </c>
      <c r="H7" s="60">
        <f>Tariefopbouw1</f>
        <v>0</v>
      </c>
    </row>
    <row r="8" spans="1:8" x14ac:dyDescent="0.2">
      <c r="A8" s="56" t="s">
        <v>106</v>
      </c>
      <c r="B8" s="57" t="s">
        <v>101</v>
      </c>
      <c r="C8" s="56">
        <v>1</v>
      </c>
      <c r="D8" s="56" t="s">
        <v>107</v>
      </c>
      <c r="E8" s="58"/>
      <c r="F8" s="59"/>
      <c r="G8" s="56" t="s">
        <v>103</v>
      </c>
      <c r="H8" s="60">
        <f>Tariefopbouw1</f>
        <v>0</v>
      </c>
    </row>
    <row r="9" spans="1:8" x14ac:dyDescent="0.2">
      <c r="A9" s="56" t="s">
        <v>108</v>
      </c>
      <c r="B9" s="57" t="s">
        <v>101</v>
      </c>
      <c r="C9" s="56">
        <v>40</v>
      </c>
      <c r="D9" s="56" t="s">
        <v>109</v>
      </c>
      <c r="E9" s="58"/>
      <c r="F9" s="59"/>
      <c r="G9" s="56" t="s">
        <v>103</v>
      </c>
      <c r="H9" s="60">
        <f>Tariefopbouw1</f>
        <v>0</v>
      </c>
    </row>
    <row r="10" spans="1:8" x14ac:dyDescent="0.2">
      <c r="A10" s="56" t="s">
        <v>110</v>
      </c>
      <c r="B10" s="57" t="s">
        <v>101</v>
      </c>
      <c r="C10" s="56">
        <v>1</v>
      </c>
      <c r="D10" s="56" t="s">
        <v>111</v>
      </c>
      <c r="E10" s="58"/>
      <c r="F10" s="59"/>
      <c r="G10" s="56" t="s">
        <v>103</v>
      </c>
      <c r="H10" s="60">
        <f>Tariefopbouw1</f>
        <v>0</v>
      </c>
    </row>
    <row r="11" spans="1:8" x14ac:dyDescent="0.2">
      <c r="A11" s="56" t="s">
        <v>112</v>
      </c>
      <c r="B11" s="57" t="s">
        <v>101</v>
      </c>
      <c r="C11" s="56">
        <v>40</v>
      </c>
      <c r="D11" s="56" t="s">
        <v>113</v>
      </c>
      <c r="E11" s="58"/>
      <c r="F11" s="59"/>
      <c r="G11" s="56" t="s">
        <v>103</v>
      </c>
      <c r="H11" s="60">
        <f>Tariefopbouw1</f>
        <v>0</v>
      </c>
    </row>
    <row r="12" spans="1:8" x14ac:dyDescent="0.2">
      <c r="A12" s="56" t="s">
        <v>114</v>
      </c>
      <c r="B12" s="57" t="s">
        <v>101</v>
      </c>
      <c r="C12" s="56">
        <v>1</v>
      </c>
      <c r="D12" s="56" t="s">
        <v>115</v>
      </c>
      <c r="E12" s="58"/>
      <c r="F12" s="59"/>
      <c r="G12" s="56" t="s">
        <v>103</v>
      </c>
      <c r="H12" s="60">
        <f>Tariefopbouw1</f>
        <v>0</v>
      </c>
    </row>
    <row r="13" spans="1:8" x14ac:dyDescent="0.2">
      <c r="A13" s="56" t="s">
        <v>116</v>
      </c>
      <c r="B13" s="57" t="s">
        <v>101</v>
      </c>
      <c r="C13" s="56">
        <v>40</v>
      </c>
      <c r="D13" s="56" t="s">
        <v>117</v>
      </c>
      <c r="E13" s="58"/>
      <c r="F13" s="59"/>
      <c r="G13" s="56" t="s">
        <v>103</v>
      </c>
      <c r="H13" s="60">
        <f>Tariefopbouw1</f>
        <v>0</v>
      </c>
    </row>
    <row r="14" spans="1:8" x14ac:dyDescent="0.2">
      <c r="A14" s="56" t="s">
        <v>118</v>
      </c>
      <c r="B14" s="57" t="s">
        <v>101</v>
      </c>
      <c r="C14" s="56">
        <v>1</v>
      </c>
      <c r="D14" s="56" t="s">
        <v>119</v>
      </c>
      <c r="E14" s="58"/>
      <c r="F14" s="59"/>
      <c r="G14" s="56" t="s">
        <v>103</v>
      </c>
      <c r="H14" s="60">
        <f>Tariefopbouw1</f>
        <v>0</v>
      </c>
    </row>
    <row r="15" spans="1:8" x14ac:dyDescent="0.2">
      <c r="A15" s="56" t="s">
        <v>120</v>
      </c>
      <c r="B15" s="57" t="s">
        <v>101</v>
      </c>
      <c r="C15" s="56">
        <v>40</v>
      </c>
      <c r="D15" s="56" t="s">
        <v>121</v>
      </c>
      <c r="E15" s="58"/>
      <c r="F15" s="59"/>
      <c r="G15" s="56" t="s">
        <v>103</v>
      </c>
      <c r="H15" s="60">
        <f>Tariefopbouw1</f>
        <v>0</v>
      </c>
    </row>
    <row r="16" spans="1:8" x14ac:dyDescent="0.2">
      <c r="A16" s="56" t="s">
        <v>122</v>
      </c>
      <c r="B16" s="57" t="s">
        <v>101</v>
      </c>
      <c r="C16" s="56">
        <v>1</v>
      </c>
      <c r="D16" s="56" t="s">
        <v>123</v>
      </c>
      <c r="E16" s="58"/>
      <c r="F16" s="59"/>
      <c r="G16" s="56" t="s">
        <v>103</v>
      </c>
      <c r="H16" s="60">
        <f>Tariefopbouw1</f>
        <v>0</v>
      </c>
    </row>
    <row r="17" spans="1:8" x14ac:dyDescent="0.2">
      <c r="A17" s="56" t="s">
        <v>124</v>
      </c>
      <c r="B17" s="57" t="s">
        <v>101</v>
      </c>
      <c r="C17" s="56">
        <v>40</v>
      </c>
      <c r="D17" s="56" t="s">
        <v>125</v>
      </c>
      <c r="E17" s="58"/>
      <c r="F17" s="59"/>
      <c r="G17" s="56" t="s">
        <v>103</v>
      </c>
      <c r="H17" s="60">
        <f>Tariefopbouw1</f>
        <v>0</v>
      </c>
    </row>
    <row r="18" spans="1:8" x14ac:dyDescent="0.2">
      <c r="A18" s="56" t="s">
        <v>126</v>
      </c>
      <c r="B18" s="57" t="s">
        <v>127</v>
      </c>
      <c r="C18" s="56">
        <v>1</v>
      </c>
      <c r="D18" s="56" t="s">
        <v>128</v>
      </c>
      <c r="E18" s="58"/>
      <c r="F18" s="59"/>
      <c r="G18" s="56" t="s">
        <v>103</v>
      </c>
      <c r="H18" s="60">
        <f>Tariefopbouw1</f>
        <v>0</v>
      </c>
    </row>
    <row r="19" spans="1:8" x14ac:dyDescent="0.2">
      <c r="A19" s="56" t="s">
        <v>129</v>
      </c>
      <c r="B19" s="57" t="s">
        <v>127</v>
      </c>
      <c r="C19" s="56">
        <v>40</v>
      </c>
      <c r="D19" s="56" t="s">
        <v>130</v>
      </c>
      <c r="E19" s="58"/>
      <c r="F19" s="59"/>
      <c r="G19" s="56" t="s">
        <v>103</v>
      </c>
      <c r="H19" s="60">
        <f>Tariefopbouw1</f>
        <v>0</v>
      </c>
    </row>
    <row r="20" spans="1:8" x14ac:dyDescent="0.2">
      <c r="A20" s="56" t="s">
        <v>131</v>
      </c>
      <c r="B20" s="57" t="s">
        <v>132</v>
      </c>
      <c r="C20" s="56">
        <v>1</v>
      </c>
      <c r="D20" s="56" t="s">
        <v>133</v>
      </c>
      <c r="E20" s="58"/>
      <c r="F20" s="59"/>
      <c r="G20" s="56" t="s">
        <v>103</v>
      </c>
      <c r="H20" s="60">
        <f>Tariefopbouw1</f>
        <v>0</v>
      </c>
    </row>
    <row r="21" spans="1:8" x14ac:dyDescent="0.2">
      <c r="A21" s="56" t="s">
        <v>134</v>
      </c>
      <c r="B21" s="57" t="s">
        <v>132</v>
      </c>
      <c r="C21" s="56">
        <v>40</v>
      </c>
      <c r="D21" s="56" t="s">
        <v>135</v>
      </c>
      <c r="E21" s="58"/>
      <c r="F21" s="59"/>
      <c r="G21" s="56" t="s">
        <v>103</v>
      </c>
      <c r="H21" s="60">
        <f>Tariefopbouw1</f>
        <v>0</v>
      </c>
    </row>
    <row r="22" spans="1:8" x14ac:dyDescent="0.2">
      <c r="A22" s="56" t="s">
        <v>136</v>
      </c>
      <c r="B22" s="57" t="s">
        <v>132</v>
      </c>
      <c r="C22" s="56">
        <v>1</v>
      </c>
      <c r="D22" s="56" t="s">
        <v>137</v>
      </c>
      <c r="E22" s="58"/>
      <c r="F22" s="59"/>
      <c r="G22" s="56" t="s">
        <v>103</v>
      </c>
      <c r="H22" s="60">
        <f>Tariefopbouw1</f>
        <v>0</v>
      </c>
    </row>
    <row r="23" spans="1:8" x14ac:dyDescent="0.2">
      <c r="A23" s="56" t="s">
        <v>138</v>
      </c>
      <c r="B23" s="57" t="s">
        <v>132</v>
      </c>
      <c r="C23" s="56">
        <v>40</v>
      </c>
      <c r="D23" s="56" t="s">
        <v>139</v>
      </c>
      <c r="E23" s="58"/>
      <c r="F23" s="59"/>
      <c r="G23" s="56" t="s">
        <v>103</v>
      </c>
      <c r="H23" s="60">
        <f>Tariefopbouw1</f>
        <v>0</v>
      </c>
    </row>
    <row r="24" spans="1:8" x14ac:dyDescent="0.2">
      <c r="A24" s="56" t="s">
        <v>140</v>
      </c>
      <c r="B24" s="57" t="s">
        <v>132</v>
      </c>
      <c r="C24" s="56">
        <v>1</v>
      </c>
      <c r="D24" s="56" t="s">
        <v>141</v>
      </c>
      <c r="E24" s="58"/>
      <c r="F24" s="59"/>
      <c r="G24" s="56" t="s">
        <v>103</v>
      </c>
      <c r="H24" s="60">
        <f>Tariefopbouw1</f>
        <v>0</v>
      </c>
    </row>
    <row r="25" spans="1:8" x14ac:dyDescent="0.2">
      <c r="A25" s="56" t="s">
        <v>142</v>
      </c>
      <c r="B25" s="57" t="s">
        <v>132</v>
      </c>
      <c r="C25" s="56">
        <v>40</v>
      </c>
      <c r="D25" s="56" t="s">
        <v>143</v>
      </c>
      <c r="E25" s="58"/>
      <c r="F25" s="59"/>
      <c r="G25" s="56" t="s">
        <v>103</v>
      </c>
      <c r="H25" s="60">
        <f>Tariefopbouw1</f>
        <v>0</v>
      </c>
    </row>
    <row r="26" spans="1:8" x14ac:dyDescent="0.2">
      <c r="A26" s="56" t="s">
        <v>144</v>
      </c>
      <c r="B26" s="57" t="s">
        <v>145</v>
      </c>
      <c r="C26" s="56">
        <v>1</v>
      </c>
      <c r="D26" s="56" t="s">
        <v>146</v>
      </c>
      <c r="E26" s="58"/>
      <c r="F26" s="59"/>
      <c r="G26" s="56" t="s">
        <v>103</v>
      </c>
      <c r="H26" s="60">
        <f>Tariefopbouw1</f>
        <v>0</v>
      </c>
    </row>
    <row r="27" spans="1:8" x14ac:dyDescent="0.2">
      <c r="A27" s="56" t="s">
        <v>147</v>
      </c>
      <c r="B27" s="57" t="s">
        <v>145</v>
      </c>
      <c r="C27" s="56">
        <v>40</v>
      </c>
      <c r="D27" s="56" t="s">
        <v>148</v>
      </c>
      <c r="E27" s="58"/>
      <c r="F27" s="59"/>
      <c r="G27" s="56" t="s">
        <v>103</v>
      </c>
      <c r="H27" s="60">
        <f>Tariefopbouw1</f>
        <v>0</v>
      </c>
    </row>
    <row r="28" spans="1:8" x14ac:dyDescent="0.2">
      <c r="A28" s="56" t="s">
        <v>149</v>
      </c>
      <c r="B28" s="57" t="s">
        <v>145</v>
      </c>
      <c r="C28" s="56">
        <v>1</v>
      </c>
      <c r="D28" s="56" t="s">
        <v>150</v>
      </c>
      <c r="E28" s="58"/>
      <c r="F28" s="59"/>
      <c r="G28" s="56" t="s">
        <v>103</v>
      </c>
      <c r="H28" s="60">
        <f>Tariefopbouw1</f>
        <v>0</v>
      </c>
    </row>
    <row r="29" spans="1:8" x14ac:dyDescent="0.2">
      <c r="A29" s="56" t="s">
        <v>151</v>
      </c>
      <c r="B29" s="57" t="s">
        <v>145</v>
      </c>
      <c r="C29" s="56">
        <v>40</v>
      </c>
      <c r="D29" s="56" t="s">
        <v>152</v>
      </c>
      <c r="E29" s="58"/>
      <c r="F29" s="59"/>
      <c r="G29" s="56" t="s">
        <v>103</v>
      </c>
      <c r="H29" s="60">
        <f>Tariefopbouw1</f>
        <v>0</v>
      </c>
    </row>
    <row r="30" spans="1:8" x14ac:dyDescent="0.2">
      <c r="A30" s="56" t="s">
        <v>153</v>
      </c>
      <c r="B30" s="57" t="s">
        <v>145</v>
      </c>
      <c r="C30" s="56">
        <v>1</v>
      </c>
      <c r="D30" s="56" t="s">
        <v>154</v>
      </c>
      <c r="E30" s="58"/>
      <c r="F30" s="59"/>
      <c r="G30" s="56" t="s">
        <v>103</v>
      </c>
      <c r="H30" s="60">
        <f>Tariefopbouw1</f>
        <v>0</v>
      </c>
    </row>
    <row r="31" spans="1:8" x14ac:dyDescent="0.2">
      <c r="A31" s="56" t="s">
        <v>155</v>
      </c>
      <c r="B31" s="57" t="s">
        <v>145</v>
      </c>
      <c r="C31" s="56">
        <v>40</v>
      </c>
      <c r="D31" s="56" t="s">
        <v>156</v>
      </c>
      <c r="E31" s="58"/>
      <c r="F31" s="59"/>
      <c r="G31" s="56" t="s">
        <v>103</v>
      </c>
      <c r="H31" s="60">
        <f>Tariefopbouw1</f>
        <v>0</v>
      </c>
    </row>
    <row r="32" spans="1:8" x14ac:dyDescent="0.2">
      <c r="A32" s="56" t="s">
        <v>157</v>
      </c>
      <c r="B32" s="57" t="s">
        <v>145</v>
      </c>
      <c r="C32" s="56">
        <v>1</v>
      </c>
      <c r="D32" s="56" t="s">
        <v>158</v>
      </c>
      <c r="E32" s="58"/>
      <c r="F32" s="59"/>
      <c r="G32" s="56" t="s">
        <v>103</v>
      </c>
      <c r="H32" s="60">
        <f>Tariefopbouw1</f>
        <v>0</v>
      </c>
    </row>
    <row r="33" spans="1:8" x14ac:dyDescent="0.2">
      <c r="A33" s="56" t="s">
        <v>159</v>
      </c>
      <c r="B33" s="57" t="s">
        <v>145</v>
      </c>
      <c r="C33" s="56">
        <v>40</v>
      </c>
      <c r="D33" s="56" t="s">
        <v>160</v>
      </c>
      <c r="E33" s="58"/>
      <c r="F33" s="59"/>
      <c r="G33" s="56" t="s">
        <v>103</v>
      </c>
      <c r="H33" s="60">
        <f>Tariefopbouw1</f>
        <v>0</v>
      </c>
    </row>
    <row r="34" spans="1:8" x14ac:dyDescent="0.2">
      <c r="A34" s="56" t="s">
        <v>161</v>
      </c>
      <c r="B34" s="57" t="s">
        <v>145</v>
      </c>
      <c r="C34" s="56">
        <v>1</v>
      </c>
      <c r="D34" s="56" t="s">
        <v>162</v>
      </c>
      <c r="E34" s="58"/>
      <c r="F34" s="59"/>
      <c r="G34" s="56" t="s">
        <v>103</v>
      </c>
      <c r="H34" s="60">
        <f>Tariefopbouw1</f>
        <v>0</v>
      </c>
    </row>
    <row r="35" spans="1:8" x14ac:dyDescent="0.2">
      <c r="A35" s="56" t="s">
        <v>163</v>
      </c>
      <c r="B35" s="57" t="s">
        <v>145</v>
      </c>
      <c r="C35" s="56">
        <v>40</v>
      </c>
      <c r="D35" s="56" t="s">
        <v>164</v>
      </c>
      <c r="E35" s="58"/>
      <c r="F35" s="59"/>
      <c r="G35" s="56" t="s">
        <v>103</v>
      </c>
      <c r="H35" s="60">
        <f>Tariefopbouw1</f>
        <v>0</v>
      </c>
    </row>
    <row r="36" spans="1:8" x14ac:dyDescent="0.2">
      <c r="A36" s="56" t="s">
        <v>165</v>
      </c>
      <c r="B36" s="57" t="s">
        <v>145</v>
      </c>
      <c r="C36" s="56">
        <v>1</v>
      </c>
      <c r="D36" s="56" t="s">
        <v>166</v>
      </c>
      <c r="E36" s="58"/>
      <c r="F36" s="59"/>
      <c r="G36" s="56" t="s">
        <v>103</v>
      </c>
      <c r="H36" s="60">
        <f>Tariefopbouw1</f>
        <v>0</v>
      </c>
    </row>
    <row r="37" spans="1:8" x14ac:dyDescent="0.2">
      <c r="A37" s="56" t="s">
        <v>167</v>
      </c>
      <c r="B37" s="57" t="s">
        <v>145</v>
      </c>
      <c r="C37" s="56">
        <v>40</v>
      </c>
      <c r="D37" s="56" t="s">
        <v>168</v>
      </c>
      <c r="E37" s="58"/>
      <c r="F37" s="59"/>
      <c r="G37" s="56" t="s">
        <v>103</v>
      </c>
      <c r="H37" s="60">
        <f>Tariefopbouw1</f>
        <v>0</v>
      </c>
    </row>
    <row r="38" spans="1:8" x14ac:dyDescent="0.2">
      <c r="A38" s="56" t="s">
        <v>169</v>
      </c>
      <c r="B38" s="57" t="s">
        <v>145</v>
      </c>
      <c r="C38" s="56">
        <v>1</v>
      </c>
      <c r="D38" s="56" t="s">
        <v>170</v>
      </c>
      <c r="E38" s="58"/>
      <c r="F38" s="59"/>
      <c r="G38" s="56" t="s">
        <v>103</v>
      </c>
      <c r="H38" s="60">
        <f>Tariefopbouw1</f>
        <v>0</v>
      </c>
    </row>
    <row r="39" spans="1:8" x14ac:dyDescent="0.2">
      <c r="A39" s="56" t="s">
        <v>171</v>
      </c>
      <c r="B39" s="57" t="s">
        <v>145</v>
      </c>
      <c r="C39" s="56">
        <v>40</v>
      </c>
      <c r="D39" s="56" t="s">
        <v>172</v>
      </c>
      <c r="E39" s="58"/>
      <c r="F39" s="59"/>
      <c r="G39" s="56" t="s">
        <v>103</v>
      </c>
      <c r="H39" s="60">
        <f>Tariefopbouw1</f>
        <v>0</v>
      </c>
    </row>
    <row r="40" spans="1:8" x14ac:dyDescent="0.2">
      <c r="A40" s="56" t="s">
        <v>173</v>
      </c>
      <c r="B40" s="57" t="s">
        <v>145</v>
      </c>
      <c r="C40" s="56">
        <v>1</v>
      </c>
      <c r="D40" s="56" t="s">
        <v>174</v>
      </c>
      <c r="E40" s="58"/>
      <c r="F40" s="59"/>
      <c r="G40" s="56" t="s">
        <v>103</v>
      </c>
      <c r="H40" s="60">
        <f>Tariefopbouw1</f>
        <v>0</v>
      </c>
    </row>
    <row r="41" spans="1:8" x14ac:dyDescent="0.2">
      <c r="A41" s="61" t="s">
        <v>175</v>
      </c>
      <c r="B41" s="62" t="s">
        <v>145</v>
      </c>
      <c r="C41" s="61">
        <v>40</v>
      </c>
      <c r="D41" s="61" t="s">
        <v>176</v>
      </c>
      <c r="E41" s="63"/>
      <c r="F41" s="64"/>
      <c r="G41" s="61" t="s">
        <v>103</v>
      </c>
      <c r="H41" s="65">
        <f>Tariefopbouw1</f>
        <v>0</v>
      </c>
    </row>
  </sheetData>
  <sheetProtection algorithmName="SHA-512" hashValue="jNnqHLPUhjEt/d1JxDCix3er5CVLFdr0CVJIXk6gDoIRZC22srx4euImjG5ME8VeYasj/7XrhncG92yduozZKA==" saltValue="Y8B6NY1ArOO1wMHXyly9V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B3F2-A8BB-456C-BE2D-844063C4685A}">
  <dimension ref="A1:M3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7" width="11.625" customWidth="1"/>
    <col min="8" max="8" width="9.625" customWidth="1"/>
    <col min="9" max="11" width="11.625" customWidth="1"/>
    <col min="12" max="12" width="12.625" customWidth="1"/>
    <col min="13" max="13" width="14.625" customWidth="1"/>
  </cols>
  <sheetData>
    <row r="1" spans="1:13" x14ac:dyDescent="0.2">
      <c r="A1" s="1" t="str">
        <f>CONCATENATE("Bijlage F.2: ",tabeltype," regulier werk")</f>
        <v>Bijlage F.2: Invultabel regulier werk</v>
      </c>
    </row>
    <row r="3" spans="1:13" ht="38.25" x14ac:dyDescent="0.2">
      <c r="A3" s="44" t="s">
        <v>177</v>
      </c>
      <c r="B3" s="44" t="s">
        <v>7</v>
      </c>
      <c r="C3" s="44" t="s">
        <v>178</v>
      </c>
      <c r="D3" s="44" t="s">
        <v>94</v>
      </c>
      <c r="E3" s="44" t="s">
        <v>179</v>
      </c>
      <c r="F3" s="44" t="s">
        <v>180</v>
      </c>
      <c r="G3" s="44" t="s">
        <v>95</v>
      </c>
      <c r="H3" s="44" t="s">
        <v>97</v>
      </c>
      <c r="I3" s="44" t="s">
        <v>98</v>
      </c>
      <c r="J3" s="44" t="s">
        <v>181</v>
      </c>
      <c r="K3" s="44" t="s">
        <v>182</v>
      </c>
      <c r="L3" s="44" t="s">
        <v>183</v>
      </c>
      <c r="M3" s="44" t="s">
        <v>184</v>
      </c>
    </row>
    <row r="4" spans="1:13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x14ac:dyDescent="0.2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x14ac:dyDescent="0.2">
      <c r="A6" s="51" t="s">
        <v>185</v>
      </c>
      <c r="B6" s="51" t="s">
        <v>11</v>
      </c>
      <c r="C6" s="51" t="s">
        <v>186</v>
      </c>
      <c r="D6" s="51" t="s">
        <v>187</v>
      </c>
      <c r="E6" s="66">
        <v>358.4</v>
      </c>
      <c r="F6" s="66">
        <f>E6*VLOOKUP(B6,dagsoorttabel1,2,FALSE)</f>
        <v>275.69230769230768</v>
      </c>
      <c r="G6" s="67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51" t="s">
        <v>103</v>
      </c>
      <c r="I6" s="55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J6" s="66">
        <f>IF(OR(ISBLANK(G6),G6=0),0,F6/ROUND(G6,4))</f>
        <v>0</v>
      </c>
      <c r="K6" s="55">
        <f>ROUND(I6,2)*J6</f>
        <v>0</v>
      </c>
      <c r="L6" s="66">
        <f>J6*dagenperjaar1</f>
        <v>0</v>
      </c>
      <c r="M6" s="55">
        <f>L6*ROUND(I6,2)</f>
        <v>0</v>
      </c>
    </row>
    <row r="7" spans="1:13" x14ac:dyDescent="0.2">
      <c r="A7" s="56" t="s">
        <v>188</v>
      </c>
      <c r="B7" s="56" t="s">
        <v>11</v>
      </c>
      <c r="C7" s="56" t="s">
        <v>186</v>
      </c>
      <c r="D7" s="56" t="s">
        <v>189</v>
      </c>
      <c r="E7" s="68">
        <v>1018.1</v>
      </c>
      <c r="F7" s="68">
        <f>E7*VLOOKUP(B7,dagsoorttabel1,2,FALSE)</f>
        <v>783.15384615384619</v>
      </c>
      <c r="G7" s="69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56" t="s">
        <v>103</v>
      </c>
      <c r="I7" s="60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J7" s="68">
        <f>IF(OR(ISBLANK(G7),G7=0),0,F7/ROUND(G7,4))</f>
        <v>0</v>
      </c>
      <c r="K7" s="60">
        <f>ROUND(I7,2)*J7</f>
        <v>0</v>
      </c>
      <c r="L7" s="68">
        <f>J7*dagenperjaar1</f>
        <v>0</v>
      </c>
      <c r="M7" s="60">
        <f>L7*ROUND(I7,2)</f>
        <v>0</v>
      </c>
    </row>
    <row r="8" spans="1:13" x14ac:dyDescent="0.2">
      <c r="A8" s="56" t="s">
        <v>190</v>
      </c>
      <c r="B8" s="56" t="s">
        <v>11</v>
      </c>
      <c r="C8" s="56" t="s">
        <v>186</v>
      </c>
      <c r="D8" s="56" t="s">
        <v>191</v>
      </c>
      <c r="E8" s="68">
        <v>93.3</v>
      </c>
      <c r="F8" s="68">
        <f>E8*VLOOKUP(B8,dagsoorttabel1,2,FALSE)</f>
        <v>71.769230769230774</v>
      </c>
      <c r="G8" s="69">
        <f>IF(AND(catpn_1_CHB_1&gt;0,catpn_1_CHV_40&gt;0),(dagenperjaar1*VLOOKUP(B8,dagsoorttabel1,2,FALSE))/(((dagenperjaar1*VLOOKUP(B8,dagsoorttabel1,2,FALSE))-catfd_1_CHV_40)/catpn_1_CHB_1+catfd_1_CHV_40/catpn_1_CHV_40),0)</f>
        <v>0</v>
      </c>
      <c r="H8" s="56" t="s">
        <v>103</v>
      </c>
      <c r="I8" s="60">
        <f>IF(AND(catpn_1_CHB_1&gt;0,catpn_1_CHV_40&gt;0),(cattf_1_CHB_1*((dagenperjaar1*VLOOKUP(B8,dagsoorttabel1,2,FALSE))-catfd_1_CHV_40)/catpn_1_CHB_1+cattf_1_CHV_40*catfd_1_CHV_40/catpn_1_CHV_40)/(((dagenperjaar1*VLOOKUP(B8,dagsoorttabel1,2,FALSE))-catfd_1_CHV_40)/catpn_1_CHB_1+catfd_1_CHV_40/catpn_1_CHV_40),0)</f>
        <v>0</v>
      </c>
      <c r="J8" s="68">
        <f>IF(OR(ISBLANK(G8),G8=0),0,F8/ROUND(G8,4))</f>
        <v>0</v>
      </c>
      <c r="K8" s="60">
        <f>ROUND(I8,2)*J8</f>
        <v>0</v>
      </c>
      <c r="L8" s="68">
        <f>J8*dagenperjaar1</f>
        <v>0</v>
      </c>
      <c r="M8" s="60">
        <f>L8*ROUND(I8,2)</f>
        <v>0</v>
      </c>
    </row>
    <row r="9" spans="1:13" x14ac:dyDescent="0.2">
      <c r="A9" s="56" t="s">
        <v>192</v>
      </c>
      <c r="B9" s="56" t="s">
        <v>11</v>
      </c>
      <c r="C9" s="56" t="s">
        <v>186</v>
      </c>
      <c r="D9" s="56" t="s">
        <v>193</v>
      </c>
      <c r="E9" s="68">
        <v>4</v>
      </c>
      <c r="F9" s="68">
        <f>E9*VLOOKUP(B9,dagsoorttabel1,2,FALSE)</f>
        <v>3.0769230769230771</v>
      </c>
      <c r="G9" s="69">
        <f>IF(AND(catpn_1_DHB_1&gt;0,catpn_1_DHV_40&gt;0),(dagenperjaar1*VLOOKUP(B9,dagsoorttabel1,2,FALSE))/(((dagenperjaar1*VLOOKUP(B9,dagsoorttabel1,2,FALSE))-catfd_1_DHV_40)/catpn_1_DHB_1+catfd_1_DHV_40/catpn_1_DHV_40),0)</f>
        <v>0</v>
      </c>
      <c r="H9" s="56" t="s">
        <v>103</v>
      </c>
      <c r="I9" s="60">
        <f>IF(AND(catpn_1_DHB_1&gt;0,catpn_1_DHV_40&gt;0),(cattf_1_DHB_1*((dagenperjaar1*VLOOKUP(B9,dagsoorttabel1,2,FALSE))-catfd_1_DHV_40)/catpn_1_DHB_1+cattf_1_DHV_40*catfd_1_DHV_40/catpn_1_DHV_40)/(((dagenperjaar1*VLOOKUP(B9,dagsoorttabel1,2,FALSE))-catfd_1_DHV_40)/catpn_1_DHB_1+catfd_1_DHV_40/catpn_1_DHV_40),0)</f>
        <v>0</v>
      </c>
      <c r="J9" s="68">
        <f>IF(OR(ISBLANK(G9),G9=0),0,F9/ROUND(G9,4))</f>
        <v>0</v>
      </c>
      <c r="K9" s="60">
        <f>ROUND(I9,2)*J9</f>
        <v>0</v>
      </c>
      <c r="L9" s="68">
        <f>J9*dagenperjaar1</f>
        <v>0</v>
      </c>
      <c r="M9" s="60">
        <f>L9*ROUND(I9,2)</f>
        <v>0</v>
      </c>
    </row>
    <row r="10" spans="1:13" x14ac:dyDescent="0.2">
      <c r="A10" s="56" t="s">
        <v>194</v>
      </c>
      <c r="B10" s="56" t="s">
        <v>11</v>
      </c>
      <c r="C10" s="56" t="s">
        <v>186</v>
      </c>
      <c r="D10" s="56" t="s">
        <v>195</v>
      </c>
      <c r="E10" s="68">
        <v>139.10000000000002</v>
      </c>
      <c r="F10" s="68">
        <f>E10*VLOOKUP(B10,dagsoorttabel1,2,FALSE)</f>
        <v>107.00000000000003</v>
      </c>
      <c r="G10" s="69">
        <f>IF(AND(catpn_1_EHB_1&gt;0,catpn_1_EHV_40&gt;0),(dagenperjaar1*VLOOKUP(B10,dagsoorttabel1,2,FALSE))/(((dagenperjaar1*VLOOKUP(B10,dagsoorttabel1,2,FALSE))-catfd_1_EHV_40)/catpn_1_EHB_1+catfd_1_EHV_40/catpn_1_EHV_40),0)</f>
        <v>0</v>
      </c>
      <c r="H10" s="56" t="s">
        <v>103</v>
      </c>
      <c r="I10" s="60">
        <f>IF(AND(catpn_1_EHB_1&gt;0,catpn_1_EHV_40&gt;0),(cattf_1_EHB_1*((dagenperjaar1*VLOOKUP(B10,dagsoorttabel1,2,FALSE))-catfd_1_EHV_40)/catpn_1_EHB_1+cattf_1_EHV_40*catfd_1_EHV_40/catpn_1_EHV_40)/(((dagenperjaar1*VLOOKUP(B10,dagsoorttabel1,2,FALSE))-catfd_1_EHV_40)/catpn_1_EHB_1+catfd_1_EHV_40/catpn_1_EHV_40),0)</f>
        <v>0</v>
      </c>
      <c r="J10" s="68">
        <f>IF(OR(ISBLANK(G10),G10=0),0,F10/ROUND(G10,4))</f>
        <v>0</v>
      </c>
      <c r="K10" s="60">
        <f>ROUND(I10,2)*J10</f>
        <v>0</v>
      </c>
      <c r="L10" s="68">
        <f>J10*dagenperjaar1</f>
        <v>0</v>
      </c>
      <c r="M10" s="60">
        <f>L10*ROUND(I10,2)</f>
        <v>0</v>
      </c>
    </row>
    <row r="11" spans="1:13" x14ac:dyDescent="0.2">
      <c r="A11" s="56" t="s">
        <v>196</v>
      </c>
      <c r="B11" s="56" t="s">
        <v>11</v>
      </c>
      <c r="C11" s="56" t="s">
        <v>186</v>
      </c>
      <c r="D11" s="56" t="s">
        <v>197</v>
      </c>
      <c r="E11" s="68">
        <v>59.5</v>
      </c>
      <c r="F11" s="68">
        <f>E11*VLOOKUP(B11,dagsoorttabel1,2,FALSE)</f>
        <v>45.769230769230774</v>
      </c>
      <c r="G11" s="69">
        <f>IF(AND(catpn_1_EZB_1&gt;0,catpn_1_EZV_40&gt;0),(dagenperjaar1*VLOOKUP(B11,dagsoorttabel1,2,FALSE))/(((dagenperjaar1*VLOOKUP(B11,dagsoorttabel1,2,FALSE))-catfd_1_EZV_40)/catpn_1_EZB_1+catfd_1_EZV_40/catpn_1_EZV_40),0)</f>
        <v>0</v>
      </c>
      <c r="H11" s="56" t="s">
        <v>103</v>
      </c>
      <c r="I11" s="60">
        <f>IF(AND(catpn_1_EZB_1&gt;0,catpn_1_EZV_40&gt;0),(cattf_1_EZB_1*((dagenperjaar1*VLOOKUP(B11,dagsoorttabel1,2,FALSE))-catfd_1_EZV_40)/catpn_1_EZB_1+cattf_1_EZV_40*catfd_1_EZV_40/catpn_1_EZV_40)/(((dagenperjaar1*VLOOKUP(B11,dagsoorttabel1,2,FALSE))-catfd_1_EZV_40)/catpn_1_EZB_1+catfd_1_EZV_40/catpn_1_EZV_40),0)</f>
        <v>0</v>
      </c>
      <c r="J11" s="68">
        <f>IF(OR(ISBLANK(G11),G11=0),0,F11/ROUND(G11,4))</f>
        <v>0</v>
      </c>
      <c r="K11" s="60">
        <f>ROUND(I11,2)*J11</f>
        <v>0</v>
      </c>
      <c r="L11" s="68">
        <f>J11*dagenperjaar1</f>
        <v>0</v>
      </c>
      <c r="M11" s="60">
        <f>L11*ROUND(I11,2)</f>
        <v>0</v>
      </c>
    </row>
    <row r="12" spans="1:13" x14ac:dyDescent="0.2">
      <c r="A12" s="56" t="s">
        <v>198</v>
      </c>
      <c r="B12" s="56" t="s">
        <v>11</v>
      </c>
      <c r="C12" s="56" t="s">
        <v>186</v>
      </c>
      <c r="D12" s="56" t="s">
        <v>199</v>
      </c>
      <c r="E12" s="68">
        <v>1442.2</v>
      </c>
      <c r="F12" s="68">
        <f>E12*VLOOKUP(B12,dagsoorttabel1,2,FALSE)</f>
        <v>1109.3846153846155</v>
      </c>
      <c r="G12" s="69">
        <f>IF(AND(catpn_1_GHB_1&gt;0,catpn_1_GHV_40&gt;0),(dagenperjaar1*VLOOKUP(B12,dagsoorttabel1,2,FALSE))/(((dagenperjaar1*VLOOKUP(B12,dagsoorttabel1,2,FALSE))-catfd_1_GHV_40)/catpn_1_GHB_1+catfd_1_GHV_40/catpn_1_GHV_40),0)</f>
        <v>0</v>
      </c>
      <c r="H12" s="56" t="s">
        <v>103</v>
      </c>
      <c r="I12" s="60">
        <f>IF(AND(catpn_1_GHB_1&gt;0,catpn_1_GHV_40&gt;0),(cattf_1_GHB_1*((dagenperjaar1*VLOOKUP(B12,dagsoorttabel1,2,FALSE))-catfd_1_GHV_40)/catpn_1_GHB_1+cattf_1_GHV_40*catfd_1_GHV_40/catpn_1_GHV_40)/(((dagenperjaar1*VLOOKUP(B12,dagsoorttabel1,2,FALSE))-catfd_1_GHV_40)/catpn_1_GHB_1+catfd_1_GHV_40/catpn_1_GHV_40),0)</f>
        <v>0</v>
      </c>
      <c r="J12" s="68">
        <f>IF(OR(ISBLANK(G12),G12=0),0,F12/ROUND(G12,4))</f>
        <v>0</v>
      </c>
      <c r="K12" s="60">
        <f>ROUND(I12,2)*J12</f>
        <v>0</v>
      </c>
      <c r="L12" s="68">
        <f>J12*dagenperjaar1</f>
        <v>0</v>
      </c>
      <c r="M12" s="60">
        <f>L12*ROUND(I12,2)</f>
        <v>0</v>
      </c>
    </row>
    <row r="13" spans="1:13" x14ac:dyDescent="0.2">
      <c r="A13" s="56" t="s">
        <v>198</v>
      </c>
      <c r="B13" s="56" t="s">
        <v>15</v>
      </c>
      <c r="C13" s="56" t="s">
        <v>186</v>
      </c>
      <c r="D13" s="56" t="s">
        <v>199</v>
      </c>
      <c r="E13" s="68">
        <v>70.900000000000006</v>
      </c>
      <c r="F13" s="68">
        <f>E13*VLOOKUP(B13,dagsoorttabel1,2,FALSE)</f>
        <v>10.90769230769231</v>
      </c>
      <c r="G13" s="69">
        <f>catpn_1_GHV_40</f>
        <v>0</v>
      </c>
      <c r="H13" s="56" t="s">
        <v>103</v>
      </c>
      <c r="I13" s="60">
        <f>cattf_1_GHV_40</f>
        <v>0</v>
      </c>
      <c r="J13" s="68">
        <f>IF(OR(ISBLANK(G13),G13=0),0,F13/ROUND(G13,4))</f>
        <v>0</v>
      </c>
      <c r="K13" s="60">
        <f>ROUND(I13,2)*J13</f>
        <v>0</v>
      </c>
      <c r="L13" s="68">
        <f>J13*dagenperjaar1</f>
        <v>0</v>
      </c>
      <c r="M13" s="60">
        <f>L13*ROUND(I13,2)</f>
        <v>0</v>
      </c>
    </row>
    <row r="14" spans="1:13" x14ac:dyDescent="0.2">
      <c r="A14" s="56" t="s">
        <v>200</v>
      </c>
      <c r="B14" s="56" t="s">
        <v>11</v>
      </c>
      <c r="C14" s="56" t="s">
        <v>186</v>
      </c>
      <c r="D14" s="56" t="s">
        <v>201</v>
      </c>
      <c r="E14" s="68">
        <v>2.9</v>
      </c>
      <c r="F14" s="68">
        <f>E14*VLOOKUP(B14,dagsoorttabel1,2,FALSE)</f>
        <v>2.2307692307692308</v>
      </c>
      <c r="G14" s="69">
        <f>IF(AND(catpn_1_IHB_1&gt;0,catpn_1_IHV_40&gt;0),(dagenperjaar1*VLOOKUP(B14,dagsoorttabel1,2,FALSE))/(((dagenperjaar1*VLOOKUP(B14,dagsoorttabel1,2,FALSE))-catfd_1_IHV_40)/catpn_1_IHB_1+catfd_1_IHV_40/catpn_1_IHV_40),0)</f>
        <v>0</v>
      </c>
      <c r="H14" s="56" t="s">
        <v>103</v>
      </c>
      <c r="I14" s="60">
        <f>IF(AND(catpn_1_IHB_1&gt;0,catpn_1_IHV_40&gt;0),(cattf_1_IHB_1*((dagenperjaar1*VLOOKUP(B14,dagsoorttabel1,2,FALSE))-catfd_1_IHV_40)/catpn_1_IHB_1+cattf_1_IHV_40*catfd_1_IHV_40/catpn_1_IHV_40)/(((dagenperjaar1*VLOOKUP(B14,dagsoorttabel1,2,FALSE))-catfd_1_IHV_40)/catpn_1_IHB_1+catfd_1_IHV_40/catpn_1_IHV_40),0)</f>
        <v>0</v>
      </c>
      <c r="J14" s="68">
        <f>IF(OR(ISBLANK(G14),G14=0),0,F14/ROUND(G14,4))</f>
        <v>0</v>
      </c>
      <c r="K14" s="60">
        <f>ROUND(I14,2)*J14</f>
        <v>0</v>
      </c>
      <c r="L14" s="68">
        <f>J14*dagenperjaar1</f>
        <v>0</v>
      </c>
      <c r="M14" s="60">
        <f>L14*ROUND(I14,2)</f>
        <v>0</v>
      </c>
    </row>
    <row r="15" spans="1:13" x14ac:dyDescent="0.2">
      <c r="A15" s="56" t="s">
        <v>202</v>
      </c>
      <c r="B15" s="56" t="s">
        <v>11</v>
      </c>
      <c r="C15" s="56" t="s">
        <v>186</v>
      </c>
      <c r="D15" s="56" t="s">
        <v>203</v>
      </c>
      <c r="E15" s="68">
        <v>216.29999999999998</v>
      </c>
      <c r="F15" s="68">
        <f>E15*VLOOKUP(B15,dagsoorttabel1,2,FALSE)</f>
        <v>166.38461538461539</v>
      </c>
      <c r="G15" s="69">
        <f>IF(AND(catpn_1_ITHB_1&gt;0,catpn_1_ITHV_40&gt;0),(dagenperjaar1*VLOOKUP(B15,dagsoorttabel1,2,FALSE))/(((dagenperjaar1*VLOOKUP(B15,dagsoorttabel1,2,FALSE))-catfd_1_ITHV_40)/catpn_1_ITHB_1+catfd_1_ITHV_40/catpn_1_ITHV_40),0)</f>
        <v>0</v>
      </c>
      <c r="H15" s="56" t="s">
        <v>103</v>
      </c>
      <c r="I15" s="60">
        <f>IF(AND(catpn_1_ITHB_1&gt;0,catpn_1_ITHV_40&gt;0),(cattf_1_ITHB_1*((dagenperjaar1*VLOOKUP(B15,dagsoorttabel1,2,FALSE))-catfd_1_ITHV_40)/catpn_1_ITHB_1+cattf_1_ITHV_40*catfd_1_ITHV_40/catpn_1_ITHV_40)/(((dagenperjaar1*VLOOKUP(B15,dagsoorttabel1,2,FALSE))-catfd_1_ITHV_40)/catpn_1_ITHB_1+catfd_1_ITHV_40/catpn_1_ITHV_40),0)</f>
        <v>0</v>
      </c>
      <c r="J15" s="68">
        <f>IF(OR(ISBLANK(G15),G15=0),0,F15/ROUND(G15,4))</f>
        <v>0</v>
      </c>
      <c r="K15" s="60">
        <f>ROUND(I15,2)*J15</f>
        <v>0</v>
      </c>
      <c r="L15" s="68">
        <f>J15*dagenperjaar1</f>
        <v>0</v>
      </c>
      <c r="M15" s="60">
        <f>L15*ROUND(I15,2)</f>
        <v>0</v>
      </c>
    </row>
    <row r="16" spans="1:13" x14ac:dyDescent="0.2">
      <c r="A16" s="56" t="s">
        <v>204</v>
      </c>
      <c r="B16" s="56" t="s">
        <v>11</v>
      </c>
      <c r="C16" s="56" t="s">
        <v>186</v>
      </c>
      <c r="D16" s="56" t="s">
        <v>205</v>
      </c>
      <c r="E16" s="68">
        <v>212.9</v>
      </c>
      <c r="F16" s="68">
        <f>E16*VLOOKUP(B16,dagsoorttabel1,2,FALSE)</f>
        <v>163.76923076923077</v>
      </c>
      <c r="G16" s="69">
        <f>IF(AND(catpn_1_KHB_1&gt;0,catpn_1_KHV_40&gt;0),(dagenperjaar1*VLOOKUP(B16,dagsoorttabel1,2,FALSE))/(((dagenperjaar1*VLOOKUP(B16,dagsoorttabel1,2,FALSE))-catfd_1_KHV_40)/catpn_1_KHB_1+catfd_1_KHV_40/catpn_1_KHV_40),0)</f>
        <v>0</v>
      </c>
      <c r="H16" s="56" t="s">
        <v>103</v>
      </c>
      <c r="I16" s="60">
        <f>IF(AND(catpn_1_KHB_1&gt;0,catpn_1_KHV_40&gt;0),(cattf_1_KHB_1*((dagenperjaar1*VLOOKUP(B16,dagsoorttabel1,2,FALSE))-catfd_1_KHV_40)/catpn_1_KHB_1+cattf_1_KHV_40*catfd_1_KHV_40/catpn_1_KHV_40)/(((dagenperjaar1*VLOOKUP(B16,dagsoorttabel1,2,FALSE))-catfd_1_KHV_40)/catpn_1_KHB_1+catfd_1_KHV_40/catpn_1_KHV_40),0)</f>
        <v>0</v>
      </c>
      <c r="J16" s="68">
        <f>IF(OR(ISBLANK(G16),G16=0),0,F16/ROUND(G16,4))</f>
        <v>0</v>
      </c>
      <c r="K16" s="60">
        <f>ROUND(I16,2)*J16</f>
        <v>0</v>
      </c>
      <c r="L16" s="68">
        <f>J16*dagenperjaar1</f>
        <v>0</v>
      </c>
      <c r="M16" s="60">
        <f>L16*ROUND(I16,2)</f>
        <v>0</v>
      </c>
    </row>
    <row r="17" spans="1:13" x14ac:dyDescent="0.2">
      <c r="A17" s="56" t="s">
        <v>206</v>
      </c>
      <c r="B17" s="56" t="s">
        <v>11</v>
      </c>
      <c r="C17" s="56" t="s">
        <v>186</v>
      </c>
      <c r="D17" s="56" t="s">
        <v>207</v>
      </c>
      <c r="E17" s="68">
        <v>2172.1</v>
      </c>
      <c r="F17" s="68">
        <f>E17*VLOOKUP(B17,dagsoorttabel1,2,FALSE)</f>
        <v>1670.8461538461538</v>
      </c>
      <c r="G17" s="69">
        <f>IF(AND(catpn_1_LHB_1&gt;0,catpn_1_LHV_40&gt;0),(dagenperjaar1*VLOOKUP(B17,dagsoorttabel1,2,FALSE))/(((dagenperjaar1*VLOOKUP(B17,dagsoorttabel1,2,FALSE))-catfd_1_LHV_40)/catpn_1_LHB_1+catfd_1_LHV_40/catpn_1_LHV_40),0)</f>
        <v>0</v>
      </c>
      <c r="H17" s="56" t="s">
        <v>103</v>
      </c>
      <c r="I17" s="60">
        <f>IF(AND(catpn_1_LHB_1&gt;0,catpn_1_LHV_40&gt;0),(cattf_1_LHB_1*((dagenperjaar1*VLOOKUP(B17,dagsoorttabel1,2,FALSE))-catfd_1_LHV_40)/catpn_1_LHB_1+cattf_1_LHV_40*catfd_1_LHV_40/catpn_1_LHV_40)/(((dagenperjaar1*VLOOKUP(B17,dagsoorttabel1,2,FALSE))-catfd_1_LHV_40)/catpn_1_LHB_1+catfd_1_LHV_40/catpn_1_LHV_40),0)</f>
        <v>0</v>
      </c>
      <c r="J17" s="68">
        <f>IF(OR(ISBLANK(G17),G17=0),0,F17/ROUND(G17,4))</f>
        <v>0</v>
      </c>
      <c r="K17" s="60">
        <f>ROUND(I17,2)*J17</f>
        <v>0</v>
      </c>
      <c r="L17" s="68">
        <f>J17*dagenperjaar1</f>
        <v>0</v>
      </c>
      <c r="M17" s="60">
        <f>L17*ROUND(I17,2)</f>
        <v>0</v>
      </c>
    </row>
    <row r="18" spans="1:13" x14ac:dyDescent="0.2">
      <c r="A18" s="56" t="s">
        <v>208</v>
      </c>
      <c r="B18" s="56" t="s">
        <v>11</v>
      </c>
      <c r="C18" s="56" t="s">
        <v>186</v>
      </c>
      <c r="D18" s="56" t="s">
        <v>209</v>
      </c>
      <c r="E18" s="68">
        <v>104.4</v>
      </c>
      <c r="F18" s="68">
        <f>E18*VLOOKUP(B18,dagsoorttabel1,2,FALSE)</f>
        <v>80.307692307692321</v>
      </c>
      <c r="G18" s="69">
        <f>IF(AND(catpn_1_MHB_1&gt;0,catpn_1_MHV_40&gt;0),(dagenperjaar1*VLOOKUP(B18,dagsoorttabel1,2,FALSE))/(((dagenperjaar1*VLOOKUP(B18,dagsoorttabel1,2,FALSE))-catfd_1_MHV_40)/catpn_1_MHB_1+catfd_1_MHV_40/catpn_1_MHV_40),0)</f>
        <v>0</v>
      </c>
      <c r="H18" s="56" t="s">
        <v>103</v>
      </c>
      <c r="I18" s="60">
        <f>IF(AND(catpn_1_MHB_1&gt;0,catpn_1_MHV_40&gt;0),(cattf_1_MHB_1*((dagenperjaar1*VLOOKUP(B18,dagsoorttabel1,2,FALSE))-catfd_1_MHV_40)/catpn_1_MHB_1+cattf_1_MHV_40*catfd_1_MHV_40/catpn_1_MHV_40)/(((dagenperjaar1*VLOOKUP(B18,dagsoorttabel1,2,FALSE))-catfd_1_MHV_40)/catpn_1_MHB_1+catfd_1_MHV_40/catpn_1_MHV_40),0)</f>
        <v>0</v>
      </c>
      <c r="J18" s="68">
        <f>IF(OR(ISBLANK(G18),G18=0),0,F18/ROUND(G18,4))</f>
        <v>0</v>
      </c>
      <c r="K18" s="60">
        <f>ROUND(I18,2)*J18</f>
        <v>0</v>
      </c>
      <c r="L18" s="68">
        <f>J18*dagenperjaar1</f>
        <v>0</v>
      </c>
      <c r="M18" s="60">
        <f>L18*ROUND(I18,2)</f>
        <v>0</v>
      </c>
    </row>
    <row r="19" spans="1:13" x14ac:dyDescent="0.2">
      <c r="A19" s="56" t="s">
        <v>210</v>
      </c>
      <c r="B19" s="56" t="s">
        <v>11</v>
      </c>
      <c r="C19" s="56" t="s">
        <v>186</v>
      </c>
      <c r="D19" s="56" t="s">
        <v>211</v>
      </c>
      <c r="E19" s="68">
        <v>1030.1000000000001</v>
      </c>
      <c r="F19" s="68">
        <f>E19*VLOOKUP(B19,dagsoorttabel1,2,FALSE)</f>
        <v>792.38461538461559</v>
      </c>
      <c r="G19" s="69">
        <f>IF(AND(catpn_1_OLHB_1&gt;0,catpn_1_OLHV_40&gt;0),(dagenperjaar1*VLOOKUP(B19,dagsoorttabel1,2,FALSE))/(((dagenperjaar1*VLOOKUP(B19,dagsoorttabel1,2,FALSE))-catfd_1_OLHV_40)/catpn_1_OLHB_1+catfd_1_OLHV_40/catpn_1_OLHV_40),0)</f>
        <v>0</v>
      </c>
      <c r="H19" s="56" t="s">
        <v>103</v>
      </c>
      <c r="I19" s="60">
        <f>IF(AND(catpn_1_OLHB_1&gt;0,catpn_1_OLHV_40&gt;0),(cattf_1_OLHB_1*((dagenperjaar1*VLOOKUP(B19,dagsoorttabel1,2,FALSE))-catfd_1_OLHV_40)/catpn_1_OLHB_1+cattf_1_OLHV_40*catfd_1_OLHV_40/catpn_1_OLHV_40)/(((dagenperjaar1*VLOOKUP(B19,dagsoorttabel1,2,FALSE))-catfd_1_OLHV_40)/catpn_1_OLHB_1+catfd_1_OLHV_40/catpn_1_OLHV_40),0)</f>
        <v>0</v>
      </c>
      <c r="J19" s="68">
        <f>IF(OR(ISBLANK(G19),G19=0),0,F19/ROUND(G19,4))</f>
        <v>0</v>
      </c>
      <c r="K19" s="60">
        <f>ROUND(I19,2)*J19</f>
        <v>0</v>
      </c>
      <c r="L19" s="68">
        <f>J19*dagenperjaar1</f>
        <v>0</v>
      </c>
      <c r="M19" s="60">
        <f>L19*ROUND(I19,2)</f>
        <v>0</v>
      </c>
    </row>
    <row r="20" spans="1:13" x14ac:dyDescent="0.2">
      <c r="A20" s="56" t="s">
        <v>212</v>
      </c>
      <c r="B20" s="56" t="s">
        <v>11</v>
      </c>
      <c r="C20" s="56" t="s">
        <v>186</v>
      </c>
      <c r="D20" s="56" t="s">
        <v>213</v>
      </c>
      <c r="E20" s="68">
        <v>45</v>
      </c>
      <c r="F20" s="68">
        <f>E20*VLOOKUP(B20,dagsoorttabel1,2,FALSE)</f>
        <v>34.61538461538462</v>
      </c>
      <c r="G20" s="69">
        <f>IF(AND(catpn_1_PHB_1&gt;0,catpn_1_PHV_40&gt;0),(dagenperjaar1*VLOOKUP(B20,dagsoorttabel1,2,FALSE))/(((dagenperjaar1*VLOOKUP(B20,dagsoorttabel1,2,FALSE))-catfd_1_PHV_40)/catpn_1_PHB_1+catfd_1_PHV_40/catpn_1_PHV_40),0)</f>
        <v>0</v>
      </c>
      <c r="H20" s="56" t="s">
        <v>103</v>
      </c>
      <c r="I20" s="60">
        <f>IF(AND(catpn_1_PHB_1&gt;0,catpn_1_PHV_40&gt;0),(cattf_1_PHB_1*((dagenperjaar1*VLOOKUP(B20,dagsoorttabel1,2,FALSE))-catfd_1_PHV_40)/catpn_1_PHB_1+cattf_1_PHV_40*catfd_1_PHV_40/catpn_1_PHV_40)/(((dagenperjaar1*VLOOKUP(B20,dagsoorttabel1,2,FALSE))-catfd_1_PHV_40)/catpn_1_PHB_1+catfd_1_PHV_40/catpn_1_PHV_40),0)</f>
        <v>0</v>
      </c>
      <c r="J20" s="68">
        <f>IF(OR(ISBLANK(G20),G20=0),0,F20/ROUND(G20,4))</f>
        <v>0</v>
      </c>
      <c r="K20" s="60">
        <f>ROUND(I20,2)*J20</f>
        <v>0</v>
      </c>
      <c r="L20" s="68">
        <f>J20*dagenperjaar1</f>
        <v>0</v>
      </c>
      <c r="M20" s="60">
        <f>L20*ROUND(I20,2)</f>
        <v>0</v>
      </c>
    </row>
    <row r="21" spans="1:13" x14ac:dyDescent="0.2">
      <c r="A21" s="56" t="s">
        <v>214</v>
      </c>
      <c r="B21" s="56" t="s">
        <v>11</v>
      </c>
      <c r="C21" s="56" t="s">
        <v>186</v>
      </c>
      <c r="D21" s="56" t="s">
        <v>215</v>
      </c>
      <c r="E21" s="68">
        <v>723.8</v>
      </c>
      <c r="F21" s="68">
        <f>E21*VLOOKUP(B21,dagsoorttabel1,2,FALSE)</f>
        <v>556.76923076923072</v>
      </c>
      <c r="G21" s="69">
        <f>IF(AND(catpn_1_PUHB_1&gt;0,catpn_1_PUHV_40&gt;0),(dagenperjaar1*VLOOKUP(B21,dagsoorttabel1,2,FALSE))/(((dagenperjaar1*VLOOKUP(B21,dagsoorttabel1,2,FALSE))-catfd_1_PUHV_40)/catpn_1_PUHB_1+catfd_1_PUHV_40/catpn_1_PUHV_40),0)</f>
        <v>0</v>
      </c>
      <c r="H21" s="56" t="s">
        <v>103</v>
      </c>
      <c r="I21" s="60">
        <f>IF(AND(catpn_1_PUHB_1&gt;0,catpn_1_PUHV_40&gt;0),(cattf_1_PUHB_1*((dagenperjaar1*VLOOKUP(B21,dagsoorttabel1,2,FALSE))-catfd_1_PUHV_40)/catpn_1_PUHB_1+cattf_1_PUHV_40*catfd_1_PUHV_40/catpn_1_PUHV_40)/(((dagenperjaar1*VLOOKUP(B21,dagsoorttabel1,2,FALSE))-catfd_1_PUHV_40)/catpn_1_PUHB_1+catfd_1_PUHV_40/catpn_1_PUHV_40),0)</f>
        <v>0</v>
      </c>
      <c r="J21" s="68">
        <f>IF(OR(ISBLANK(G21),G21=0),0,F21/ROUND(G21,4))</f>
        <v>0</v>
      </c>
      <c r="K21" s="60">
        <f>ROUND(I21,2)*J21</f>
        <v>0</v>
      </c>
      <c r="L21" s="68">
        <f>J21*dagenperjaar1</f>
        <v>0</v>
      </c>
      <c r="M21" s="60">
        <f>L21*ROUND(I21,2)</f>
        <v>0</v>
      </c>
    </row>
    <row r="22" spans="1:13" x14ac:dyDescent="0.2">
      <c r="A22" s="56" t="s">
        <v>216</v>
      </c>
      <c r="B22" s="56" t="s">
        <v>11</v>
      </c>
      <c r="C22" s="56" t="s">
        <v>186</v>
      </c>
      <c r="D22" s="56" t="s">
        <v>217</v>
      </c>
      <c r="E22" s="68">
        <v>144.9</v>
      </c>
      <c r="F22" s="68">
        <f>E22*VLOOKUP(B22,dagsoorttabel1,2,FALSE)</f>
        <v>111.46153846153847</v>
      </c>
      <c r="G22" s="69">
        <f>IF(AND(catpn_1_SHB_1&gt;0,catpn_1_SHV_40&gt;0),(dagenperjaar1*VLOOKUP(B22,dagsoorttabel1,2,FALSE))/(((dagenperjaar1*VLOOKUP(B22,dagsoorttabel1,2,FALSE))-catfd_1_SHV_40)/catpn_1_SHB_1+catfd_1_SHV_40/catpn_1_SHV_40),0)</f>
        <v>0</v>
      </c>
      <c r="H22" s="56" t="s">
        <v>103</v>
      </c>
      <c r="I22" s="60">
        <f>IF(AND(catpn_1_SHB_1&gt;0,catpn_1_SHV_40&gt;0),(cattf_1_SHB_1*((dagenperjaar1*VLOOKUP(B22,dagsoorttabel1,2,FALSE))-catfd_1_SHV_40)/catpn_1_SHB_1+cattf_1_SHV_40*catfd_1_SHV_40/catpn_1_SHV_40)/(((dagenperjaar1*VLOOKUP(B22,dagsoorttabel1,2,FALSE))-catfd_1_SHV_40)/catpn_1_SHB_1+catfd_1_SHV_40/catpn_1_SHV_40),0)</f>
        <v>0</v>
      </c>
      <c r="J22" s="68">
        <f>IF(OR(ISBLANK(G22),G22=0),0,F22/ROUND(G22,4))</f>
        <v>0</v>
      </c>
      <c r="K22" s="60">
        <f>ROUND(I22,2)*J22</f>
        <v>0</v>
      </c>
      <c r="L22" s="68">
        <f>J22*dagenperjaar1</f>
        <v>0</v>
      </c>
      <c r="M22" s="60">
        <f>L22*ROUND(I22,2)</f>
        <v>0</v>
      </c>
    </row>
    <row r="23" spans="1:13" x14ac:dyDescent="0.2">
      <c r="A23" s="56" t="s">
        <v>218</v>
      </c>
      <c r="B23" s="56" t="s">
        <v>11</v>
      </c>
      <c r="C23" s="56" t="s">
        <v>186</v>
      </c>
      <c r="D23" s="56" t="s">
        <v>219</v>
      </c>
      <c r="E23" s="68">
        <v>140.9</v>
      </c>
      <c r="F23" s="68">
        <f>E23*VLOOKUP(B23,dagsoorttabel1,2,FALSE)</f>
        <v>108.3846153846154</v>
      </c>
      <c r="G23" s="69">
        <f>catpn_1_SHB_1</f>
        <v>0</v>
      </c>
      <c r="H23" s="56" t="s">
        <v>103</v>
      </c>
      <c r="I23" s="60">
        <f>cattf_1_SHB_1</f>
        <v>0</v>
      </c>
      <c r="J23" s="68">
        <f>IF(OR(ISBLANK(G23),G23=0),0,F23/ROUND(G23,4))</f>
        <v>0</v>
      </c>
      <c r="K23" s="60">
        <f>ROUND(I23,2)*J23</f>
        <v>0</v>
      </c>
      <c r="L23" s="68">
        <f>J23*dagenperjaar1</f>
        <v>0</v>
      </c>
      <c r="M23" s="60">
        <f>L23*ROUND(I23,2)</f>
        <v>0</v>
      </c>
    </row>
    <row r="24" spans="1:13" x14ac:dyDescent="0.2">
      <c r="A24" s="56" t="s">
        <v>220</v>
      </c>
      <c r="B24" s="56" t="s">
        <v>11</v>
      </c>
      <c r="C24" s="56" t="s">
        <v>186</v>
      </c>
      <c r="D24" s="56" t="s">
        <v>221</v>
      </c>
      <c r="E24" s="68">
        <v>113.9</v>
      </c>
      <c r="F24" s="68">
        <f>E24*VLOOKUP(B24,dagsoorttabel1,2,FALSE)</f>
        <v>87.615384615384627</v>
      </c>
      <c r="G24" s="69">
        <f>IF(AND(catpn_1_THB_1&gt;0,catpn_1_THV_40&gt;0),(dagenperjaar1*VLOOKUP(B24,dagsoorttabel1,2,FALSE))/(((dagenperjaar1*VLOOKUP(B24,dagsoorttabel1,2,FALSE))-catfd_1_THV_40)/catpn_1_THB_1+catfd_1_THV_40/catpn_1_THV_40),0)</f>
        <v>0</v>
      </c>
      <c r="H24" s="56" t="s">
        <v>103</v>
      </c>
      <c r="I24" s="60">
        <f>IF(AND(catpn_1_THB_1&gt;0,catpn_1_THV_40&gt;0),(cattf_1_THB_1*((dagenperjaar1*VLOOKUP(B24,dagsoorttabel1,2,FALSE))-catfd_1_THV_40)/catpn_1_THB_1+cattf_1_THV_40*catfd_1_THV_40/catpn_1_THV_40)/(((dagenperjaar1*VLOOKUP(B24,dagsoorttabel1,2,FALSE))-catfd_1_THV_40)/catpn_1_THB_1+catfd_1_THV_40/catpn_1_THV_40),0)</f>
        <v>0</v>
      </c>
      <c r="J24" s="68">
        <f>IF(OR(ISBLANK(G24),G24=0),0,F24/ROUND(G24,4))</f>
        <v>0</v>
      </c>
      <c r="K24" s="60">
        <f>ROUND(I24,2)*J24</f>
        <v>0</v>
      </c>
      <c r="L24" s="68">
        <f>J24*dagenperjaar1</f>
        <v>0</v>
      </c>
      <c r="M24" s="60">
        <f>L24*ROUND(I24,2)</f>
        <v>0</v>
      </c>
    </row>
    <row r="25" spans="1:13" x14ac:dyDescent="0.2">
      <c r="A25" s="61" t="s">
        <v>222</v>
      </c>
      <c r="B25" s="61" t="s">
        <v>11</v>
      </c>
      <c r="C25" s="61" t="s">
        <v>186</v>
      </c>
      <c r="D25" s="61" t="s">
        <v>223</v>
      </c>
      <c r="E25" s="70">
        <v>2081.9</v>
      </c>
      <c r="F25" s="70">
        <f>E25*VLOOKUP(B25,dagsoorttabel1,2,FALSE)</f>
        <v>1601.4615384615386</v>
      </c>
      <c r="G25" s="71">
        <f>IF(AND(catpn_1_VHB_1&gt;0,catpn_1_VHV_40&gt;0),(dagenperjaar1*VLOOKUP(B25,dagsoorttabel1,2,FALSE))/(((dagenperjaar1*VLOOKUP(B25,dagsoorttabel1,2,FALSE))-catfd_1_VHV_40)/catpn_1_VHB_1+catfd_1_VHV_40/catpn_1_VHV_40),0)</f>
        <v>0</v>
      </c>
      <c r="H25" s="61" t="s">
        <v>103</v>
      </c>
      <c r="I25" s="65">
        <f>IF(AND(catpn_1_VHB_1&gt;0,catpn_1_VHV_40&gt;0),(cattf_1_VHB_1*((dagenperjaar1*VLOOKUP(B25,dagsoorttabel1,2,FALSE))-catfd_1_VHV_40)/catpn_1_VHB_1+cattf_1_VHV_40*catfd_1_VHV_40/catpn_1_VHV_40)/(((dagenperjaar1*VLOOKUP(B25,dagsoorttabel1,2,FALSE))-catfd_1_VHV_40)/catpn_1_VHB_1+catfd_1_VHV_40/catpn_1_VHV_40),0)</f>
        <v>0</v>
      </c>
      <c r="J25" s="70">
        <f>IF(OR(ISBLANK(G25),G25=0),0,F25/ROUND(G25,4))</f>
        <v>0</v>
      </c>
      <c r="K25" s="65">
        <f>ROUND(I25,2)*J25</f>
        <v>0</v>
      </c>
      <c r="L25" s="70">
        <f>J25*dagenperjaar1</f>
        <v>0</v>
      </c>
      <c r="M25" s="65">
        <f>L25*ROUND(I25,2)</f>
        <v>0</v>
      </c>
    </row>
    <row r="26" spans="1:13" x14ac:dyDescent="0.2">
      <c r="A26" s="73" t="s">
        <v>224</v>
      </c>
      <c r="B26" s="74"/>
      <c r="C26" s="74"/>
      <c r="D26" s="74"/>
      <c r="E26" s="74"/>
      <c r="F26" s="74"/>
      <c r="G26" s="74"/>
      <c r="H26" s="74"/>
      <c r="I26" s="74"/>
      <c r="J26" s="75">
        <f>SUM(J6:J25)</f>
        <v>0</v>
      </c>
      <c r="K26" s="76">
        <f>SUM(K6:K25)</f>
        <v>0</v>
      </c>
      <c r="L26" s="75">
        <f>SUM(L6:L25)</f>
        <v>0</v>
      </c>
      <c r="M26" s="77">
        <f>SUM(M6:M25)</f>
        <v>0</v>
      </c>
    </row>
    <row r="27" spans="1:13" x14ac:dyDescent="0.2">
      <c r="A27" s="78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9"/>
    </row>
    <row r="28" spans="1:13" x14ac:dyDescent="0.2">
      <c r="A28" s="73" t="s">
        <v>225</v>
      </c>
      <c r="B28" s="74"/>
      <c r="C28" s="74"/>
      <c r="D28" s="74"/>
      <c r="E28" s="74"/>
      <c r="F28" s="74"/>
      <c r="G28" s="74"/>
      <c r="H28" s="74"/>
      <c r="I28" s="76">
        <f>IF(urenjaar1&gt;0,SUMIF(L6:L25,"&gt;0",M6:M25)/urenjaar1,0)</f>
        <v>0</v>
      </c>
      <c r="J28" s="74"/>
      <c r="K28" s="74"/>
      <c r="L28" s="74"/>
      <c r="M28" s="79"/>
    </row>
    <row r="29" spans="1:13" x14ac:dyDescent="0.2">
      <c r="A29" s="78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9"/>
    </row>
    <row r="31" spans="1:13" x14ac:dyDescent="0.2">
      <c r="A31" s="73" t="s">
        <v>226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5">
        <f>urenjaar1</f>
        <v>0</v>
      </c>
      <c r="M31" s="76">
        <f>prijsjaar1</f>
        <v>0</v>
      </c>
    </row>
  </sheetData>
  <sheetProtection algorithmName="SHA-512" hashValue="lkYWT4CMAm3Dv5c32xjBKeGPxfN8H+9gzYDmx6VnElYzIaNJsmndHMgrzVixEH/yZkzA5x2nhdPrJ+GpvWWnbQ==" saltValue="Cn+qkXbZo9KfhxFiAeET4w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4D6B-26BE-47B0-A482-83126B4089D8}">
  <dimension ref="A1:S304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9" width="8.625" customWidth="1"/>
    <col min="10" max="10" width="40.625" customWidth="1"/>
    <col min="11" max="12" width="10.625" customWidth="1"/>
    <col min="13" max="13" width="11.625" customWidth="1"/>
    <col min="14" max="14" width="9.625" customWidth="1"/>
    <col min="15" max="17" width="11.625" customWidth="1"/>
    <col min="18" max="18" width="12.625" customWidth="1"/>
    <col min="19" max="19" width="14.625" customWidth="1"/>
  </cols>
  <sheetData>
    <row r="1" spans="1:19" x14ac:dyDescent="0.2">
      <c r="A1" s="1" t="str">
        <f>CONCATENATE("Bijlage F.3: ",tabeltype," ruimten werkdag")</f>
        <v>Bijlage F.3: Invultabel ruimten werkdag</v>
      </c>
    </row>
    <row r="3" spans="1:19" ht="38.25" x14ac:dyDescent="0.2">
      <c r="A3" s="80" t="s">
        <v>227</v>
      </c>
      <c r="B3" s="44" t="s">
        <v>228</v>
      </c>
      <c r="C3" s="44" t="s">
        <v>229</v>
      </c>
      <c r="D3" s="44" t="s">
        <v>230</v>
      </c>
      <c r="E3" s="44" t="s">
        <v>231</v>
      </c>
      <c r="F3" s="44" t="s">
        <v>232</v>
      </c>
      <c r="G3" s="44" t="s">
        <v>177</v>
      </c>
      <c r="H3" s="44" t="s">
        <v>7</v>
      </c>
      <c r="I3" s="44" t="s">
        <v>233</v>
      </c>
      <c r="J3" s="44" t="s">
        <v>234</v>
      </c>
      <c r="K3" s="44" t="s">
        <v>179</v>
      </c>
      <c r="L3" s="44" t="s">
        <v>180</v>
      </c>
      <c r="M3" s="44" t="s">
        <v>95</v>
      </c>
      <c r="N3" s="44" t="s">
        <v>97</v>
      </c>
      <c r="O3" s="44" t="s">
        <v>98</v>
      </c>
      <c r="P3" s="44" t="s">
        <v>181</v>
      </c>
      <c r="Q3" s="44" t="s">
        <v>182</v>
      </c>
      <c r="R3" s="44" t="s">
        <v>183</v>
      </c>
      <c r="S3" s="81" t="s">
        <v>184</v>
      </c>
    </row>
    <row r="4" spans="1:19" x14ac:dyDescent="0.2">
      <c r="A4" s="82" t="s">
        <v>235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72"/>
    </row>
    <row r="5" spans="1:19" ht="25.5" x14ac:dyDescent="0.2">
      <c r="A5" s="83" t="s">
        <v>236</v>
      </c>
      <c r="B5" s="84" t="s">
        <v>237</v>
      </c>
      <c r="C5" s="84" t="s">
        <v>238</v>
      </c>
      <c r="D5" s="84" t="s">
        <v>239</v>
      </c>
      <c r="E5" s="85" t="s">
        <v>240</v>
      </c>
      <c r="F5" s="84" t="s">
        <v>241</v>
      </c>
      <c r="G5" s="84" t="s">
        <v>222</v>
      </c>
      <c r="H5" s="84" t="s">
        <v>11</v>
      </c>
      <c r="I5" s="84" t="s">
        <v>186</v>
      </c>
      <c r="J5" s="85" t="s">
        <v>223</v>
      </c>
      <c r="K5" s="86">
        <v>180.5</v>
      </c>
      <c r="L5" s="86">
        <f>K5*VLOOKUP(H5,dagsoorttabel1,2,FALSE)</f>
        <v>138.84615384615387</v>
      </c>
      <c r="M5" s="87">
        <f>prodnorm20</f>
        <v>0</v>
      </c>
      <c r="N5" s="84" t="s">
        <v>103</v>
      </c>
      <c r="O5" s="88">
        <f>uurtarief20</f>
        <v>0</v>
      </c>
      <c r="P5" s="86" t="e">
        <f>IF(ISBLANK(M5),0,L5/ROUND(M5,4))</f>
        <v>#DIV/0!</v>
      </c>
      <c r="Q5" s="88" t="e">
        <f>ROUND(O5,2)*P5</f>
        <v>#DIV/0!</v>
      </c>
      <c r="R5" s="86" t="e">
        <f>P5*dagenperjaar1</f>
        <v>#DIV/0!</v>
      </c>
      <c r="S5" s="89" t="e">
        <f>R5*ROUND(O5,2)</f>
        <v>#DIV/0!</v>
      </c>
    </row>
    <row r="6" spans="1:19" x14ac:dyDescent="0.2">
      <c r="A6" s="90" t="s">
        <v>236</v>
      </c>
      <c r="B6" s="91" t="s">
        <v>237</v>
      </c>
      <c r="C6" s="91" t="s">
        <v>238</v>
      </c>
      <c r="D6" s="91" t="s">
        <v>242</v>
      </c>
      <c r="E6" s="92" t="s">
        <v>243</v>
      </c>
      <c r="F6" s="91" t="s">
        <v>244</v>
      </c>
      <c r="G6" s="91" t="s">
        <v>196</v>
      </c>
      <c r="H6" s="91" t="s">
        <v>11</v>
      </c>
      <c r="I6" s="91" t="s">
        <v>186</v>
      </c>
      <c r="J6" s="92" t="s">
        <v>197</v>
      </c>
      <c r="K6" s="93">
        <v>11.1</v>
      </c>
      <c r="L6" s="93">
        <f>K6*VLOOKUP(H6,dagsoorttabel1,2,FALSE)</f>
        <v>8.5384615384615383</v>
      </c>
      <c r="M6" s="94">
        <f>prodnorm6</f>
        <v>0</v>
      </c>
      <c r="N6" s="91" t="s">
        <v>103</v>
      </c>
      <c r="O6" s="26">
        <f>uurtarief6</f>
        <v>0</v>
      </c>
      <c r="P6" s="93" t="e">
        <f>IF(ISBLANK(M6),0,L6/ROUND(M6,4))</f>
        <v>#DIV/0!</v>
      </c>
      <c r="Q6" s="26" t="e">
        <f>ROUND(O6,2)*P6</f>
        <v>#DIV/0!</v>
      </c>
      <c r="R6" s="93" t="e">
        <f>P6*dagenperjaar1</f>
        <v>#DIV/0!</v>
      </c>
      <c r="S6" s="27" t="e">
        <f>R6*ROUND(O6,2)</f>
        <v>#DIV/0!</v>
      </c>
    </row>
    <row r="7" spans="1:19" x14ac:dyDescent="0.2">
      <c r="A7" s="90" t="s">
        <v>236</v>
      </c>
      <c r="B7" s="91" t="s">
        <v>237</v>
      </c>
      <c r="C7" s="91" t="s">
        <v>238</v>
      </c>
      <c r="D7" s="91" t="s">
        <v>245</v>
      </c>
      <c r="E7" s="92" t="s">
        <v>246</v>
      </c>
      <c r="F7" s="91" t="s">
        <v>247</v>
      </c>
      <c r="G7" s="91" t="s">
        <v>206</v>
      </c>
      <c r="H7" s="91" t="s">
        <v>11</v>
      </c>
      <c r="I7" s="91" t="s">
        <v>186</v>
      </c>
      <c r="J7" s="92" t="s">
        <v>207</v>
      </c>
      <c r="K7" s="93">
        <v>91</v>
      </c>
      <c r="L7" s="93">
        <f>K7*VLOOKUP(H7,dagsoorttabel1,2,FALSE)</f>
        <v>70</v>
      </c>
      <c r="M7" s="94">
        <f>prodnorm12</f>
        <v>0</v>
      </c>
      <c r="N7" s="91" t="s">
        <v>103</v>
      </c>
      <c r="O7" s="26">
        <f>uurtarief12</f>
        <v>0</v>
      </c>
      <c r="P7" s="93" t="e">
        <f>IF(ISBLANK(M7),0,L7/ROUND(M7,4))</f>
        <v>#DIV/0!</v>
      </c>
      <c r="Q7" s="26" t="e">
        <f>ROUND(O7,2)*P7</f>
        <v>#DIV/0!</v>
      </c>
      <c r="R7" s="93" t="e">
        <f>P7*dagenperjaar1</f>
        <v>#DIV/0!</v>
      </c>
      <c r="S7" s="27" t="e">
        <f>R7*ROUND(O7,2)</f>
        <v>#DIV/0!</v>
      </c>
    </row>
    <row r="8" spans="1:19" x14ac:dyDescent="0.2">
      <c r="A8" s="90" t="s">
        <v>236</v>
      </c>
      <c r="B8" s="91" t="s">
        <v>237</v>
      </c>
      <c r="C8" s="91" t="s">
        <v>238</v>
      </c>
      <c r="D8" s="91" t="s">
        <v>248</v>
      </c>
      <c r="E8" s="92" t="s">
        <v>249</v>
      </c>
      <c r="F8" s="91" t="s">
        <v>247</v>
      </c>
      <c r="G8" s="91" t="s">
        <v>206</v>
      </c>
      <c r="H8" s="91" t="s">
        <v>11</v>
      </c>
      <c r="I8" s="91" t="s">
        <v>186</v>
      </c>
      <c r="J8" s="92" t="s">
        <v>207</v>
      </c>
      <c r="K8" s="93">
        <v>9.6999999999999993</v>
      </c>
      <c r="L8" s="93">
        <f>K8*VLOOKUP(H8,dagsoorttabel1,2,FALSE)</f>
        <v>7.4615384615384617</v>
      </c>
      <c r="M8" s="94">
        <f>prodnorm12</f>
        <v>0</v>
      </c>
      <c r="N8" s="91" t="s">
        <v>103</v>
      </c>
      <c r="O8" s="26">
        <f>uurtarief12</f>
        <v>0</v>
      </c>
      <c r="P8" s="93" t="e">
        <f>IF(ISBLANK(M8),0,L8/ROUND(M8,4))</f>
        <v>#DIV/0!</v>
      </c>
      <c r="Q8" s="26" t="e">
        <f>ROUND(O8,2)*P8</f>
        <v>#DIV/0!</v>
      </c>
      <c r="R8" s="93" t="e">
        <f>P8*dagenperjaar1</f>
        <v>#DIV/0!</v>
      </c>
      <c r="S8" s="27" t="e">
        <f>R8*ROUND(O8,2)</f>
        <v>#DIV/0!</v>
      </c>
    </row>
    <row r="9" spans="1:19" x14ac:dyDescent="0.2">
      <c r="A9" s="90" t="s">
        <v>236</v>
      </c>
      <c r="B9" s="91" t="s">
        <v>237</v>
      </c>
      <c r="C9" s="91" t="s">
        <v>238</v>
      </c>
      <c r="D9" s="91" t="s">
        <v>250</v>
      </c>
      <c r="E9" s="92" t="s">
        <v>249</v>
      </c>
      <c r="F9" s="91" t="s">
        <v>247</v>
      </c>
      <c r="G9" s="91" t="s">
        <v>206</v>
      </c>
      <c r="H9" s="91" t="s">
        <v>11</v>
      </c>
      <c r="I9" s="91" t="s">
        <v>186</v>
      </c>
      <c r="J9" s="92" t="s">
        <v>207</v>
      </c>
      <c r="K9" s="93">
        <v>9.6999999999999993</v>
      </c>
      <c r="L9" s="93">
        <f>K9*VLOOKUP(H9,dagsoorttabel1,2,FALSE)</f>
        <v>7.4615384615384617</v>
      </c>
      <c r="M9" s="94">
        <f>prodnorm12</f>
        <v>0</v>
      </c>
      <c r="N9" s="91" t="s">
        <v>103</v>
      </c>
      <c r="O9" s="26">
        <f>uurtarief12</f>
        <v>0</v>
      </c>
      <c r="P9" s="93" t="e">
        <f>IF(ISBLANK(M9),0,L9/ROUND(M9,4))</f>
        <v>#DIV/0!</v>
      </c>
      <c r="Q9" s="26" t="e">
        <f>ROUND(O9,2)*P9</f>
        <v>#DIV/0!</v>
      </c>
      <c r="R9" s="93" t="e">
        <f>P9*dagenperjaar1</f>
        <v>#DIV/0!</v>
      </c>
      <c r="S9" s="27" t="e">
        <f>R9*ROUND(O9,2)</f>
        <v>#DIV/0!</v>
      </c>
    </row>
    <row r="10" spans="1:19" x14ac:dyDescent="0.2">
      <c r="A10" s="90" t="s">
        <v>236</v>
      </c>
      <c r="B10" s="91" t="s">
        <v>237</v>
      </c>
      <c r="C10" s="91" t="s">
        <v>238</v>
      </c>
      <c r="D10" s="91" t="s">
        <v>251</v>
      </c>
      <c r="E10" s="92" t="s">
        <v>249</v>
      </c>
      <c r="F10" s="91" t="s">
        <v>247</v>
      </c>
      <c r="G10" s="91" t="s">
        <v>206</v>
      </c>
      <c r="H10" s="91" t="s">
        <v>11</v>
      </c>
      <c r="I10" s="91" t="s">
        <v>186</v>
      </c>
      <c r="J10" s="92" t="s">
        <v>207</v>
      </c>
      <c r="K10" s="93">
        <v>9.6999999999999993</v>
      </c>
      <c r="L10" s="93">
        <f>K10*VLOOKUP(H10,dagsoorttabel1,2,FALSE)</f>
        <v>7.4615384615384617</v>
      </c>
      <c r="M10" s="94">
        <f>prodnorm12</f>
        <v>0</v>
      </c>
      <c r="N10" s="91" t="s">
        <v>103</v>
      </c>
      <c r="O10" s="26">
        <f>uurtarief12</f>
        <v>0</v>
      </c>
      <c r="P10" s="93" t="e">
        <f>IF(ISBLANK(M10),0,L10/ROUND(M10,4))</f>
        <v>#DIV/0!</v>
      </c>
      <c r="Q10" s="26" t="e">
        <f>ROUND(O10,2)*P10</f>
        <v>#DIV/0!</v>
      </c>
      <c r="R10" s="93" t="e">
        <f>P10*dagenperjaar1</f>
        <v>#DIV/0!</v>
      </c>
      <c r="S10" s="27" t="e">
        <f>R10*ROUND(O10,2)</f>
        <v>#DIV/0!</v>
      </c>
    </row>
    <row r="11" spans="1:19" x14ac:dyDescent="0.2">
      <c r="A11" s="90" t="s">
        <v>236</v>
      </c>
      <c r="B11" s="91" t="s">
        <v>237</v>
      </c>
      <c r="C11" s="91" t="s">
        <v>238</v>
      </c>
      <c r="D11" s="91" t="s">
        <v>252</v>
      </c>
      <c r="E11" s="92" t="s">
        <v>253</v>
      </c>
      <c r="F11" s="91" t="s">
        <v>247</v>
      </c>
      <c r="G11" s="91" t="s">
        <v>214</v>
      </c>
      <c r="H11" s="91" t="s">
        <v>11</v>
      </c>
      <c r="I11" s="91" t="s">
        <v>186</v>
      </c>
      <c r="J11" s="92" t="s">
        <v>215</v>
      </c>
      <c r="K11" s="93">
        <v>109.2</v>
      </c>
      <c r="L11" s="93">
        <f>K11*VLOOKUP(H11,dagsoorttabel1,2,FALSE)</f>
        <v>84</v>
      </c>
      <c r="M11" s="94">
        <f>prodnorm16</f>
        <v>0</v>
      </c>
      <c r="N11" s="91" t="s">
        <v>103</v>
      </c>
      <c r="O11" s="26">
        <f>uurtarief16</f>
        <v>0</v>
      </c>
      <c r="P11" s="93" t="e">
        <f>IF(ISBLANK(M11),0,L11/ROUND(M11,4))</f>
        <v>#DIV/0!</v>
      </c>
      <c r="Q11" s="26" t="e">
        <f>ROUND(O11,2)*P11</f>
        <v>#DIV/0!</v>
      </c>
      <c r="R11" s="93" t="e">
        <f>P11*dagenperjaar1</f>
        <v>#DIV/0!</v>
      </c>
      <c r="S11" s="27" t="e">
        <f>R11*ROUND(O11,2)</f>
        <v>#DIV/0!</v>
      </c>
    </row>
    <row r="12" spans="1:19" x14ac:dyDescent="0.2">
      <c r="A12" s="90" t="s">
        <v>236</v>
      </c>
      <c r="B12" s="91" t="s">
        <v>237</v>
      </c>
      <c r="C12" s="91" t="s">
        <v>238</v>
      </c>
      <c r="D12" s="91" t="s">
        <v>254</v>
      </c>
      <c r="E12" s="92" t="s">
        <v>255</v>
      </c>
      <c r="F12" s="91" t="s">
        <v>247</v>
      </c>
      <c r="G12" s="91" t="s">
        <v>256</v>
      </c>
      <c r="H12" s="91"/>
      <c r="I12" s="91"/>
      <c r="J12" s="91"/>
      <c r="K12" s="93">
        <v>14.3</v>
      </c>
      <c r="L12" s="93"/>
      <c r="M12" s="94"/>
      <c r="N12" s="91"/>
      <c r="O12" s="26"/>
      <c r="P12" s="93"/>
      <c r="Q12" s="26"/>
      <c r="R12" s="95"/>
      <c r="S12" s="27"/>
    </row>
    <row r="13" spans="1:19" x14ac:dyDescent="0.2">
      <c r="A13" s="90" t="s">
        <v>236</v>
      </c>
      <c r="B13" s="91" t="s">
        <v>237</v>
      </c>
      <c r="C13" s="91" t="s">
        <v>238</v>
      </c>
      <c r="D13" s="91" t="s">
        <v>257</v>
      </c>
      <c r="E13" s="92" t="s">
        <v>258</v>
      </c>
      <c r="F13" s="91" t="s">
        <v>247</v>
      </c>
      <c r="G13" s="91" t="s">
        <v>256</v>
      </c>
      <c r="H13" s="91"/>
      <c r="I13" s="91"/>
      <c r="J13" s="91"/>
      <c r="K13" s="93">
        <v>5</v>
      </c>
      <c r="L13" s="93"/>
      <c r="M13" s="94"/>
      <c r="N13" s="91"/>
      <c r="O13" s="26"/>
      <c r="P13" s="93"/>
      <c r="Q13" s="26"/>
      <c r="R13" s="95"/>
      <c r="S13" s="27"/>
    </row>
    <row r="14" spans="1:19" x14ac:dyDescent="0.2">
      <c r="A14" s="90" t="s">
        <v>236</v>
      </c>
      <c r="B14" s="91" t="s">
        <v>237</v>
      </c>
      <c r="C14" s="91" t="s">
        <v>238</v>
      </c>
      <c r="D14" s="91" t="s">
        <v>259</v>
      </c>
      <c r="E14" s="92" t="s">
        <v>260</v>
      </c>
      <c r="F14" s="91" t="s">
        <v>247</v>
      </c>
      <c r="G14" s="91" t="s">
        <v>256</v>
      </c>
      <c r="H14" s="91"/>
      <c r="I14" s="91"/>
      <c r="J14" s="91"/>
      <c r="K14" s="93">
        <v>14.2</v>
      </c>
      <c r="L14" s="93"/>
      <c r="M14" s="94"/>
      <c r="N14" s="91"/>
      <c r="O14" s="26"/>
      <c r="P14" s="93"/>
      <c r="Q14" s="26"/>
      <c r="R14" s="95"/>
      <c r="S14" s="27"/>
    </row>
    <row r="15" spans="1:19" x14ac:dyDescent="0.2">
      <c r="A15" s="90" t="s">
        <v>236</v>
      </c>
      <c r="B15" s="91" t="s">
        <v>237</v>
      </c>
      <c r="C15" s="91" t="s">
        <v>238</v>
      </c>
      <c r="D15" s="91" t="s">
        <v>261</v>
      </c>
      <c r="E15" s="92" t="s">
        <v>262</v>
      </c>
      <c r="F15" s="91" t="s">
        <v>247</v>
      </c>
      <c r="G15" s="91" t="s">
        <v>256</v>
      </c>
      <c r="H15" s="91"/>
      <c r="I15" s="91"/>
      <c r="J15" s="91"/>
      <c r="K15" s="93">
        <v>7.4</v>
      </c>
      <c r="L15" s="93"/>
      <c r="M15" s="94"/>
      <c r="N15" s="91"/>
      <c r="O15" s="26"/>
      <c r="P15" s="93"/>
      <c r="Q15" s="26"/>
      <c r="R15" s="95"/>
      <c r="S15" s="27"/>
    </row>
    <row r="16" spans="1:19" x14ac:dyDescent="0.2">
      <c r="A16" s="90" t="s">
        <v>236</v>
      </c>
      <c r="B16" s="91" t="s">
        <v>237</v>
      </c>
      <c r="C16" s="91" t="s">
        <v>238</v>
      </c>
      <c r="D16" s="91" t="s">
        <v>263</v>
      </c>
      <c r="E16" s="92" t="s">
        <v>264</v>
      </c>
      <c r="F16" s="91" t="s">
        <v>265</v>
      </c>
      <c r="G16" s="91" t="s">
        <v>220</v>
      </c>
      <c r="H16" s="91" t="s">
        <v>11</v>
      </c>
      <c r="I16" s="91" t="s">
        <v>186</v>
      </c>
      <c r="J16" s="92" t="s">
        <v>221</v>
      </c>
      <c r="K16" s="93">
        <v>4.5999999999999996</v>
      </c>
      <c r="L16" s="93">
        <f>K16*VLOOKUP(H16,dagsoorttabel1,2,FALSE)</f>
        <v>3.5384615384615383</v>
      </c>
      <c r="M16" s="94">
        <f>prodnorm19</f>
        <v>0</v>
      </c>
      <c r="N16" s="91" t="s">
        <v>103</v>
      </c>
      <c r="O16" s="26">
        <f>uurtarief19</f>
        <v>0</v>
      </c>
      <c r="P16" s="93" t="e">
        <f>IF(ISBLANK(M16),0,L16/ROUND(M16,4))</f>
        <v>#DIV/0!</v>
      </c>
      <c r="Q16" s="26" t="e">
        <f>ROUND(O16,2)*P16</f>
        <v>#DIV/0!</v>
      </c>
      <c r="R16" s="93" t="e">
        <f>P16*dagenperjaar1</f>
        <v>#DIV/0!</v>
      </c>
      <c r="S16" s="27" t="e">
        <f>R16*ROUND(O16,2)</f>
        <v>#DIV/0!</v>
      </c>
    </row>
    <row r="17" spans="1:19" x14ac:dyDescent="0.2">
      <c r="A17" s="90" t="s">
        <v>236</v>
      </c>
      <c r="B17" s="91" t="s">
        <v>237</v>
      </c>
      <c r="C17" s="91" t="s">
        <v>238</v>
      </c>
      <c r="D17" s="91" t="s">
        <v>266</v>
      </c>
      <c r="E17" s="92" t="s">
        <v>267</v>
      </c>
      <c r="F17" s="91" t="s">
        <v>247</v>
      </c>
      <c r="G17" s="91" t="s">
        <v>214</v>
      </c>
      <c r="H17" s="91" t="s">
        <v>11</v>
      </c>
      <c r="I17" s="91" t="s">
        <v>186</v>
      </c>
      <c r="J17" s="92" t="s">
        <v>215</v>
      </c>
      <c r="K17" s="93">
        <v>90</v>
      </c>
      <c r="L17" s="93">
        <f>K17*VLOOKUP(H17,dagsoorttabel1,2,FALSE)</f>
        <v>69.230769230769241</v>
      </c>
      <c r="M17" s="94">
        <f>prodnorm16</f>
        <v>0</v>
      </c>
      <c r="N17" s="91" t="s">
        <v>103</v>
      </c>
      <c r="O17" s="26">
        <f>uurtarief16</f>
        <v>0</v>
      </c>
      <c r="P17" s="93" t="e">
        <f>IF(ISBLANK(M17),0,L17/ROUND(M17,4))</f>
        <v>#DIV/0!</v>
      </c>
      <c r="Q17" s="26" t="e">
        <f>ROUND(O17,2)*P17</f>
        <v>#DIV/0!</v>
      </c>
      <c r="R17" s="93" t="e">
        <f>P17*dagenperjaar1</f>
        <v>#DIV/0!</v>
      </c>
      <c r="S17" s="27" t="e">
        <f>R17*ROUND(O17,2)</f>
        <v>#DIV/0!</v>
      </c>
    </row>
    <row r="18" spans="1:19" x14ac:dyDescent="0.2">
      <c r="A18" s="90" t="s">
        <v>236</v>
      </c>
      <c r="B18" s="91" t="s">
        <v>237</v>
      </c>
      <c r="C18" s="91" t="s">
        <v>238</v>
      </c>
      <c r="D18" s="91" t="s">
        <v>268</v>
      </c>
      <c r="E18" s="92" t="s">
        <v>269</v>
      </c>
      <c r="F18" s="91" t="s">
        <v>247</v>
      </c>
      <c r="G18" s="91" t="s">
        <v>256</v>
      </c>
      <c r="H18" s="91"/>
      <c r="I18" s="91"/>
      <c r="J18" s="91"/>
      <c r="K18" s="93">
        <v>38.4</v>
      </c>
      <c r="L18" s="93"/>
      <c r="M18" s="94"/>
      <c r="N18" s="91"/>
      <c r="O18" s="26"/>
      <c r="P18" s="93"/>
      <c r="Q18" s="26"/>
      <c r="R18" s="95"/>
      <c r="S18" s="27"/>
    </row>
    <row r="19" spans="1:19" x14ac:dyDescent="0.2">
      <c r="A19" s="90" t="s">
        <v>236</v>
      </c>
      <c r="B19" s="91" t="s">
        <v>237</v>
      </c>
      <c r="C19" s="91" t="s">
        <v>238</v>
      </c>
      <c r="D19" s="91" t="s">
        <v>270</v>
      </c>
      <c r="E19" s="92" t="s">
        <v>267</v>
      </c>
      <c r="F19" s="91" t="s">
        <v>247</v>
      </c>
      <c r="G19" s="91" t="s">
        <v>214</v>
      </c>
      <c r="H19" s="91" t="s">
        <v>11</v>
      </c>
      <c r="I19" s="91" t="s">
        <v>186</v>
      </c>
      <c r="J19" s="92" t="s">
        <v>215</v>
      </c>
      <c r="K19" s="93">
        <v>91.5</v>
      </c>
      <c r="L19" s="93">
        <f>K19*VLOOKUP(H19,dagsoorttabel1,2,FALSE)</f>
        <v>70.384615384615387</v>
      </c>
      <c r="M19" s="94">
        <f>prodnorm16</f>
        <v>0</v>
      </c>
      <c r="N19" s="91" t="s">
        <v>103</v>
      </c>
      <c r="O19" s="26">
        <f>uurtarief16</f>
        <v>0</v>
      </c>
      <c r="P19" s="93" t="e">
        <f>IF(ISBLANK(M19),0,L19/ROUND(M19,4))</f>
        <v>#DIV/0!</v>
      </c>
      <c r="Q19" s="26" t="e">
        <f>ROUND(O19,2)*P19</f>
        <v>#DIV/0!</v>
      </c>
      <c r="R19" s="93" t="e">
        <f>P19*dagenperjaar1</f>
        <v>#DIV/0!</v>
      </c>
      <c r="S19" s="27" t="e">
        <f>R19*ROUND(O19,2)</f>
        <v>#DIV/0!</v>
      </c>
    </row>
    <row r="20" spans="1:19" ht="25.5" x14ac:dyDescent="0.2">
      <c r="A20" s="90" t="s">
        <v>236</v>
      </c>
      <c r="B20" s="91" t="s">
        <v>237</v>
      </c>
      <c r="C20" s="91" t="s">
        <v>238</v>
      </c>
      <c r="D20" s="91" t="s">
        <v>271</v>
      </c>
      <c r="E20" s="92" t="s">
        <v>272</v>
      </c>
      <c r="F20" s="91" t="s">
        <v>247</v>
      </c>
      <c r="G20" s="91" t="s">
        <v>188</v>
      </c>
      <c r="H20" s="91" t="s">
        <v>11</v>
      </c>
      <c r="I20" s="91" t="s">
        <v>186</v>
      </c>
      <c r="J20" s="92" t="s">
        <v>189</v>
      </c>
      <c r="K20" s="93">
        <v>16</v>
      </c>
      <c r="L20" s="93">
        <f>K20*VLOOKUP(H20,dagsoorttabel1,2,FALSE)</f>
        <v>12.307692307692308</v>
      </c>
      <c r="M20" s="94">
        <f>prodnorm2</f>
        <v>0</v>
      </c>
      <c r="N20" s="91" t="s">
        <v>103</v>
      </c>
      <c r="O20" s="26">
        <f>uurtarief2</f>
        <v>0</v>
      </c>
      <c r="P20" s="93" t="e">
        <f>IF(ISBLANK(M20),0,L20/ROUND(M20,4))</f>
        <v>#DIV/0!</v>
      </c>
      <c r="Q20" s="26" t="e">
        <f>ROUND(O20,2)*P20</f>
        <v>#DIV/0!</v>
      </c>
      <c r="R20" s="93" t="e">
        <f>P20*dagenperjaar1</f>
        <v>#DIV/0!</v>
      </c>
      <c r="S20" s="27" t="e">
        <f>R20*ROUND(O20,2)</f>
        <v>#DIV/0!</v>
      </c>
    </row>
    <row r="21" spans="1:19" x14ac:dyDescent="0.2">
      <c r="A21" s="90" t="s">
        <v>236</v>
      </c>
      <c r="B21" s="91" t="s">
        <v>237</v>
      </c>
      <c r="C21" s="91" t="s">
        <v>238</v>
      </c>
      <c r="D21" s="91" t="s">
        <v>273</v>
      </c>
      <c r="E21" s="92" t="s">
        <v>274</v>
      </c>
      <c r="F21" s="91" t="s">
        <v>247</v>
      </c>
      <c r="G21" s="91" t="s">
        <v>206</v>
      </c>
      <c r="H21" s="91" t="s">
        <v>11</v>
      </c>
      <c r="I21" s="91" t="s">
        <v>186</v>
      </c>
      <c r="J21" s="92" t="s">
        <v>207</v>
      </c>
      <c r="K21" s="93">
        <v>107.1</v>
      </c>
      <c r="L21" s="93">
        <f>K21*VLOOKUP(H21,dagsoorttabel1,2,FALSE)</f>
        <v>82.384615384615387</v>
      </c>
      <c r="M21" s="94">
        <f>prodnorm12</f>
        <v>0</v>
      </c>
      <c r="N21" s="91" t="s">
        <v>103</v>
      </c>
      <c r="O21" s="26">
        <f>uurtarief12</f>
        <v>0</v>
      </c>
      <c r="P21" s="93" t="e">
        <f>IF(ISBLANK(M21),0,L21/ROUND(M21,4))</f>
        <v>#DIV/0!</v>
      </c>
      <c r="Q21" s="26" t="e">
        <f>ROUND(O21,2)*P21</f>
        <v>#DIV/0!</v>
      </c>
      <c r="R21" s="93" t="e">
        <f>P21*dagenperjaar1</f>
        <v>#DIV/0!</v>
      </c>
      <c r="S21" s="27" t="e">
        <f>R21*ROUND(O21,2)</f>
        <v>#DIV/0!</v>
      </c>
    </row>
    <row r="22" spans="1:19" x14ac:dyDescent="0.2">
      <c r="A22" s="90" t="s">
        <v>236</v>
      </c>
      <c r="B22" s="91" t="s">
        <v>237</v>
      </c>
      <c r="C22" s="91" t="s">
        <v>238</v>
      </c>
      <c r="D22" s="91" t="s">
        <v>275</v>
      </c>
      <c r="E22" s="92" t="s">
        <v>249</v>
      </c>
      <c r="F22" s="91" t="s">
        <v>247</v>
      </c>
      <c r="G22" s="91" t="s">
        <v>206</v>
      </c>
      <c r="H22" s="91" t="s">
        <v>11</v>
      </c>
      <c r="I22" s="91" t="s">
        <v>186</v>
      </c>
      <c r="J22" s="92" t="s">
        <v>207</v>
      </c>
      <c r="K22" s="93">
        <v>10.1</v>
      </c>
      <c r="L22" s="93">
        <f>K22*VLOOKUP(H22,dagsoorttabel1,2,FALSE)</f>
        <v>7.7692307692307692</v>
      </c>
      <c r="M22" s="94">
        <f>prodnorm12</f>
        <v>0</v>
      </c>
      <c r="N22" s="91" t="s">
        <v>103</v>
      </c>
      <c r="O22" s="26">
        <f>uurtarief12</f>
        <v>0</v>
      </c>
      <c r="P22" s="93" t="e">
        <f>IF(ISBLANK(M22),0,L22/ROUND(M22,4))</f>
        <v>#DIV/0!</v>
      </c>
      <c r="Q22" s="26" t="e">
        <f>ROUND(O22,2)*P22</f>
        <v>#DIV/0!</v>
      </c>
      <c r="R22" s="93" t="e">
        <f>P22*dagenperjaar1</f>
        <v>#DIV/0!</v>
      </c>
      <c r="S22" s="27" t="e">
        <f>R22*ROUND(O22,2)</f>
        <v>#DIV/0!</v>
      </c>
    </row>
    <row r="23" spans="1:19" x14ac:dyDescent="0.2">
      <c r="A23" s="90" t="s">
        <v>236</v>
      </c>
      <c r="B23" s="91" t="s">
        <v>237</v>
      </c>
      <c r="C23" s="91" t="s">
        <v>238</v>
      </c>
      <c r="D23" s="91" t="s">
        <v>276</v>
      </c>
      <c r="E23" s="92" t="s">
        <v>249</v>
      </c>
      <c r="F23" s="91" t="s">
        <v>247</v>
      </c>
      <c r="G23" s="91" t="s">
        <v>206</v>
      </c>
      <c r="H23" s="91" t="s">
        <v>11</v>
      </c>
      <c r="I23" s="91" t="s">
        <v>186</v>
      </c>
      <c r="J23" s="92" t="s">
        <v>207</v>
      </c>
      <c r="K23" s="93">
        <v>10.1</v>
      </c>
      <c r="L23" s="93">
        <f>K23*VLOOKUP(H23,dagsoorttabel1,2,FALSE)</f>
        <v>7.7692307692307692</v>
      </c>
      <c r="M23" s="94">
        <f>prodnorm12</f>
        <v>0</v>
      </c>
      <c r="N23" s="91" t="s">
        <v>103</v>
      </c>
      <c r="O23" s="26">
        <f>uurtarief12</f>
        <v>0</v>
      </c>
      <c r="P23" s="93" t="e">
        <f>IF(ISBLANK(M23),0,L23/ROUND(M23,4))</f>
        <v>#DIV/0!</v>
      </c>
      <c r="Q23" s="26" t="e">
        <f>ROUND(O23,2)*P23</f>
        <v>#DIV/0!</v>
      </c>
      <c r="R23" s="93" t="e">
        <f>P23*dagenperjaar1</f>
        <v>#DIV/0!</v>
      </c>
      <c r="S23" s="27" t="e">
        <f>R23*ROUND(O23,2)</f>
        <v>#DIV/0!</v>
      </c>
    </row>
    <row r="24" spans="1:19" x14ac:dyDescent="0.2">
      <c r="A24" s="90" t="s">
        <v>236</v>
      </c>
      <c r="B24" s="91" t="s">
        <v>237</v>
      </c>
      <c r="C24" s="91" t="s">
        <v>238</v>
      </c>
      <c r="D24" s="91" t="s">
        <v>277</v>
      </c>
      <c r="E24" s="92" t="s">
        <v>249</v>
      </c>
      <c r="F24" s="91" t="s">
        <v>247</v>
      </c>
      <c r="G24" s="91" t="s">
        <v>206</v>
      </c>
      <c r="H24" s="91" t="s">
        <v>11</v>
      </c>
      <c r="I24" s="91" t="s">
        <v>186</v>
      </c>
      <c r="J24" s="92" t="s">
        <v>207</v>
      </c>
      <c r="K24" s="93">
        <v>10.1</v>
      </c>
      <c r="L24" s="93">
        <f>K24*VLOOKUP(H24,dagsoorttabel1,2,FALSE)</f>
        <v>7.7692307692307692</v>
      </c>
      <c r="M24" s="94">
        <f>prodnorm12</f>
        <v>0</v>
      </c>
      <c r="N24" s="91" t="s">
        <v>103</v>
      </c>
      <c r="O24" s="26">
        <f>uurtarief12</f>
        <v>0</v>
      </c>
      <c r="P24" s="93" t="e">
        <f>IF(ISBLANK(M24),0,L24/ROUND(M24,4))</f>
        <v>#DIV/0!</v>
      </c>
      <c r="Q24" s="26" t="e">
        <f>ROUND(O24,2)*P24</f>
        <v>#DIV/0!</v>
      </c>
      <c r="R24" s="93" t="e">
        <f>P24*dagenperjaar1</f>
        <v>#DIV/0!</v>
      </c>
      <c r="S24" s="27" t="e">
        <f>R24*ROUND(O24,2)</f>
        <v>#DIV/0!</v>
      </c>
    </row>
    <row r="25" spans="1:19" x14ac:dyDescent="0.2">
      <c r="A25" s="90" t="s">
        <v>236</v>
      </c>
      <c r="B25" s="91" t="s">
        <v>237</v>
      </c>
      <c r="C25" s="91" t="s">
        <v>238</v>
      </c>
      <c r="D25" s="91" t="s">
        <v>278</v>
      </c>
      <c r="E25" s="92" t="s">
        <v>279</v>
      </c>
      <c r="F25" s="91" t="s">
        <v>265</v>
      </c>
      <c r="G25" s="91" t="s">
        <v>256</v>
      </c>
      <c r="H25" s="91"/>
      <c r="I25" s="91"/>
      <c r="J25" s="91"/>
      <c r="K25" s="93">
        <v>3.4</v>
      </c>
      <c r="L25" s="93"/>
      <c r="M25" s="94"/>
      <c r="N25" s="91"/>
      <c r="O25" s="26"/>
      <c r="P25" s="93"/>
      <c r="Q25" s="26"/>
      <c r="R25" s="95"/>
      <c r="S25" s="27"/>
    </row>
    <row r="26" spans="1:19" x14ac:dyDescent="0.2">
      <c r="A26" s="90" t="s">
        <v>236</v>
      </c>
      <c r="B26" s="91" t="s">
        <v>237</v>
      </c>
      <c r="C26" s="91" t="s">
        <v>238</v>
      </c>
      <c r="D26" s="91" t="s">
        <v>280</v>
      </c>
      <c r="E26" s="92" t="s">
        <v>281</v>
      </c>
      <c r="F26" s="91" t="s">
        <v>247</v>
      </c>
      <c r="G26" s="91" t="s">
        <v>256</v>
      </c>
      <c r="H26" s="91"/>
      <c r="I26" s="91"/>
      <c r="J26" s="91"/>
      <c r="K26" s="93">
        <v>26.7</v>
      </c>
      <c r="L26" s="93"/>
      <c r="M26" s="94"/>
      <c r="N26" s="91"/>
      <c r="O26" s="26"/>
      <c r="P26" s="93"/>
      <c r="Q26" s="26"/>
      <c r="R26" s="95"/>
      <c r="S26" s="27"/>
    </row>
    <row r="27" spans="1:19" x14ac:dyDescent="0.2">
      <c r="A27" s="90" t="s">
        <v>236</v>
      </c>
      <c r="B27" s="91" t="s">
        <v>237</v>
      </c>
      <c r="C27" s="91" t="s">
        <v>238</v>
      </c>
      <c r="D27" s="91" t="s">
        <v>282</v>
      </c>
      <c r="E27" s="92" t="s">
        <v>283</v>
      </c>
      <c r="F27" s="91" t="s">
        <v>247</v>
      </c>
      <c r="G27" s="91" t="s">
        <v>256</v>
      </c>
      <c r="H27" s="91"/>
      <c r="I27" s="91"/>
      <c r="J27" s="91"/>
      <c r="K27" s="93">
        <v>17</v>
      </c>
      <c r="L27" s="93"/>
      <c r="M27" s="94"/>
      <c r="N27" s="91"/>
      <c r="O27" s="26"/>
      <c r="P27" s="93"/>
      <c r="Q27" s="26"/>
      <c r="R27" s="95"/>
      <c r="S27" s="27"/>
    </row>
    <row r="28" spans="1:19" x14ac:dyDescent="0.2">
      <c r="A28" s="90" t="s">
        <v>236</v>
      </c>
      <c r="B28" s="91" t="s">
        <v>237</v>
      </c>
      <c r="C28" s="91" t="s">
        <v>238</v>
      </c>
      <c r="D28" s="91" t="s">
        <v>284</v>
      </c>
      <c r="E28" s="92" t="s">
        <v>285</v>
      </c>
      <c r="F28" s="91" t="s">
        <v>265</v>
      </c>
      <c r="G28" s="91" t="s">
        <v>256</v>
      </c>
      <c r="H28" s="91"/>
      <c r="I28" s="91"/>
      <c r="J28" s="91"/>
      <c r="K28" s="93">
        <v>2.4</v>
      </c>
      <c r="L28" s="93"/>
      <c r="M28" s="94"/>
      <c r="N28" s="91"/>
      <c r="O28" s="26"/>
      <c r="P28" s="93"/>
      <c r="Q28" s="26"/>
      <c r="R28" s="95"/>
      <c r="S28" s="27"/>
    </row>
    <row r="29" spans="1:19" x14ac:dyDescent="0.2">
      <c r="A29" s="90" t="s">
        <v>236</v>
      </c>
      <c r="B29" s="91" t="s">
        <v>237</v>
      </c>
      <c r="C29" s="91" t="s">
        <v>238</v>
      </c>
      <c r="D29" s="91" t="s">
        <v>286</v>
      </c>
      <c r="E29" s="92" t="s">
        <v>287</v>
      </c>
      <c r="F29" s="91" t="s">
        <v>288</v>
      </c>
      <c r="G29" s="91" t="s">
        <v>216</v>
      </c>
      <c r="H29" s="91" t="s">
        <v>11</v>
      </c>
      <c r="I29" s="91" t="s">
        <v>186</v>
      </c>
      <c r="J29" s="92" t="s">
        <v>217</v>
      </c>
      <c r="K29" s="93">
        <v>9.1</v>
      </c>
      <c r="L29" s="93">
        <f>K29*VLOOKUP(H29,dagsoorttabel1,2,FALSE)</f>
        <v>7</v>
      </c>
      <c r="M29" s="94">
        <f>prodnorm17</f>
        <v>0</v>
      </c>
      <c r="N29" s="91" t="s">
        <v>103</v>
      </c>
      <c r="O29" s="26">
        <f>uurtarief17</f>
        <v>0</v>
      </c>
      <c r="P29" s="93" t="e">
        <f>IF(ISBLANK(M29),0,L29/ROUND(M29,4))</f>
        <v>#DIV/0!</v>
      </c>
      <c r="Q29" s="26" t="e">
        <f>ROUND(O29,2)*P29</f>
        <v>#DIV/0!</v>
      </c>
      <c r="R29" s="93" t="e">
        <f>P29*dagenperjaar1</f>
        <v>#DIV/0!</v>
      </c>
      <c r="S29" s="27" t="e">
        <f>R29*ROUND(O29,2)</f>
        <v>#DIV/0!</v>
      </c>
    </row>
    <row r="30" spans="1:19" x14ac:dyDescent="0.2">
      <c r="A30" s="90" t="s">
        <v>236</v>
      </c>
      <c r="B30" s="91" t="s">
        <v>237</v>
      </c>
      <c r="C30" s="91" t="s">
        <v>238</v>
      </c>
      <c r="D30" s="91" t="s">
        <v>286</v>
      </c>
      <c r="E30" s="92" t="s">
        <v>287</v>
      </c>
      <c r="F30" s="91" t="s">
        <v>288</v>
      </c>
      <c r="G30" s="91" t="s">
        <v>218</v>
      </c>
      <c r="H30" s="91" t="s">
        <v>11</v>
      </c>
      <c r="I30" s="91" t="s">
        <v>186</v>
      </c>
      <c r="J30" s="92" t="s">
        <v>219</v>
      </c>
      <c r="K30" s="93">
        <v>9.1</v>
      </c>
      <c r="L30" s="93">
        <f>K30*VLOOKUP(H30,dagsoorttabel1,2,FALSE)</f>
        <v>7</v>
      </c>
      <c r="M30" s="94">
        <f>prodnorm18</f>
        <v>0</v>
      </c>
      <c r="N30" s="91" t="s">
        <v>103</v>
      </c>
      <c r="O30" s="26">
        <f>uurtarief18</f>
        <v>0</v>
      </c>
      <c r="P30" s="93" t="e">
        <f>IF(ISBLANK(M30),0,L30/ROUND(M30,4))</f>
        <v>#DIV/0!</v>
      </c>
      <c r="Q30" s="26" t="e">
        <f>ROUND(O30,2)*P30</f>
        <v>#DIV/0!</v>
      </c>
      <c r="R30" s="93" t="e">
        <f>P30*dagenperjaar1</f>
        <v>#DIV/0!</v>
      </c>
      <c r="S30" s="27" t="e">
        <f>R30*ROUND(O30,2)</f>
        <v>#DIV/0!</v>
      </c>
    </row>
    <row r="31" spans="1:19" x14ac:dyDescent="0.2">
      <c r="A31" s="90" t="s">
        <v>236</v>
      </c>
      <c r="B31" s="91" t="s">
        <v>237</v>
      </c>
      <c r="C31" s="91" t="s">
        <v>238</v>
      </c>
      <c r="D31" s="91" t="s">
        <v>289</v>
      </c>
      <c r="E31" s="92" t="s">
        <v>287</v>
      </c>
      <c r="F31" s="91" t="s">
        <v>288</v>
      </c>
      <c r="G31" s="91" t="s">
        <v>216</v>
      </c>
      <c r="H31" s="91" t="s">
        <v>11</v>
      </c>
      <c r="I31" s="91" t="s">
        <v>186</v>
      </c>
      <c r="J31" s="92" t="s">
        <v>217</v>
      </c>
      <c r="K31" s="93">
        <v>9.1</v>
      </c>
      <c r="L31" s="93">
        <f>K31*VLOOKUP(H31,dagsoorttabel1,2,FALSE)</f>
        <v>7</v>
      </c>
      <c r="M31" s="94">
        <f>prodnorm17</f>
        <v>0</v>
      </c>
      <c r="N31" s="91" t="s">
        <v>103</v>
      </c>
      <c r="O31" s="26">
        <f>uurtarief17</f>
        <v>0</v>
      </c>
      <c r="P31" s="93" t="e">
        <f>IF(ISBLANK(M31),0,L31/ROUND(M31,4))</f>
        <v>#DIV/0!</v>
      </c>
      <c r="Q31" s="26" t="e">
        <f>ROUND(O31,2)*P31</f>
        <v>#DIV/0!</v>
      </c>
      <c r="R31" s="93" t="e">
        <f>P31*dagenperjaar1</f>
        <v>#DIV/0!</v>
      </c>
      <c r="S31" s="27" t="e">
        <f>R31*ROUND(O31,2)</f>
        <v>#DIV/0!</v>
      </c>
    </row>
    <row r="32" spans="1:19" x14ac:dyDescent="0.2">
      <c r="A32" s="90" t="s">
        <v>236</v>
      </c>
      <c r="B32" s="91" t="s">
        <v>237</v>
      </c>
      <c r="C32" s="91" t="s">
        <v>238</v>
      </c>
      <c r="D32" s="91" t="s">
        <v>289</v>
      </c>
      <c r="E32" s="92" t="s">
        <v>287</v>
      </c>
      <c r="F32" s="91" t="s">
        <v>288</v>
      </c>
      <c r="G32" s="91" t="s">
        <v>218</v>
      </c>
      <c r="H32" s="91" t="s">
        <v>11</v>
      </c>
      <c r="I32" s="91" t="s">
        <v>186</v>
      </c>
      <c r="J32" s="92" t="s">
        <v>219</v>
      </c>
      <c r="K32" s="93">
        <v>9.1</v>
      </c>
      <c r="L32" s="93">
        <f>K32*VLOOKUP(H32,dagsoorttabel1,2,FALSE)</f>
        <v>7</v>
      </c>
      <c r="M32" s="94">
        <f>prodnorm18</f>
        <v>0</v>
      </c>
      <c r="N32" s="91" t="s">
        <v>103</v>
      </c>
      <c r="O32" s="26">
        <f>uurtarief18</f>
        <v>0</v>
      </c>
      <c r="P32" s="93" t="e">
        <f>IF(ISBLANK(M32),0,L32/ROUND(M32,4))</f>
        <v>#DIV/0!</v>
      </c>
      <c r="Q32" s="26" t="e">
        <f>ROUND(O32,2)*P32</f>
        <v>#DIV/0!</v>
      </c>
      <c r="R32" s="93" t="e">
        <f>P32*dagenperjaar1</f>
        <v>#DIV/0!</v>
      </c>
      <c r="S32" s="27" t="e">
        <f>R32*ROUND(O32,2)</f>
        <v>#DIV/0!</v>
      </c>
    </row>
    <row r="33" spans="1:19" x14ac:dyDescent="0.2">
      <c r="A33" s="90" t="s">
        <v>236</v>
      </c>
      <c r="B33" s="91" t="s">
        <v>237</v>
      </c>
      <c r="C33" s="91" t="s">
        <v>238</v>
      </c>
      <c r="D33" s="91" t="s">
        <v>290</v>
      </c>
      <c r="E33" s="92" t="s">
        <v>291</v>
      </c>
      <c r="F33" s="91" t="s">
        <v>288</v>
      </c>
      <c r="G33" s="91" t="s">
        <v>212</v>
      </c>
      <c r="H33" s="91" t="s">
        <v>11</v>
      </c>
      <c r="I33" s="91" t="s">
        <v>186</v>
      </c>
      <c r="J33" s="92" t="s">
        <v>213</v>
      </c>
      <c r="K33" s="93">
        <v>37.200000000000003</v>
      </c>
      <c r="L33" s="93">
        <f>K33*VLOOKUP(H33,dagsoorttabel1,2,FALSE)</f>
        <v>28.61538461538462</v>
      </c>
      <c r="M33" s="94">
        <f>prodnorm15</f>
        <v>0</v>
      </c>
      <c r="N33" s="91" t="s">
        <v>103</v>
      </c>
      <c r="O33" s="26">
        <f>uurtarief15</f>
        <v>0</v>
      </c>
      <c r="P33" s="93" t="e">
        <f>IF(ISBLANK(M33),0,L33/ROUND(M33,4))</f>
        <v>#DIV/0!</v>
      </c>
      <c r="Q33" s="26" t="e">
        <f>ROUND(O33,2)*P33</f>
        <v>#DIV/0!</v>
      </c>
      <c r="R33" s="93" t="e">
        <f>P33*dagenperjaar1</f>
        <v>#DIV/0!</v>
      </c>
      <c r="S33" s="27" t="e">
        <f>R33*ROUND(O33,2)</f>
        <v>#DIV/0!</v>
      </c>
    </row>
    <row r="34" spans="1:19" x14ac:dyDescent="0.2">
      <c r="A34" s="90" t="s">
        <v>236</v>
      </c>
      <c r="B34" s="91" t="s">
        <v>237</v>
      </c>
      <c r="C34" s="91" t="s">
        <v>238</v>
      </c>
      <c r="D34" s="91" t="s">
        <v>292</v>
      </c>
      <c r="E34" s="92" t="s">
        <v>293</v>
      </c>
      <c r="F34" s="91" t="s">
        <v>288</v>
      </c>
      <c r="G34" s="91" t="s">
        <v>212</v>
      </c>
      <c r="H34" s="91" t="s">
        <v>11</v>
      </c>
      <c r="I34" s="91" t="s">
        <v>186</v>
      </c>
      <c r="J34" s="92" t="s">
        <v>213</v>
      </c>
      <c r="K34" s="93">
        <v>6.3</v>
      </c>
      <c r="L34" s="93">
        <f>K34*VLOOKUP(H34,dagsoorttabel1,2,FALSE)</f>
        <v>4.8461538461538467</v>
      </c>
      <c r="M34" s="94">
        <f>prodnorm15</f>
        <v>0</v>
      </c>
      <c r="N34" s="91" t="s">
        <v>103</v>
      </c>
      <c r="O34" s="26">
        <f>uurtarief15</f>
        <v>0</v>
      </c>
      <c r="P34" s="93" t="e">
        <f>IF(ISBLANK(M34),0,L34/ROUND(M34,4))</f>
        <v>#DIV/0!</v>
      </c>
      <c r="Q34" s="26" t="e">
        <f>ROUND(O34,2)*P34</f>
        <v>#DIV/0!</v>
      </c>
      <c r="R34" s="93" t="e">
        <f>P34*dagenperjaar1</f>
        <v>#DIV/0!</v>
      </c>
      <c r="S34" s="27" t="e">
        <f>R34*ROUND(O34,2)</f>
        <v>#DIV/0!</v>
      </c>
    </row>
    <row r="35" spans="1:19" ht="25.5" x14ac:dyDescent="0.2">
      <c r="A35" s="90" t="s">
        <v>236</v>
      </c>
      <c r="B35" s="91" t="s">
        <v>237</v>
      </c>
      <c r="C35" s="91" t="s">
        <v>294</v>
      </c>
      <c r="D35" s="91" t="s">
        <v>295</v>
      </c>
      <c r="E35" s="92" t="s">
        <v>296</v>
      </c>
      <c r="F35" s="91" t="s">
        <v>247</v>
      </c>
      <c r="G35" s="91" t="s">
        <v>188</v>
      </c>
      <c r="H35" s="91" t="s">
        <v>11</v>
      </c>
      <c r="I35" s="91" t="s">
        <v>186</v>
      </c>
      <c r="J35" s="92" t="s">
        <v>189</v>
      </c>
      <c r="K35" s="93">
        <v>28.6</v>
      </c>
      <c r="L35" s="93">
        <f>K35*VLOOKUP(H35,dagsoorttabel1,2,FALSE)</f>
        <v>22.000000000000004</v>
      </c>
      <c r="M35" s="94">
        <f>prodnorm2</f>
        <v>0</v>
      </c>
      <c r="N35" s="91" t="s">
        <v>103</v>
      </c>
      <c r="O35" s="26">
        <f>uurtarief2</f>
        <v>0</v>
      </c>
      <c r="P35" s="93" t="e">
        <f>IF(ISBLANK(M35),0,L35/ROUND(M35,4))</f>
        <v>#DIV/0!</v>
      </c>
      <c r="Q35" s="26" t="e">
        <f>ROUND(O35,2)*P35</f>
        <v>#DIV/0!</v>
      </c>
      <c r="R35" s="93" t="e">
        <f>P35*dagenperjaar1</f>
        <v>#DIV/0!</v>
      </c>
      <c r="S35" s="27" t="e">
        <f>R35*ROUND(O35,2)</f>
        <v>#DIV/0!</v>
      </c>
    </row>
    <row r="36" spans="1:19" ht="25.5" x14ac:dyDescent="0.2">
      <c r="A36" s="90" t="s">
        <v>236</v>
      </c>
      <c r="B36" s="91" t="s">
        <v>237</v>
      </c>
      <c r="C36" s="91" t="s">
        <v>294</v>
      </c>
      <c r="D36" s="91" t="s">
        <v>297</v>
      </c>
      <c r="E36" s="92" t="s">
        <v>298</v>
      </c>
      <c r="F36" s="91" t="s">
        <v>247</v>
      </c>
      <c r="G36" s="91" t="s">
        <v>222</v>
      </c>
      <c r="H36" s="91" t="s">
        <v>11</v>
      </c>
      <c r="I36" s="91" t="s">
        <v>186</v>
      </c>
      <c r="J36" s="92" t="s">
        <v>223</v>
      </c>
      <c r="K36" s="93">
        <v>108.8</v>
      </c>
      <c r="L36" s="93">
        <f>K36*VLOOKUP(H36,dagsoorttabel1,2,FALSE)</f>
        <v>83.692307692307693</v>
      </c>
      <c r="M36" s="94">
        <f>prodnorm20</f>
        <v>0</v>
      </c>
      <c r="N36" s="91" t="s">
        <v>103</v>
      </c>
      <c r="O36" s="26">
        <f>uurtarief20</f>
        <v>0</v>
      </c>
      <c r="P36" s="93" t="e">
        <f>IF(ISBLANK(M36),0,L36/ROUND(M36,4))</f>
        <v>#DIV/0!</v>
      </c>
      <c r="Q36" s="26" t="e">
        <f>ROUND(O36,2)*P36</f>
        <v>#DIV/0!</v>
      </c>
      <c r="R36" s="93" t="e">
        <f>P36*dagenperjaar1</f>
        <v>#DIV/0!</v>
      </c>
      <c r="S36" s="27" t="e">
        <f>R36*ROUND(O36,2)</f>
        <v>#DIV/0!</v>
      </c>
    </row>
    <row r="37" spans="1:19" x14ac:dyDescent="0.2">
      <c r="A37" s="90" t="s">
        <v>236</v>
      </c>
      <c r="B37" s="91" t="s">
        <v>237</v>
      </c>
      <c r="C37" s="91" t="s">
        <v>294</v>
      </c>
      <c r="D37" s="91" t="s">
        <v>299</v>
      </c>
      <c r="E37" s="92" t="s">
        <v>300</v>
      </c>
      <c r="F37" s="91" t="s">
        <v>247</v>
      </c>
      <c r="G37" s="91" t="s">
        <v>214</v>
      </c>
      <c r="H37" s="91" t="s">
        <v>11</v>
      </c>
      <c r="I37" s="91" t="s">
        <v>186</v>
      </c>
      <c r="J37" s="92" t="s">
        <v>215</v>
      </c>
      <c r="K37" s="93">
        <v>149.5</v>
      </c>
      <c r="L37" s="93">
        <f>K37*VLOOKUP(H37,dagsoorttabel1,2,FALSE)</f>
        <v>115</v>
      </c>
      <c r="M37" s="94">
        <f>prodnorm16</f>
        <v>0</v>
      </c>
      <c r="N37" s="91" t="s">
        <v>103</v>
      </c>
      <c r="O37" s="26">
        <f>uurtarief16</f>
        <v>0</v>
      </c>
      <c r="P37" s="93" t="e">
        <f>IF(ISBLANK(M37),0,L37/ROUND(M37,4))</f>
        <v>#DIV/0!</v>
      </c>
      <c r="Q37" s="26" t="e">
        <f>ROUND(O37,2)*P37</f>
        <v>#DIV/0!</v>
      </c>
      <c r="R37" s="93" t="e">
        <f>P37*dagenperjaar1</f>
        <v>#DIV/0!</v>
      </c>
      <c r="S37" s="27" t="e">
        <f>R37*ROUND(O37,2)</f>
        <v>#DIV/0!</v>
      </c>
    </row>
    <row r="38" spans="1:19" ht="25.5" x14ac:dyDescent="0.2">
      <c r="A38" s="90" t="s">
        <v>236</v>
      </c>
      <c r="B38" s="91" t="s">
        <v>237</v>
      </c>
      <c r="C38" s="91" t="s">
        <v>294</v>
      </c>
      <c r="D38" s="91" t="s">
        <v>301</v>
      </c>
      <c r="E38" s="92" t="s">
        <v>302</v>
      </c>
      <c r="F38" s="91" t="s">
        <v>247</v>
      </c>
      <c r="G38" s="91" t="s">
        <v>188</v>
      </c>
      <c r="H38" s="91" t="s">
        <v>11</v>
      </c>
      <c r="I38" s="91" t="s">
        <v>186</v>
      </c>
      <c r="J38" s="92" t="s">
        <v>189</v>
      </c>
      <c r="K38" s="93">
        <v>6</v>
      </c>
      <c r="L38" s="93">
        <f>K38*VLOOKUP(H38,dagsoorttabel1,2,FALSE)</f>
        <v>4.6153846153846159</v>
      </c>
      <c r="M38" s="94">
        <f>prodnorm2</f>
        <v>0</v>
      </c>
      <c r="N38" s="91" t="s">
        <v>103</v>
      </c>
      <c r="O38" s="26">
        <f>uurtarief2</f>
        <v>0</v>
      </c>
      <c r="P38" s="93" t="e">
        <f>IF(ISBLANK(M38),0,L38/ROUND(M38,4))</f>
        <v>#DIV/0!</v>
      </c>
      <c r="Q38" s="26" t="e">
        <f>ROUND(O38,2)*P38</f>
        <v>#DIV/0!</v>
      </c>
      <c r="R38" s="93" t="e">
        <f>P38*dagenperjaar1</f>
        <v>#DIV/0!</v>
      </c>
      <c r="S38" s="27" t="e">
        <f>R38*ROUND(O38,2)</f>
        <v>#DIV/0!</v>
      </c>
    </row>
    <row r="39" spans="1:19" ht="25.5" x14ac:dyDescent="0.2">
      <c r="A39" s="90" t="s">
        <v>236</v>
      </c>
      <c r="B39" s="91" t="s">
        <v>237</v>
      </c>
      <c r="C39" s="91" t="s">
        <v>294</v>
      </c>
      <c r="D39" s="91" t="s">
        <v>303</v>
      </c>
      <c r="E39" s="92" t="s">
        <v>302</v>
      </c>
      <c r="F39" s="91" t="s">
        <v>247</v>
      </c>
      <c r="G39" s="91" t="s">
        <v>188</v>
      </c>
      <c r="H39" s="91" t="s">
        <v>11</v>
      </c>
      <c r="I39" s="91" t="s">
        <v>186</v>
      </c>
      <c r="J39" s="92" t="s">
        <v>189</v>
      </c>
      <c r="K39" s="93">
        <v>6.5</v>
      </c>
      <c r="L39" s="93">
        <f>K39*VLOOKUP(H39,dagsoorttabel1,2,FALSE)</f>
        <v>5</v>
      </c>
      <c r="M39" s="94">
        <f>prodnorm2</f>
        <v>0</v>
      </c>
      <c r="N39" s="91" t="s">
        <v>103</v>
      </c>
      <c r="O39" s="26">
        <f>uurtarief2</f>
        <v>0</v>
      </c>
      <c r="P39" s="93" t="e">
        <f>IF(ISBLANK(M39),0,L39/ROUND(M39,4))</f>
        <v>#DIV/0!</v>
      </c>
      <c r="Q39" s="26" t="e">
        <f>ROUND(O39,2)*P39</f>
        <v>#DIV/0!</v>
      </c>
      <c r="R39" s="93" t="e">
        <f>P39*dagenperjaar1</f>
        <v>#DIV/0!</v>
      </c>
      <c r="S39" s="27" t="e">
        <f>R39*ROUND(O39,2)</f>
        <v>#DIV/0!</v>
      </c>
    </row>
    <row r="40" spans="1:19" ht="25.5" x14ac:dyDescent="0.2">
      <c r="A40" s="90" t="s">
        <v>236</v>
      </c>
      <c r="B40" s="91" t="s">
        <v>237</v>
      </c>
      <c r="C40" s="91" t="s">
        <v>294</v>
      </c>
      <c r="D40" s="91" t="s">
        <v>304</v>
      </c>
      <c r="E40" s="92" t="s">
        <v>302</v>
      </c>
      <c r="F40" s="91" t="s">
        <v>247</v>
      </c>
      <c r="G40" s="91" t="s">
        <v>188</v>
      </c>
      <c r="H40" s="91" t="s">
        <v>11</v>
      </c>
      <c r="I40" s="91" t="s">
        <v>186</v>
      </c>
      <c r="J40" s="92" t="s">
        <v>189</v>
      </c>
      <c r="K40" s="93">
        <v>5.5</v>
      </c>
      <c r="L40" s="93">
        <f>K40*VLOOKUP(H40,dagsoorttabel1,2,FALSE)</f>
        <v>4.2307692307692308</v>
      </c>
      <c r="M40" s="94">
        <f>prodnorm2</f>
        <v>0</v>
      </c>
      <c r="N40" s="91" t="s">
        <v>103</v>
      </c>
      <c r="O40" s="26">
        <f>uurtarief2</f>
        <v>0</v>
      </c>
      <c r="P40" s="93" t="e">
        <f>IF(ISBLANK(M40),0,L40/ROUND(M40,4))</f>
        <v>#DIV/0!</v>
      </c>
      <c r="Q40" s="26" t="e">
        <f>ROUND(O40,2)*P40</f>
        <v>#DIV/0!</v>
      </c>
      <c r="R40" s="93" t="e">
        <f>P40*dagenperjaar1</f>
        <v>#DIV/0!</v>
      </c>
      <c r="S40" s="27" t="e">
        <f>R40*ROUND(O40,2)</f>
        <v>#DIV/0!</v>
      </c>
    </row>
    <row r="41" spans="1:19" ht="25.5" x14ac:dyDescent="0.2">
      <c r="A41" s="90" t="s">
        <v>236</v>
      </c>
      <c r="B41" s="91" t="s">
        <v>237</v>
      </c>
      <c r="C41" s="91" t="s">
        <v>294</v>
      </c>
      <c r="D41" s="91" t="s">
        <v>305</v>
      </c>
      <c r="E41" s="92" t="s">
        <v>302</v>
      </c>
      <c r="F41" s="91" t="s">
        <v>247</v>
      </c>
      <c r="G41" s="91" t="s">
        <v>188</v>
      </c>
      <c r="H41" s="91" t="s">
        <v>11</v>
      </c>
      <c r="I41" s="91" t="s">
        <v>186</v>
      </c>
      <c r="J41" s="92" t="s">
        <v>189</v>
      </c>
      <c r="K41" s="93">
        <v>7.9</v>
      </c>
      <c r="L41" s="93">
        <f>K41*VLOOKUP(H41,dagsoorttabel1,2,FALSE)</f>
        <v>6.0769230769230775</v>
      </c>
      <c r="M41" s="94">
        <f>prodnorm2</f>
        <v>0</v>
      </c>
      <c r="N41" s="91" t="s">
        <v>103</v>
      </c>
      <c r="O41" s="26">
        <f>uurtarief2</f>
        <v>0</v>
      </c>
      <c r="P41" s="93" t="e">
        <f>IF(ISBLANK(M41),0,L41/ROUND(M41,4))</f>
        <v>#DIV/0!</v>
      </c>
      <c r="Q41" s="26" t="e">
        <f>ROUND(O41,2)*P41</f>
        <v>#DIV/0!</v>
      </c>
      <c r="R41" s="93" t="e">
        <f>P41*dagenperjaar1</f>
        <v>#DIV/0!</v>
      </c>
      <c r="S41" s="27" t="e">
        <f>R41*ROUND(O41,2)</f>
        <v>#DIV/0!</v>
      </c>
    </row>
    <row r="42" spans="1:19" ht="25.5" x14ac:dyDescent="0.2">
      <c r="A42" s="90" t="s">
        <v>236</v>
      </c>
      <c r="B42" s="91" t="s">
        <v>237</v>
      </c>
      <c r="C42" s="91" t="s">
        <v>294</v>
      </c>
      <c r="D42" s="91" t="s">
        <v>306</v>
      </c>
      <c r="E42" s="92" t="s">
        <v>302</v>
      </c>
      <c r="F42" s="91" t="s">
        <v>247</v>
      </c>
      <c r="G42" s="91" t="s">
        <v>188</v>
      </c>
      <c r="H42" s="91" t="s">
        <v>11</v>
      </c>
      <c r="I42" s="91" t="s">
        <v>186</v>
      </c>
      <c r="J42" s="92" t="s">
        <v>189</v>
      </c>
      <c r="K42" s="93">
        <v>5.3</v>
      </c>
      <c r="L42" s="93">
        <f>K42*VLOOKUP(H42,dagsoorttabel1,2,FALSE)</f>
        <v>4.0769230769230766</v>
      </c>
      <c r="M42" s="94">
        <f>prodnorm2</f>
        <v>0</v>
      </c>
      <c r="N42" s="91" t="s">
        <v>103</v>
      </c>
      <c r="O42" s="26">
        <f>uurtarief2</f>
        <v>0</v>
      </c>
      <c r="P42" s="93" t="e">
        <f>IF(ISBLANK(M42),0,L42/ROUND(M42,4))</f>
        <v>#DIV/0!</v>
      </c>
      <c r="Q42" s="26" t="e">
        <f>ROUND(O42,2)*P42</f>
        <v>#DIV/0!</v>
      </c>
      <c r="R42" s="93" t="e">
        <f>P42*dagenperjaar1</f>
        <v>#DIV/0!</v>
      </c>
      <c r="S42" s="27" t="e">
        <f>R42*ROUND(O42,2)</f>
        <v>#DIV/0!</v>
      </c>
    </row>
    <row r="43" spans="1:19" x14ac:dyDescent="0.2">
      <c r="A43" s="90" t="s">
        <v>236</v>
      </c>
      <c r="B43" s="91" t="s">
        <v>237</v>
      </c>
      <c r="C43" s="91" t="s">
        <v>294</v>
      </c>
      <c r="D43" s="91" t="s">
        <v>307</v>
      </c>
      <c r="E43" s="92" t="s">
        <v>262</v>
      </c>
      <c r="F43" s="91" t="s">
        <v>247</v>
      </c>
      <c r="G43" s="91" t="s">
        <v>256</v>
      </c>
      <c r="H43" s="91"/>
      <c r="I43" s="91"/>
      <c r="J43" s="91"/>
      <c r="K43" s="93">
        <v>13.4</v>
      </c>
      <c r="L43" s="93"/>
      <c r="M43" s="94"/>
      <c r="N43" s="91"/>
      <c r="O43" s="26"/>
      <c r="P43" s="93"/>
      <c r="Q43" s="26"/>
      <c r="R43" s="95"/>
      <c r="S43" s="27"/>
    </row>
    <row r="44" spans="1:19" x14ac:dyDescent="0.2">
      <c r="A44" s="90" t="s">
        <v>236</v>
      </c>
      <c r="B44" s="91" t="s">
        <v>237</v>
      </c>
      <c r="C44" s="91" t="s">
        <v>294</v>
      </c>
      <c r="D44" s="91" t="s">
        <v>308</v>
      </c>
      <c r="E44" s="92" t="s">
        <v>309</v>
      </c>
      <c r="F44" s="91" t="s">
        <v>247</v>
      </c>
      <c r="G44" s="91" t="s">
        <v>206</v>
      </c>
      <c r="H44" s="91" t="s">
        <v>11</v>
      </c>
      <c r="I44" s="91" t="s">
        <v>186</v>
      </c>
      <c r="J44" s="92" t="s">
        <v>207</v>
      </c>
      <c r="K44" s="93">
        <v>59.7</v>
      </c>
      <c r="L44" s="93">
        <f>K44*VLOOKUP(H44,dagsoorttabel1,2,FALSE)</f>
        <v>45.923076923076927</v>
      </c>
      <c r="M44" s="94">
        <f>prodnorm12</f>
        <v>0</v>
      </c>
      <c r="N44" s="91" t="s">
        <v>103</v>
      </c>
      <c r="O44" s="26">
        <f>uurtarief12</f>
        <v>0</v>
      </c>
      <c r="P44" s="93" t="e">
        <f>IF(ISBLANK(M44),0,L44/ROUND(M44,4))</f>
        <v>#DIV/0!</v>
      </c>
      <c r="Q44" s="26" t="e">
        <f>ROUND(O44,2)*P44</f>
        <v>#DIV/0!</v>
      </c>
      <c r="R44" s="93" t="e">
        <f>P44*dagenperjaar1</f>
        <v>#DIV/0!</v>
      </c>
      <c r="S44" s="27" t="e">
        <f>R44*ROUND(O44,2)</f>
        <v>#DIV/0!</v>
      </c>
    </row>
    <row r="45" spans="1:19" x14ac:dyDescent="0.2">
      <c r="A45" s="90" t="s">
        <v>236</v>
      </c>
      <c r="B45" s="91" t="s">
        <v>237</v>
      </c>
      <c r="C45" s="91" t="s">
        <v>294</v>
      </c>
      <c r="D45" s="91" t="s">
        <v>310</v>
      </c>
      <c r="E45" s="92" t="s">
        <v>309</v>
      </c>
      <c r="F45" s="91" t="s">
        <v>247</v>
      </c>
      <c r="G45" s="91" t="s">
        <v>206</v>
      </c>
      <c r="H45" s="91" t="s">
        <v>11</v>
      </c>
      <c r="I45" s="91" t="s">
        <v>186</v>
      </c>
      <c r="J45" s="92" t="s">
        <v>207</v>
      </c>
      <c r="K45" s="93">
        <v>57.6</v>
      </c>
      <c r="L45" s="93">
        <f>K45*VLOOKUP(H45,dagsoorttabel1,2,FALSE)</f>
        <v>44.307692307692314</v>
      </c>
      <c r="M45" s="94">
        <f>prodnorm12</f>
        <v>0</v>
      </c>
      <c r="N45" s="91" t="s">
        <v>103</v>
      </c>
      <c r="O45" s="26">
        <f>uurtarief12</f>
        <v>0</v>
      </c>
      <c r="P45" s="93" t="e">
        <f>IF(ISBLANK(M45),0,L45/ROUND(M45,4))</f>
        <v>#DIV/0!</v>
      </c>
      <c r="Q45" s="26" t="e">
        <f>ROUND(O45,2)*P45</f>
        <v>#DIV/0!</v>
      </c>
      <c r="R45" s="93" t="e">
        <f>P45*dagenperjaar1</f>
        <v>#DIV/0!</v>
      </c>
      <c r="S45" s="27" t="e">
        <f>R45*ROUND(O45,2)</f>
        <v>#DIV/0!</v>
      </c>
    </row>
    <row r="46" spans="1:19" x14ac:dyDescent="0.2">
      <c r="A46" s="90" t="s">
        <v>236</v>
      </c>
      <c r="B46" s="91" t="s">
        <v>237</v>
      </c>
      <c r="C46" s="91" t="s">
        <v>294</v>
      </c>
      <c r="D46" s="91" t="s">
        <v>311</v>
      </c>
      <c r="E46" s="92" t="s">
        <v>264</v>
      </c>
      <c r="F46" s="91" t="s">
        <v>247</v>
      </c>
      <c r="G46" s="91" t="s">
        <v>220</v>
      </c>
      <c r="H46" s="91" t="s">
        <v>11</v>
      </c>
      <c r="I46" s="91" t="s">
        <v>186</v>
      </c>
      <c r="J46" s="92" t="s">
        <v>221</v>
      </c>
      <c r="K46" s="93">
        <v>9.3000000000000007</v>
      </c>
      <c r="L46" s="93">
        <f>K46*VLOOKUP(H46,dagsoorttabel1,2,FALSE)</f>
        <v>7.1538461538461551</v>
      </c>
      <c r="M46" s="94">
        <f>prodnorm19</f>
        <v>0</v>
      </c>
      <c r="N46" s="91" t="s">
        <v>103</v>
      </c>
      <c r="O46" s="26">
        <f>uurtarief19</f>
        <v>0</v>
      </c>
      <c r="P46" s="93" t="e">
        <f>IF(ISBLANK(M46),0,L46/ROUND(M46,4))</f>
        <v>#DIV/0!</v>
      </c>
      <c r="Q46" s="26" t="e">
        <f>ROUND(O46,2)*P46</f>
        <v>#DIV/0!</v>
      </c>
      <c r="R46" s="93" t="e">
        <f>P46*dagenperjaar1</f>
        <v>#DIV/0!</v>
      </c>
      <c r="S46" s="27" t="e">
        <f>R46*ROUND(O46,2)</f>
        <v>#DIV/0!</v>
      </c>
    </row>
    <row r="47" spans="1:19" x14ac:dyDescent="0.2">
      <c r="A47" s="90" t="s">
        <v>236</v>
      </c>
      <c r="B47" s="91" t="s">
        <v>237</v>
      </c>
      <c r="C47" s="91" t="s">
        <v>294</v>
      </c>
      <c r="D47" s="91" t="s">
        <v>312</v>
      </c>
      <c r="E47" s="92" t="s">
        <v>309</v>
      </c>
      <c r="F47" s="91" t="s">
        <v>247</v>
      </c>
      <c r="G47" s="91" t="s">
        <v>206</v>
      </c>
      <c r="H47" s="91" t="s">
        <v>11</v>
      </c>
      <c r="I47" s="91" t="s">
        <v>186</v>
      </c>
      <c r="J47" s="92" t="s">
        <v>207</v>
      </c>
      <c r="K47" s="93">
        <v>59.9</v>
      </c>
      <c r="L47" s="93">
        <f>K47*VLOOKUP(H47,dagsoorttabel1,2,FALSE)</f>
        <v>46.07692307692308</v>
      </c>
      <c r="M47" s="94">
        <f>prodnorm12</f>
        <v>0</v>
      </c>
      <c r="N47" s="91" t="s">
        <v>103</v>
      </c>
      <c r="O47" s="26">
        <f>uurtarief12</f>
        <v>0</v>
      </c>
      <c r="P47" s="93" t="e">
        <f>IF(ISBLANK(M47),0,L47/ROUND(M47,4))</f>
        <v>#DIV/0!</v>
      </c>
      <c r="Q47" s="26" t="e">
        <f>ROUND(O47,2)*P47</f>
        <v>#DIV/0!</v>
      </c>
      <c r="R47" s="93" t="e">
        <f>P47*dagenperjaar1</f>
        <v>#DIV/0!</v>
      </c>
      <c r="S47" s="27" t="e">
        <f>R47*ROUND(O47,2)</f>
        <v>#DIV/0!</v>
      </c>
    </row>
    <row r="48" spans="1:19" x14ac:dyDescent="0.2">
      <c r="A48" s="90" t="s">
        <v>236</v>
      </c>
      <c r="B48" s="91" t="s">
        <v>237</v>
      </c>
      <c r="C48" s="91" t="s">
        <v>294</v>
      </c>
      <c r="D48" s="91" t="s">
        <v>313</v>
      </c>
      <c r="E48" s="92" t="s">
        <v>314</v>
      </c>
      <c r="F48" s="91" t="s">
        <v>247</v>
      </c>
      <c r="G48" s="91" t="s">
        <v>214</v>
      </c>
      <c r="H48" s="91" t="s">
        <v>11</v>
      </c>
      <c r="I48" s="91" t="s">
        <v>186</v>
      </c>
      <c r="J48" s="92" t="s">
        <v>215</v>
      </c>
      <c r="K48" s="93">
        <v>89.8</v>
      </c>
      <c r="L48" s="93">
        <f>K48*VLOOKUP(H48,dagsoorttabel1,2,FALSE)</f>
        <v>69.07692307692308</v>
      </c>
      <c r="M48" s="94">
        <f>prodnorm16</f>
        <v>0</v>
      </c>
      <c r="N48" s="91" t="s">
        <v>103</v>
      </c>
      <c r="O48" s="26">
        <f>uurtarief16</f>
        <v>0</v>
      </c>
      <c r="P48" s="93" t="e">
        <f>IF(ISBLANK(M48),0,L48/ROUND(M48,4))</f>
        <v>#DIV/0!</v>
      </c>
      <c r="Q48" s="26" t="e">
        <f>ROUND(O48,2)*P48</f>
        <v>#DIV/0!</v>
      </c>
      <c r="R48" s="93" t="e">
        <f>P48*dagenperjaar1</f>
        <v>#DIV/0!</v>
      </c>
      <c r="S48" s="27" t="e">
        <f>R48*ROUND(O48,2)</f>
        <v>#DIV/0!</v>
      </c>
    </row>
    <row r="49" spans="1:19" ht="25.5" x14ac:dyDescent="0.2">
      <c r="A49" s="90" t="s">
        <v>236</v>
      </c>
      <c r="B49" s="91" t="s">
        <v>237</v>
      </c>
      <c r="C49" s="91" t="s">
        <v>294</v>
      </c>
      <c r="D49" s="91" t="s">
        <v>315</v>
      </c>
      <c r="E49" s="92" t="s">
        <v>316</v>
      </c>
      <c r="F49" s="91" t="s">
        <v>247</v>
      </c>
      <c r="G49" s="91" t="s">
        <v>188</v>
      </c>
      <c r="H49" s="91" t="s">
        <v>11</v>
      </c>
      <c r="I49" s="91" t="s">
        <v>186</v>
      </c>
      <c r="J49" s="92" t="s">
        <v>189</v>
      </c>
      <c r="K49" s="93">
        <v>53</v>
      </c>
      <c r="L49" s="93">
        <f>K49*VLOOKUP(H49,dagsoorttabel1,2,FALSE)</f>
        <v>40.769230769230774</v>
      </c>
      <c r="M49" s="94">
        <f>prodnorm2</f>
        <v>0</v>
      </c>
      <c r="N49" s="91" t="s">
        <v>103</v>
      </c>
      <c r="O49" s="26">
        <f>uurtarief2</f>
        <v>0</v>
      </c>
      <c r="P49" s="93" t="e">
        <f>IF(ISBLANK(M49),0,L49/ROUND(M49,4))</f>
        <v>#DIV/0!</v>
      </c>
      <c r="Q49" s="26" t="e">
        <f>ROUND(O49,2)*P49</f>
        <v>#DIV/0!</v>
      </c>
      <c r="R49" s="93" t="e">
        <f>P49*dagenperjaar1</f>
        <v>#DIV/0!</v>
      </c>
      <c r="S49" s="27" t="e">
        <f>R49*ROUND(O49,2)</f>
        <v>#DIV/0!</v>
      </c>
    </row>
    <row r="50" spans="1:19" x14ac:dyDescent="0.2">
      <c r="A50" s="90" t="s">
        <v>236</v>
      </c>
      <c r="B50" s="91" t="s">
        <v>237</v>
      </c>
      <c r="C50" s="91" t="s">
        <v>294</v>
      </c>
      <c r="D50" s="91" t="s">
        <v>317</v>
      </c>
      <c r="E50" s="92" t="s">
        <v>314</v>
      </c>
      <c r="F50" s="91" t="s">
        <v>247</v>
      </c>
      <c r="G50" s="91" t="s">
        <v>214</v>
      </c>
      <c r="H50" s="91" t="s">
        <v>11</v>
      </c>
      <c r="I50" s="91" t="s">
        <v>186</v>
      </c>
      <c r="J50" s="92" t="s">
        <v>215</v>
      </c>
      <c r="K50" s="93">
        <v>90.1</v>
      </c>
      <c r="L50" s="93">
        <f>K50*VLOOKUP(H50,dagsoorttabel1,2,FALSE)</f>
        <v>69.307692307692307</v>
      </c>
      <c r="M50" s="94">
        <f>prodnorm16</f>
        <v>0</v>
      </c>
      <c r="N50" s="91" t="s">
        <v>103</v>
      </c>
      <c r="O50" s="26">
        <f>uurtarief16</f>
        <v>0</v>
      </c>
      <c r="P50" s="93" t="e">
        <f>IF(ISBLANK(M50),0,L50/ROUND(M50,4))</f>
        <v>#DIV/0!</v>
      </c>
      <c r="Q50" s="26" t="e">
        <f>ROUND(O50,2)*P50</f>
        <v>#DIV/0!</v>
      </c>
      <c r="R50" s="93" t="e">
        <f>P50*dagenperjaar1</f>
        <v>#DIV/0!</v>
      </c>
      <c r="S50" s="27" t="e">
        <f>R50*ROUND(O50,2)</f>
        <v>#DIV/0!</v>
      </c>
    </row>
    <row r="51" spans="1:19" x14ac:dyDescent="0.2">
      <c r="A51" s="90" t="s">
        <v>236</v>
      </c>
      <c r="B51" s="91" t="s">
        <v>237</v>
      </c>
      <c r="C51" s="91" t="s">
        <v>294</v>
      </c>
      <c r="D51" s="91" t="s">
        <v>318</v>
      </c>
      <c r="E51" s="92" t="s">
        <v>319</v>
      </c>
      <c r="F51" s="91" t="s">
        <v>247</v>
      </c>
      <c r="G51" s="91" t="s">
        <v>256</v>
      </c>
      <c r="H51" s="91"/>
      <c r="I51" s="91"/>
      <c r="J51" s="91"/>
      <c r="K51" s="93">
        <v>19.7</v>
      </c>
      <c r="L51" s="93"/>
      <c r="M51" s="94"/>
      <c r="N51" s="91"/>
      <c r="O51" s="26"/>
      <c r="P51" s="93"/>
      <c r="Q51" s="26"/>
      <c r="R51" s="95"/>
      <c r="S51" s="27"/>
    </row>
    <row r="52" spans="1:19" x14ac:dyDescent="0.2">
      <c r="A52" s="90" t="s">
        <v>236</v>
      </c>
      <c r="B52" s="91" t="s">
        <v>237</v>
      </c>
      <c r="C52" s="91" t="s">
        <v>294</v>
      </c>
      <c r="D52" s="91" t="s">
        <v>320</v>
      </c>
      <c r="E52" s="92" t="s">
        <v>321</v>
      </c>
      <c r="F52" s="91" t="s">
        <v>247</v>
      </c>
      <c r="G52" s="91" t="s">
        <v>214</v>
      </c>
      <c r="H52" s="91" t="s">
        <v>11</v>
      </c>
      <c r="I52" s="91" t="s">
        <v>186</v>
      </c>
      <c r="J52" s="92" t="s">
        <v>215</v>
      </c>
      <c r="K52" s="93">
        <v>103.7</v>
      </c>
      <c r="L52" s="93">
        <f>K52*VLOOKUP(H52,dagsoorttabel1,2,FALSE)</f>
        <v>79.769230769230774</v>
      </c>
      <c r="M52" s="94">
        <f>prodnorm16</f>
        <v>0</v>
      </c>
      <c r="N52" s="91" t="s">
        <v>103</v>
      </c>
      <c r="O52" s="26">
        <f>uurtarief16</f>
        <v>0</v>
      </c>
      <c r="P52" s="93" t="e">
        <f>IF(ISBLANK(M52),0,L52/ROUND(M52,4))</f>
        <v>#DIV/0!</v>
      </c>
      <c r="Q52" s="26" t="e">
        <f>ROUND(O52,2)*P52</f>
        <v>#DIV/0!</v>
      </c>
      <c r="R52" s="93" t="e">
        <f>P52*dagenperjaar1</f>
        <v>#DIV/0!</v>
      </c>
      <c r="S52" s="27" t="e">
        <f>R52*ROUND(O52,2)</f>
        <v>#DIV/0!</v>
      </c>
    </row>
    <row r="53" spans="1:19" x14ac:dyDescent="0.2">
      <c r="A53" s="90" t="s">
        <v>236</v>
      </c>
      <c r="B53" s="91" t="s">
        <v>237</v>
      </c>
      <c r="C53" s="91" t="s">
        <v>294</v>
      </c>
      <c r="D53" s="91" t="s">
        <v>322</v>
      </c>
      <c r="E53" s="92" t="s">
        <v>309</v>
      </c>
      <c r="F53" s="91" t="s">
        <v>247</v>
      </c>
      <c r="G53" s="91" t="s">
        <v>206</v>
      </c>
      <c r="H53" s="91" t="s">
        <v>11</v>
      </c>
      <c r="I53" s="91" t="s">
        <v>186</v>
      </c>
      <c r="J53" s="92" t="s">
        <v>207</v>
      </c>
      <c r="K53" s="93">
        <v>29.1</v>
      </c>
      <c r="L53" s="93">
        <f>K53*VLOOKUP(H53,dagsoorttabel1,2,FALSE)</f>
        <v>22.384615384615387</v>
      </c>
      <c r="M53" s="94">
        <f>prodnorm12</f>
        <v>0</v>
      </c>
      <c r="N53" s="91" t="s">
        <v>103</v>
      </c>
      <c r="O53" s="26">
        <f>uurtarief12</f>
        <v>0</v>
      </c>
      <c r="P53" s="93" t="e">
        <f>IF(ISBLANK(M53),0,L53/ROUND(M53,4))</f>
        <v>#DIV/0!</v>
      </c>
      <c r="Q53" s="26" t="e">
        <f>ROUND(O53,2)*P53</f>
        <v>#DIV/0!</v>
      </c>
      <c r="R53" s="93" t="e">
        <f>P53*dagenperjaar1</f>
        <v>#DIV/0!</v>
      </c>
      <c r="S53" s="27" t="e">
        <f>R53*ROUND(O53,2)</f>
        <v>#DIV/0!</v>
      </c>
    </row>
    <row r="54" spans="1:19" x14ac:dyDescent="0.2">
      <c r="A54" s="90" t="s">
        <v>236</v>
      </c>
      <c r="B54" s="91" t="s">
        <v>237</v>
      </c>
      <c r="C54" s="91" t="s">
        <v>294</v>
      </c>
      <c r="D54" s="91" t="s">
        <v>323</v>
      </c>
      <c r="E54" s="92" t="s">
        <v>309</v>
      </c>
      <c r="F54" s="91" t="s">
        <v>247</v>
      </c>
      <c r="G54" s="91" t="s">
        <v>206</v>
      </c>
      <c r="H54" s="91" t="s">
        <v>11</v>
      </c>
      <c r="I54" s="91" t="s">
        <v>186</v>
      </c>
      <c r="J54" s="92" t="s">
        <v>207</v>
      </c>
      <c r="K54" s="93">
        <v>27</v>
      </c>
      <c r="L54" s="93">
        <f>K54*VLOOKUP(H54,dagsoorttabel1,2,FALSE)</f>
        <v>20.76923076923077</v>
      </c>
      <c r="M54" s="94">
        <f>prodnorm12</f>
        <v>0</v>
      </c>
      <c r="N54" s="91" t="s">
        <v>103</v>
      </c>
      <c r="O54" s="26">
        <f>uurtarief12</f>
        <v>0</v>
      </c>
      <c r="P54" s="93" t="e">
        <f>IF(ISBLANK(M54),0,L54/ROUND(M54,4))</f>
        <v>#DIV/0!</v>
      </c>
      <c r="Q54" s="26" t="e">
        <f>ROUND(O54,2)*P54</f>
        <v>#DIV/0!</v>
      </c>
      <c r="R54" s="93" t="e">
        <f>P54*dagenperjaar1</f>
        <v>#DIV/0!</v>
      </c>
      <c r="S54" s="27" t="e">
        <f>R54*ROUND(O54,2)</f>
        <v>#DIV/0!</v>
      </c>
    </row>
    <row r="55" spans="1:19" x14ac:dyDescent="0.2">
      <c r="A55" s="90" t="s">
        <v>236</v>
      </c>
      <c r="B55" s="91" t="s">
        <v>237</v>
      </c>
      <c r="C55" s="91" t="s">
        <v>294</v>
      </c>
      <c r="D55" s="91" t="s">
        <v>324</v>
      </c>
      <c r="E55" s="92" t="s">
        <v>287</v>
      </c>
      <c r="F55" s="91" t="s">
        <v>288</v>
      </c>
      <c r="G55" s="91" t="s">
        <v>216</v>
      </c>
      <c r="H55" s="91" t="s">
        <v>11</v>
      </c>
      <c r="I55" s="91" t="s">
        <v>186</v>
      </c>
      <c r="J55" s="92" t="s">
        <v>217</v>
      </c>
      <c r="K55" s="93">
        <v>4.8</v>
      </c>
      <c r="L55" s="93">
        <f>K55*VLOOKUP(H55,dagsoorttabel1,2,FALSE)</f>
        <v>3.6923076923076925</v>
      </c>
      <c r="M55" s="94">
        <f>prodnorm17</f>
        <v>0</v>
      </c>
      <c r="N55" s="91" t="s">
        <v>103</v>
      </c>
      <c r="O55" s="26">
        <f>uurtarief17</f>
        <v>0</v>
      </c>
      <c r="P55" s="93" t="e">
        <f>IF(ISBLANK(M55),0,L55/ROUND(M55,4))</f>
        <v>#DIV/0!</v>
      </c>
      <c r="Q55" s="26" t="e">
        <f>ROUND(O55,2)*P55</f>
        <v>#DIV/0!</v>
      </c>
      <c r="R55" s="93" t="e">
        <f>P55*dagenperjaar1</f>
        <v>#DIV/0!</v>
      </c>
      <c r="S55" s="27" t="e">
        <f>R55*ROUND(O55,2)</f>
        <v>#DIV/0!</v>
      </c>
    </row>
    <row r="56" spans="1:19" x14ac:dyDescent="0.2">
      <c r="A56" s="90" t="s">
        <v>236</v>
      </c>
      <c r="B56" s="91" t="s">
        <v>237</v>
      </c>
      <c r="C56" s="91" t="s">
        <v>294</v>
      </c>
      <c r="D56" s="91" t="s">
        <v>324</v>
      </c>
      <c r="E56" s="92" t="s">
        <v>287</v>
      </c>
      <c r="F56" s="91" t="s">
        <v>288</v>
      </c>
      <c r="G56" s="91" t="s">
        <v>218</v>
      </c>
      <c r="H56" s="91" t="s">
        <v>11</v>
      </c>
      <c r="I56" s="91" t="s">
        <v>186</v>
      </c>
      <c r="J56" s="92" t="s">
        <v>219</v>
      </c>
      <c r="K56" s="93">
        <v>4.8</v>
      </c>
      <c r="L56" s="93">
        <f>K56*VLOOKUP(H56,dagsoorttabel1,2,FALSE)</f>
        <v>3.6923076923076925</v>
      </c>
      <c r="M56" s="94">
        <f>prodnorm18</f>
        <v>0</v>
      </c>
      <c r="N56" s="91" t="s">
        <v>103</v>
      </c>
      <c r="O56" s="26">
        <f>uurtarief18</f>
        <v>0</v>
      </c>
      <c r="P56" s="93" t="e">
        <f>IF(ISBLANK(M56),0,L56/ROUND(M56,4))</f>
        <v>#DIV/0!</v>
      </c>
      <c r="Q56" s="26" t="e">
        <f>ROUND(O56,2)*P56</f>
        <v>#DIV/0!</v>
      </c>
      <c r="R56" s="93" t="e">
        <f>P56*dagenperjaar1</f>
        <v>#DIV/0!</v>
      </c>
      <c r="S56" s="27" t="e">
        <f>R56*ROUND(O56,2)</f>
        <v>#DIV/0!</v>
      </c>
    </row>
    <row r="57" spans="1:19" x14ac:dyDescent="0.2">
      <c r="A57" s="90" t="s">
        <v>236</v>
      </c>
      <c r="B57" s="91" t="s">
        <v>237</v>
      </c>
      <c r="C57" s="91" t="s">
        <v>294</v>
      </c>
      <c r="D57" s="91" t="s">
        <v>325</v>
      </c>
      <c r="E57" s="92" t="s">
        <v>287</v>
      </c>
      <c r="F57" s="91" t="s">
        <v>288</v>
      </c>
      <c r="G57" s="91" t="s">
        <v>216</v>
      </c>
      <c r="H57" s="91" t="s">
        <v>11</v>
      </c>
      <c r="I57" s="91" t="s">
        <v>186</v>
      </c>
      <c r="J57" s="92" t="s">
        <v>217</v>
      </c>
      <c r="K57" s="93">
        <v>4.8</v>
      </c>
      <c r="L57" s="93">
        <f>K57*VLOOKUP(H57,dagsoorttabel1,2,FALSE)</f>
        <v>3.6923076923076925</v>
      </c>
      <c r="M57" s="94">
        <f>prodnorm17</f>
        <v>0</v>
      </c>
      <c r="N57" s="91" t="s">
        <v>103</v>
      </c>
      <c r="O57" s="26">
        <f>uurtarief17</f>
        <v>0</v>
      </c>
      <c r="P57" s="93" t="e">
        <f>IF(ISBLANK(M57),0,L57/ROUND(M57,4))</f>
        <v>#DIV/0!</v>
      </c>
      <c r="Q57" s="26" t="e">
        <f>ROUND(O57,2)*P57</f>
        <v>#DIV/0!</v>
      </c>
      <c r="R57" s="93" t="e">
        <f>P57*dagenperjaar1</f>
        <v>#DIV/0!</v>
      </c>
      <c r="S57" s="27" t="e">
        <f>R57*ROUND(O57,2)</f>
        <v>#DIV/0!</v>
      </c>
    </row>
    <row r="58" spans="1:19" x14ac:dyDescent="0.2">
      <c r="A58" s="90" t="s">
        <v>236</v>
      </c>
      <c r="B58" s="91" t="s">
        <v>237</v>
      </c>
      <c r="C58" s="91" t="s">
        <v>294</v>
      </c>
      <c r="D58" s="91" t="s">
        <v>325</v>
      </c>
      <c r="E58" s="92" t="s">
        <v>287</v>
      </c>
      <c r="F58" s="91" t="s">
        <v>288</v>
      </c>
      <c r="G58" s="91" t="s">
        <v>218</v>
      </c>
      <c r="H58" s="91" t="s">
        <v>11</v>
      </c>
      <c r="I58" s="91" t="s">
        <v>186</v>
      </c>
      <c r="J58" s="92" t="s">
        <v>219</v>
      </c>
      <c r="K58" s="93">
        <v>4.8</v>
      </c>
      <c r="L58" s="93">
        <f>K58*VLOOKUP(H58,dagsoorttabel1,2,FALSE)</f>
        <v>3.6923076923076925</v>
      </c>
      <c r="M58" s="94">
        <f>prodnorm18</f>
        <v>0</v>
      </c>
      <c r="N58" s="91" t="s">
        <v>103</v>
      </c>
      <c r="O58" s="26">
        <f>uurtarief18</f>
        <v>0</v>
      </c>
      <c r="P58" s="93" t="e">
        <f>IF(ISBLANK(M58),0,L58/ROUND(M58,4))</f>
        <v>#DIV/0!</v>
      </c>
      <c r="Q58" s="26" t="e">
        <f>ROUND(O58,2)*P58</f>
        <v>#DIV/0!</v>
      </c>
      <c r="R58" s="93" t="e">
        <f>P58*dagenperjaar1</f>
        <v>#DIV/0!</v>
      </c>
      <c r="S58" s="27" t="e">
        <f>R58*ROUND(O58,2)</f>
        <v>#DIV/0!</v>
      </c>
    </row>
    <row r="59" spans="1:19" x14ac:dyDescent="0.2">
      <c r="A59" s="90" t="s">
        <v>236</v>
      </c>
      <c r="B59" s="91" t="s">
        <v>237</v>
      </c>
      <c r="C59" s="91" t="s">
        <v>294</v>
      </c>
      <c r="D59" s="91" t="s">
        <v>326</v>
      </c>
      <c r="E59" s="92" t="s">
        <v>327</v>
      </c>
      <c r="F59" s="91" t="s">
        <v>288</v>
      </c>
      <c r="G59" s="91" t="s">
        <v>216</v>
      </c>
      <c r="H59" s="91" t="s">
        <v>11</v>
      </c>
      <c r="I59" s="91" t="s">
        <v>186</v>
      </c>
      <c r="J59" s="92" t="s">
        <v>217</v>
      </c>
      <c r="K59" s="93">
        <v>2.2999999999999998</v>
      </c>
      <c r="L59" s="93">
        <f>K59*VLOOKUP(H59,dagsoorttabel1,2,FALSE)</f>
        <v>1.7692307692307692</v>
      </c>
      <c r="M59" s="94">
        <f>prodnorm17</f>
        <v>0</v>
      </c>
      <c r="N59" s="91" t="s">
        <v>103</v>
      </c>
      <c r="O59" s="26">
        <f>uurtarief17</f>
        <v>0</v>
      </c>
      <c r="P59" s="93" t="e">
        <f>IF(ISBLANK(M59),0,L59/ROUND(M59,4))</f>
        <v>#DIV/0!</v>
      </c>
      <c r="Q59" s="26" t="e">
        <f>ROUND(O59,2)*P59</f>
        <v>#DIV/0!</v>
      </c>
      <c r="R59" s="93" t="e">
        <f>P59*dagenperjaar1</f>
        <v>#DIV/0!</v>
      </c>
      <c r="S59" s="27" t="e">
        <f>R59*ROUND(O59,2)</f>
        <v>#DIV/0!</v>
      </c>
    </row>
    <row r="60" spans="1:19" x14ac:dyDescent="0.2">
      <c r="A60" s="90" t="s">
        <v>236</v>
      </c>
      <c r="B60" s="91" t="s">
        <v>237</v>
      </c>
      <c r="C60" s="91" t="s">
        <v>294</v>
      </c>
      <c r="D60" s="91" t="s">
        <v>326</v>
      </c>
      <c r="E60" s="92" t="s">
        <v>327</v>
      </c>
      <c r="F60" s="91" t="s">
        <v>288</v>
      </c>
      <c r="G60" s="91" t="s">
        <v>218</v>
      </c>
      <c r="H60" s="91" t="s">
        <v>11</v>
      </c>
      <c r="I60" s="91" t="s">
        <v>186</v>
      </c>
      <c r="J60" s="92" t="s">
        <v>219</v>
      </c>
      <c r="K60" s="93">
        <v>2.2999999999999998</v>
      </c>
      <c r="L60" s="93">
        <f>K60*VLOOKUP(H60,dagsoorttabel1,2,FALSE)</f>
        <v>1.7692307692307692</v>
      </c>
      <c r="M60" s="94">
        <f>prodnorm18</f>
        <v>0</v>
      </c>
      <c r="N60" s="91" t="s">
        <v>103</v>
      </c>
      <c r="O60" s="26">
        <f>uurtarief18</f>
        <v>0</v>
      </c>
      <c r="P60" s="93" t="e">
        <f>IF(ISBLANK(M60),0,L60/ROUND(M60,4))</f>
        <v>#DIV/0!</v>
      </c>
      <c r="Q60" s="26" t="e">
        <f>ROUND(O60,2)*P60</f>
        <v>#DIV/0!</v>
      </c>
      <c r="R60" s="93" t="e">
        <f>P60*dagenperjaar1</f>
        <v>#DIV/0!</v>
      </c>
      <c r="S60" s="27" t="e">
        <f>R60*ROUND(O60,2)</f>
        <v>#DIV/0!</v>
      </c>
    </row>
    <row r="61" spans="1:19" x14ac:dyDescent="0.2">
      <c r="A61" s="90" t="s">
        <v>236</v>
      </c>
      <c r="B61" s="91" t="s">
        <v>237</v>
      </c>
      <c r="C61" s="91" t="s">
        <v>294</v>
      </c>
      <c r="D61" s="91" t="s">
        <v>328</v>
      </c>
      <c r="E61" s="92" t="s">
        <v>329</v>
      </c>
      <c r="F61" s="91" t="s">
        <v>265</v>
      </c>
      <c r="G61" s="91" t="s">
        <v>256</v>
      </c>
      <c r="H61" s="91"/>
      <c r="I61" s="91"/>
      <c r="J61" s="91"/>
      <c r="K61" s="93">
        <v>1.1000000000000001</v>
      </c>
      <c r="L61" s="93"/>
      <c r="M61" s="94"/>
      <c r="N61" s="91"/>
      <c r="O61" s="26"/>
      <c r="P61" s="93"/>
      <c r="Q61" s="26"/>
      <c r="R61" s="95"/>
      <c r="S61" s="27"/>
    </row>
    <row r="62" spans="1:19" ht="25.5" x14ac:dyDescent="0.2">
      <c r="A62" s="90" t="s">
        <v>236</v>
      </c>
      <c r="B62" s="91" t="s">
        <v>237</v>
      </c>
      <c r="C62" s="91" t="s">
        <v>294</v>
      </c>
      <c r="D62" s="91" t="s">
        <v>330</v>
      </c>
      <c r="E62" s="92" t="s">
        <v>331</v>
      </c>
      <c r="F62" s="91" t="s">
        <v>265</v>
      </c>
      <c r="G62" s="91" t="s">
        <v>222</v>
      </c>
      <c r="H62" s="91" t="s">
        <v>11</v>
      </c>
      <c r="I62" s="91" t="s">
        <v>186</v>
      </c>
      <c r="J62" s="92" t="s">
        <v>223</v>
      </c>
      <c r="K62" s="93">
        <v>13.6</v>
      </c>
      <c r="L62" s="93">
        <f>K62*VLOOKUP(H62,dagsoorttabel1,2,FALSE)</f>
        <v>10.461538461538462</v>
      </c>
      <c r="M62" s="94">
        <f>prodnorm20</f>
        <v>0</v>
      </c>
      <c r="N62" s="91" t="s">
        <v>103</v>
      </c>
      <c r="O62" s="26">
        <f>uurtarief20</f>
        <v>0</v>
      </c>
      <c r="P62" s="93" t="e">
        <f>IF(ISBLANK(M62),0,L62/ROUND(M62,4))</f>
        <v>#DIV/0!</v>
      </c>
      <c r="Q62" s="26" t="e">
        <f>ROUND(O62,2)*P62</f>
        <v>#DIV/0!</v>
      </c>
      <c r="R62" s="93" t="e">
        <f>P62*dagenperjaar1</f>
        <v>#DIV/0!</v>
      </c>
      <c r="S62" s="27" t="e">
        <f>R62*ROUND(O62,2)</f>
        <v>#DIV/0!</v>
      </c>
    </row>
    <row r="63" spans="1:19" x14ac:dyDescent="0.2">
      <c r="A63" s="90" t="s">
        <v>236</v>
      </c>
      <c r="B63" s="91" t="s">
        <v>237</v>
      </c>
      <c r="C63" s="91" t="s">
        <v>294</v>
      </c>
      <c r="D63" s="91" t="s">
        <v>332</v>
      </c>
      <c r="E63" s="92" t="s">
        <v>333</v>
      </c>
      <c r="F63" s="91" t="s">
        <v>265</v>
      </c>
      <c r="G63" s="91" t="s">
        <v>256</v>
      </c>
      <c r="H63" s="91"/>
      <c r="I63" s="91"/>
      <c r="J63" s="91"/>
      <c r="K63" s="93">
        <v>0.8</v>
      </c>
      <c r="L63" s="93"/>
      <c r="M63" s="94"/>
      <c r="N63" s="91"/>
      <c r="O63" s="26"/>
      <c r="P63" s="93"/>
      <c r="Q63" s="26"/>
      <c r="R63" s="95"/>
      <c r="S63" s="27"/>
    </row>
    <row r="64" spans="1:19" x14ac:dyDescent="0.2">
      <c r="A64" s="90" t="s">
        <v>236</v>
      </c>
      <c r="B64" s="91" t="s">
        <v>237</v>
      </c>
      <c r="C64" s="91" t="s">
        <v>294</v>
      </c>
      <c r="D64" s="91" t="s">
        <v>334</v>
      </c>
      <c r="E64" s="92" t="s">
        <v>333</v>
      </c>
      <c r="F64" s="91" t="s">
        <v>265</v>
      </c>
      <c r="G64" s="91" t="s">
        <v>256</v>
      </c>
      <c r="H64" s="91"/>
      <c r="I64" s="91"/>
      <c r="J64" s="91"/>
      <c r="K64" s="93">
        <v>1.2</v>
      </c>
      <c r="L64" s="93"/>
      <c r="M64" s="94"/>
      <c r="N64" s="91"/>
      <c r="O64" s="26"/>
      <c r="P64" s="93"/>
      <c r="Q64" s="26"/>
      <c r="R64" s="95"/>
      <c r="S64" s="27"/>
    </row>
    <row r="65" spans="1:19" x14ac:dyDescent="0.2">
      <c r="A65" s="90" t="s">
        <v>236</v>
      </c>
      <c r="B65" s="91" t="s">
        <v>237</v>
      </c>
      <c r="C65" s="91" t="s">
        <v>335</v>
      </c>
      <c r="D65" s="91" t="s">
        <v>336</v>
      </c>
      <c r="E65" s="92" t="s">
        <v>337</v>
      </c>
      <c r="F65" s="91" t="s">
        <v>265</v>
      </c>
      <c r="G65" s="91" t="s">
        <v>256</v>
      </c>
      <c r="H65" s="91"/>
      <c r="I65" s="91"/>
      <c r="J65" s="91"/>
      <c r="K65" s="93">
        <v>87.5</v>
      </c>
      <c r="L65" s="93"/>
      <c r="M65" s="94"/>
      <c r="N65" s="91"/>
      <c r="O65" s="26"/>
      <c r="P65" s="93"/>
      <c r="Q65" s="26"/>
      <c r="R65" s="95"/>
      <c r="S65" s="27"/>
    </row>
    <row r="66" spans="1:19" x14ac:dyDescent="0.2">
      <c r="A66" s="90" t="s">
        <v>236</v>
      </c>
      <c r="B66" s="91" t="s">
        <v>237</v>
      </c>
      <c r="C66" s="91" t="s">
        <v>335</v>
      </c>
      <c r="D66" s="91" t="s">
        <v>338</v>
      </c>
      <c r="E66" s="92" t="s">
        <v>337</v>
      </c>
      <c r="F66" s="91" t="s">
        <v>265</v>
      </c>
      <c r="G66" s="91" t="s">
        <v>256</v>
      </c>
      <c r="H66" s="91"/>
      <c r="I66" s="91"/>
      <c r="J66" s="91"/>
      <c r="K66" s="93">
        <v>83.1</v>
      </c>
      <c r="L66" s="93"/>
      <c r="M66" s="94"/>
      <c r="N66" s="91"/>
      <c r="O66" s="26"/>
      <c r="P66" s="93"/>
      <c r="Q66" s="26"/>
      <c r="R66" s="95"/>
      <c r="S66" s="27"/>
    </row>
    <row r="67" spans="1:19" x14ac:dyDescent="0.2">
      <c r="A67" s="90" t="s">
        <v>236</v>
      </c>
      <c r="B67" s="91" t="s">
        <v>339</v>
      </c>
      <c r="C67" s="91" t="s">
        <v>238</v>
      </c>
      <c r="D67" s="91" t="s">
        <v>340</v>
      </c>
      <c r="E67" s="92" t="s">
        <v>341</v>
      </c>
      <c r="F67" s="91" t="s">
        <v>342</v>
      </c>
      <c r="G67" s="91" t="s">
        <v>210</v>
      </c>
      <c r="H67" s="91" t="s">
        <v>11</v>
      </c>
      <c r="I67" s="91" t="s">
        <v>186</v>
      </c>
      <c r="J67" s="92" t="s">
        <v>211</v>
      </c>
      <c r="K67" s="93">
        <v>45.4</v>
      </c>
      <c r="L67" s="93">
        <f>K67*VLOOKUP(H67,dagsoorttabel1,2,FALSE)</f>
        <v>34.923076923076927</v>
      </c>
      <c r="M67" s="94">
        <f>prodnorm14</f>
        <v>0</v>
      </c>
      <c r="N67" s="91" t="s">
        <v>103</v>
      </c>
      <c r="O67" s="26">
        <f>uurtarief14</f>
        <v>0</v>
      </c>
      <c r="P67" s="93" t="e">
        <f>IF(ISBLANK(M67),0,L67/ROUND(M67,4))</f>
        <v>#DIV/0!</v>
      </c>
      <c r="Q67" s="26" t="e">
        <f>ROUND(O67,2)*P67</f>
        <v>#DIV/0!</v>
      </c>
      <c r="R67" s="93" t="e">
        <f>P67*dagenperjaar1</f>
        <v>#DIV/0!</v>
      </c>
      <c r="S67" s="27" t="e">
        <f>R67*ROUND(O67,2)</f>
        <v>#DIV/0!</v>
      </c>
    </row>
    <row r="68" spans="1:19" x14ac:dyDescent="0.2">
      <c r="A68" s="90" t="s">
        <v>236</v>
      </c>
      <c r="B68" s="91" t="s">
        <v>339</v>
      </c>
      <c r="C68" s="91" t="s">
        <v>238</v>
      </c>
      <c r="D68" s="91" t="s">
        <v>343</v>
      </c>
      <c r="E68" s="92" t="s">
        <v>344</v>
      </c>
      <c r="F68" s="91" t="s">
        <v>241</v>
      </c>
      <c r="G68" s="91" t="s">
        <v>194</v>
      </c>
      <c r="H68" s="91" t="s">
        <v>11</v>
      </c>
      <c r="I68" s="91" t="s">
        <v>186</v>
      </c>
      <c r="J68" s="92" t="s">
        <v>195</v>
      </c>
      <c r="K68" s="93">
        <v>11.7</v>
      </c>
      <c r="L68" s="93">
        <f>K68*VLOOKUP(H68,dagsoorttabel1,2,FALSE)</f>
        <v>9</v>
      </c>
      <c r="M68" s="94">
        <f>prodnorm5</f>
        <v>0</v>
      </c>
      <c r="N68" s="91" t="s">
        <v>103</v>
      </c>
      <c r="O68" s="26">
        <f>uurtarief5</f>
        <v>0</v>
      </c>
      <c r="P68" s="93" t="e">
        <f>IF(ISBLANK(M68),0,L68/ROUND(M68,4))</f>
        <v>#DIV/0!</v>
      </c>
      <c r="Q68" s="26" t="e">
        <f>ROUND(O68,2)*P68</f>
        <v>#DIV/0!</v>
      </c>
      <c r="R68" s="93" t="e">
        <f>P68*dagenperjaar1</f>
        <v>#DIV/0!</v>
      </c>
      <c r="S68" s="27" t="e">
        <f>R68*ROUND(O68,2)</f>
        <v>#DIV/0!</v>
      </c>
    </row>
    <row r="69" spans="1:19" x14ac:dyDescent="0.2">
      <c r="A69" s="90" t="s">
        <v>236</v>
      </c>
      <c r="B69" s="91" t="s">
        <v>339</v>
      </c>
      <c r="C69" s="91" t="s">
        <v>238</v>
      </c>
      <c r="D69" s="91" t="s">
        <v>345</v>
      </c>
      <c r="E69" s="92" t="s">
        <v>344</v>
      </c>
      <c r="F69" s="91" t="s">
        <v>241</v>
      </c>
      <c r="G69" s="91" t="s">
        <v>194</v>
      </c>
      <c r="H69" s="91" t="s">
        <v>11</v>
      </c>
      <c r="I69" s="91" t="s">
        <v>186</v>
      </c>
      <c r="J69" s="92" t="s">
        <v>195</v>
      </c>
      <c r="K69" s="93">
        <v>6.2</v>
      </c>
      <c r="L69" s="93">
        <f>K69*VLOOKUP(H69,dagsoorttabel1,2,FALSE)</f>
        <v>4.7692307692307701</v>
      </c>
      <c r="M69" s="94">
        <f>prodnorm5</f>
        <v>0</v>
      </c>
      <c r="N69" s="91" t="s">
        <v>103</v>
      </c>
      <c r="O69" s="26">
        <f>uurtarief5</f>
        <v>0</v>
      </c>
      <c r="P69" s="93" t="e">
        <f>IF(ISBLANK(M69),0,L69/ROUND(M69,4))</f>
        <v>#DIV/0!</v>
      </c>
      <c r="Q69" s="26" t="e">
        <f>ROUND(O69,2)*P69</f>
        <v>#DIV/0!</v>
      </c>
      <c r="R69" s="93" t="e">
        <f>P69*dagenperjaar1</f>
        <v>#DIV/0!</v>
      </c>
      <c r="S69" s="27" t="e">
        <f>R69*ROUND(O69,2)</f>
        <v>#DIV/0!</v>
      </c>
    </row>
    <row r="70" spans="1:19" x14ac:dyDescent="0.2">
      <c r="A70" s="90" t="s">
        <v>236</v>
      </c>
      <c r="B70" s="91" t="s">
        <v>339</v>
      </c>
      <c r="C70" s="91" t="s">
        <v>238</v>
      </c>
      <c r="D70" s="91" t="s">
        <v>346</v>
      </c>
      <c r="E70" s="92" t="s">
        <v>344</v>
      </c>
      <c r="F70" s="91" t="s">
        <v>241</v>
      </c>
      <c r="G70" s="91" t="s">
        <v>194</v>
      </c>
      <c r="H70" s="91" t="s">
        <v>11</v>
      </c>
      <c r="I70" s="91" t="s">
        <v>186</v>
      </c>
      <c r="J70" s="92" t="s">
        <v>195</v>
      </c>
      <c r="K70" s="93">
        <v>3.4</v>
      </c>
      <c r="L70" s="93">
        <f>K70*VLOOKUP(H70,dagsoorttabel1,2,FALSE)</f>
        <v>2.6153846153846154</v>
      </c>
      <c r="M70" s="94">
        <f>prodnorm5</f>
        <v>0</v>
      </c>
      <c r="N70" s="91" t="s">
        <v>103</v>
      </c>
      <c r="O70" s="26">
        <f>uurtarief5</f>
        <v>0</v>
      </c>
      <c r="P70" s="93" t="e">
        <f>IF(ISBLANK(M70),0,L70/ROUND(M70,4))</f>
        <v>#DIV/0!</v>
      </c>
      <c r="Q70" s="26" t="e">
        <f>ROUND(O70,2)*P70</f>
        <v>#DIV/0!</v>
      </c>
      <c r="R70" s="93" t="e">
        <f>P70*dagenperjaar1</f>
        <v>#DIV/0!</v>
      </c>
      <c r="S70" s="27" t="e">
        <f>R70*ROUND(O70,2)</f>
        <v>#DIV/0!</v>
      </c>
    </row>
    <row r="71" spans="1:19" x14ac:dyDescent="0.2">
      <c r="A71" s="90" t="s">
        <v>236</v>
      </c>
      <c r="B71" s="91" t="s">
        <v>339</v>
      </c>
      <c r="C71" s="91" t="s">
        <v>238</v>
      </c>
      <c r="D71" s="91" t="s">
        <v>347</v>
      </c>
      <c r="E71" s="92" t="s">
        <v>348</v>
      </c>
      <c r="F71" s="91" t="s">
        <v>247</v>
      </c>
      <c r="G71" s="91" t="s">
        <v>202</v>
      </c>
      <c r="H71" s="91" t="s">
        <v>11</v>
      </c>
      <c r="I71" s="91" t="s">
        <v>186</v>
      </c>
      <c r="J71" s="92" t="s">
        <v>203</v>
      </c>
      <c r="K71" s="93">
        <v>69.5</v>
      </c>
      <c r="L71" s="93">
        <f>K71*VLOOKUP(H71,dagsoorttabel1,2,FALSE)</f>
        <v>53.461538461538467</v>
      </c>
      <c r="M71" s="94">
        <f>prodnorm10</f>
        <v>0</v>
      </c>
      <c r="N71" s="91" t="s">
        <v>103</v>
      </c>
      <c r="O71" s="26">
        <f>uurtarief10</f>
        <v>0</v>
      </c>
      <c r="P71" s="93" t="e">
        <f>IF(ISBLANK(M71),0,L71/ROUND(M71,4))</f>
        <v>#DIV/0!</v>
      </c>
      <c r="Q71" s="26" t="e">
        <f>ROUND(O71,2)*P71</f>
        <v>#DIV/0!</v>
      </c>
      <c r="R71" s="93" t="e">
        <f>P71*dagenperjaar1</f>
        <v>#DIV/0!</v>
      </c>
      <c r="S71" s="27" t="e">
        <f>R71*ROUND(O71,2)</f>
        <v>#DIV/0!</v>
      </c>
    </row>
    <row r="72" spans="1:19" x14ac:dyDescent="0.2">
      <c r="A72" s="90" t="s">
        <v>236</v>
      </c>
      <c r="B72" s="91" t="s">
        <v>339</v>
      </c>
      <c r="C72" s="91" t="s">
        <v>238</v>
      </c>
      <c r="D72" s="91" t="s">
        <v>349</v>
      </c>
      <c r="E72" s="92" t="s">
        <v>348</v>
      </c>
      <c r="F72" s="91" t="s">
        <v>247</v>
      </c>
      <c r="G72" s="91" t="s">
        <v>202</v>
      </c>
      <c r="H72" s="91" t="s">
        <v>11</v>
      </c>
      <c r="I72" s="91" t="s">
        <v>186</v>
      </c>
      <c r="J72" s="92" t="s">
        <v>203</v>
      </c>
      <c r="K72" s="93">
        <v>60.6</v>
      </c>
      <c r="L72" s="93">
        <f>K72*VLOOKUP(H72,dagsoorttabel1,2,FALSE)</f>
        <v>46.61538461538462</v>
      </c>
      <c r="M72" s="94">
        <f>prodnorm10</f>
        <v>0</v>
      </c>
      <c r="N72" s="91" t="s">
        <v>103</v>
      </c>
      <c r="O72" s="26">
        <f>uurtarief10</f>
        <v>0</v>
      </c>
      <c r="P72" s="93" t="e">
        <f>IF(ISBLANK(M72),0,L72/ROUND(M72,4))</f>
        <v>#DIV/0!</v>
      </c>
      <c r="Q72" s="26" t="e">
        <f>ROUND(O72,2)*P72</f>
        <v>#DIV/0!</v>
      </c>
      <c r="R72" s="93" t="e">
        <f>P72*dagenperjaar1</f>
        <v>#DIV/0!</v>
      </c>
      <c r="S72" s="27" t="e">
        <f>R72*ROUND(O72,2)</f>
        <v>#DIV/0!</v>
      </c>
    </row>
    <row r="73" spans="1:19" x14ac:dyDescent="0.2">
      <c r="A73" s="90" t="s">
        <v>236</v>
      </c>
      <c r="B73" s="91" t="s">
        <v>339</v>
      </c>
      <c r="C73" s="91" t="s">
        <v>238</v>
      </c>
      <c r="D73" s="91" t="s">
        <v>350</v>
      </c>
      <c r="E73" s="92" t="s">
        <v>348</v>
      </c>
      <c r="F73" s="91" t="s">
        <v>247</v>
      </c>
      <c r="G73" s="91" t="s">
        <v>202</v>
      </c>
      <c r="H73" s="91" t="s">
        <v>11</v>
      </c>
      <c r="I73" s="91" t="s">
        <v>186</v>
      </c>
      <c r="J73" s="92" t="s">
        <v>203</v>
      </c>
      <c r="K73" s="93">
        <v>66.3</v>
      </c>
      <c r="L73" s="93">
        <f>K73*VLOOKUP(H73,dagsoorttabel1,2,FALSE)</f>
        <v>51</v>
      </c>
      <c r="M73" s="94">
        <f>prodnorm10</f>
        <v>0</v>
      </c>
      <c r="N73" s="91" t="s">
        <v>103</v>
      </c>
      <c r="O73" s="26">
        <f>uurtarief10</f>
        <v>0</v>
      </c>
      <c r="P73" s="93" t="e">
        <f>IF(ISBLANK(M73),0,L73/ROUND(M73,4))</f>
        <v>#DIV/0!</v>
      </c>
      <c r="Q73" s="26" t="e">
        <f>ROUND(O73,2)*P73</f>
        <v>#DIV/0!</v>
      </c>
      <c r="R73" s="93" t="e">
        <f>P73*dagenperjaar1</f>
        <v>#DIV/0!</v>
      </c>
      <c r="S73" s="27" t="e">
        <f>R73*ROUND(O73,2)</f>
        <v>#DIV/0!</v>
      </c>
    </row>
    <row r="74" spans="1:19" x14ac:dyDescent="0.2">
      <c r="A74" s="90" t="s">
        <v>236</v>
      </c>
      <c r="B74" s="91" t="s">
        <v>339</v>
      </c>
      <c r="C74" s="91" t="s">
        <v>238</v>
      </c>
      <c r="D74" s="91" t="s">
        <v>351</v>
      </c>
      <c r="E74" s="92" t="s">
        <v>352</v>
      </c>
      <c r="F74" s="91" t="s">
        <v>247</v>
      </c>
      <c r="G74" s="91" t="s">
        <v>202</v>
      </c>
      <c r="H74" s="91" t="s">
        <v>11</v>
      </c>
      <c r="I74" s="91" t="s">
        <v>186</v>
      </c>
      <c r="J74" s="92" t="s">
        <v>203</v>
      </c>
      <c r="K74" s="93">
        <v>19.899999999999999</v>
      </c>
      <c r="L74" s="93">
        <f>K74*VLOOKUP(H74,dagsoorttabel1,2,FALSE)</f>
        <v>15.307692307692307</v>
      </c>
      <c r="M74" s="94">
        <f>prodnorm10</f>
        <v>0</v>
      </c>
      <c r="N74" s="91" t="s">
        <v>103</v>
      </c>
      <c r="O74" s="26">
        <f>uurtarief10</f>
        <v>0</v>
      </c>
      <c r="P74" s="93" t="e">
        <f>IF(ISBLANK(M74),0,L74/ROUND(M74,4))</f>
        <v>#DIV/0!</v>
      </c>
      <c r="Q74" s="26" t="e">
        <f>ROUND(O74,2)*P74</f>
        <v>#DIV/0!</v>
      </c>
      <c r="R74" s="93" t="e">
        <f>P74*dagenperjaar1</f>
        <v>#DIV/0!</v>
      </c>
      <c r="S74" s="27" t="e">
        <f>R74*ROUND(O74,2)</f>
        <v>#DIV/0!</v>
      </c>
    </row>
    <row r="75" spans="1:19" x14ac:dyDescent="0.2">
      <c r="A75" s="90" t="s">
        <v>236</v>
      </c>
      <c r="B75" s="91" t="s">
        <v>339</v>
      </c>
      <c r="C75" s="91" t="s">
        <v>238</v>
      </c>
      <c r="D75" s="91" t="s">
        <v>353</v>
      </c>
      <c r="E75" s="92" t="s">
        <v>354</v>
      </c>
      <c r="F75" s="91" t="s">
        <v>247</v>
      </c>
      <c r="G75" s="91" t="s">
        <v>256</v>
      </c>
      <c r="H75" s="91"/>
      <c r="I75" s="91"/>
      <c r="J75" s="91"/>
      <c r="K75" s="93">
        <v>58</v>
      </c>
      <c r="L75" s="93"/>
      <c r="M75" s="94"/>
      <c r="N75" s="91"/>
      <c r="O75" s="26"/>
      <c r="P75" s="93"/>
      <c r="Q75" s="26"/>
      <c r="R75" s="95"/>
      <c r="S75" s="27"/>
    </row>
    <row r="76" spans="1:19" x14ac:dyDescent="0.2">
      <c r="A76" s="90" t="s">
        <v>236</v>
      </c>
      <c r="B76" s="91" t="s">
        <v>339</v>
      </c>
      <c r="C76" s="91" t="s">
        <v>238</v>
      </c>
      <c r="D76" s="91" t="s">
        <v>355</v>
      </c>
      <c r="E76" s="92" t="s">
        <v>262</v>
      </c>
      <c r="F76" s="91" t="s">
        <v>247</v>
      </c>
      <c r="G76" s="91" t="s">
        <v>256</v>
      </c>
      <c r="H76" s="91"/>
      <c r="I76" s="91"/>
      <c r="J76" s="91"/>
      <c r="K76" s="93">
        <v>5.2</v>
      </c>
      <c r="L76" s="93"/>
      <c r="M76" s="94"/>
      <c r="N76" s="91"/>
      <c r="O76" s="26"/>
      <c r="P76" s="93"/>
      <c r="Q76" s="26"/>
      <c r="R76" s="95"/>
      <c r="S76" s="27"/>
    </row>
    <row r="77" spans="1:19" x14ac:dyDescent="0.2">
      <c r="A77" s="90" t="s">
        <v>236</v>
      </c>
      <c r="B77" s="91" t="s">
        <v>339</v>
      </c>
      <c r="C77" s="91" t="s">
        <v>238</v>
      </c>
      <c r="D77" s="91" t="s">
        <v>356</v>
      </c>
      <c r="E77" s="92" t="s">
        <v>357</v>
      </c>
      <c r="F77" s="91" t="s">
        <v>247</v>
      </c>
      <c r="G77" s="91" t="s">
        <v>256</v>
      </c>
      <c r="H77" s="91"/>
      <c r="I77" s="91"/>
      <c r="J77" s="91"/>
      <c r="K77" s="93">
        <v>9.1</v>
      </c>
      <c r="L77" s="93"/>
      <c r="M77" s="94"/>
      <c r="N77" s="91"/>
      <c r="O77" s="26"/>
      <c r="P77" s="93"/>
      <c r="Q77" s="26"/>
      <c r="R77" s="95"/>
      <c r="S77" s="27"/>
    </row>
    <row r="78" spans="1:19" ht="25.5" x14ac:dyDescent="0.2">
      <c r="A78" s="90" t="s">
        <v>236</v>
      </c>
      <c r="B78" s="91" t="s">
        <v>339</v>
      </c>
      <c r="C78" s="91" t="s">
        <v>238</v>
      </c>
      <c r="D78" s="91" t="s">
        <v>358</v>
      </c>
      <c r="E78" s="92" t="s">
        <v>359</v>
      </c>
      <c r="F78" s="91" t="s">
        <v>247</v>
      </c>
      <c r="G78" s="91" t="s">
        <v>188</v>
      </c>
      <c r="H78" s="91" t="s">
        <v>11</v>
      </c>
      <c r="I78" s="91" t="s">
        <v>186</v>
      </c>
      <c r="J78" s="92" t="s">
        <v>189</v>
      </c>
      <c r="K78" s="93">
        <v>10.5</v>
      </c>
      <c r="L78" s="93">
        <f>K78*VLOOKUP(H78,dagsoorttabel1,2,FALSE)</f>
        <v>8.0769230769230766</v>
      </c>
      <c r="M78" s="94">
        <f>prodnorm2</f>
        <v>0</v>
      </c>
      <c r="N78" s="91" t="s">
        <v>103</v>
      </c>
      <c r="O78" s="26">
        <f>uurtarief2</f>
        <v>0</v>
      </c>
      <c r="P78" s="93" t="e">
        <f>IF(ISBLANK(M78),0,L78/ROUND(M78,4))</f>
        <v>#DIV/0!</v>
      </c>
      <c r="Q78" s="26" t="e">
        <f>ROUND(O78,2)*P78</f>
        <v>#DIV/0!</v>
      </c>
      <c r="R78" s="93" t="e">
        <f>P78*dagenperjaar1</f>
        <v>#DIV/0!</v>
      </c>
      <c r="S78" s="27" t="e">
        <f>R78*ROUND(O78,2)</f>
        <v>#DIV/0!</v>
      </c>
    </row>
    <row r="79" spans="1:19" ht="25.5" x14ac:dyDescent="0.2">
      <c r="A79" s="90" t="s">
        <v>236</v>
      </c>
      <c r="B79" s="91" t="s">
        <v>339</v>
      </c>
      <c r="C79" s="91" t="s">
        <v>238</v>
      </c>
      <c r="D79" s="91" t="s">
        <v>360</v>
      </c>
      <c r="E79" s="92" t="s">
        <v>361</v>
      </c>
      <c r="F79" s="91" t="s">
        <v>247</v>
      </c>
      <c r="G79" s="91" t="s">
        <v>188</v>
      </c>
      <c r="H79" s="91" t="s">
        <v>11</v>
      </c>
      <c r="I79" s="91" t="s">
        <v>186</v>
      </c>
      <c r="J79" s="92" t="s">
        <v>189</v>
      </c>
      <c r="K79" s="93">
        <v>151.9</v>
      </c>
      <c r="L79" s="93">
        <f>K79*VLOOKUP(H79,dagsoorttabel1,2,FALSE)</f>
        <v>116.84615384615385</v>
      </c>
      <c r="M79" s="94">
        <f>prodnorm2</f>
        <v>0</v>
      </c>
      <c r="N79" s="91" t="s">
        <v>103</v>
      </c>
      <c r="O79" s="26">
        <f>uurtarief2</f>
        <v>0</v>
      </c>
      <c r="P79" s="93" t="e">
        <f>IF(ISBLANK(M79),0,L79/ROUND(M79,4))</f>
        <v>#DIV/0!</v>
      </c>
      <c r="Q79" s="26" t="e">
        <f>ROUND(O79,2)*P79</f>
        <v>#DIV/0!</v>
      </c>
      <c r="R79" s="93" t="e">
        <f>P79*dagenperjaar1</f>
        <v>#DIV/0!</v>
      </c>
      <c r="S79" s="27" t="e">
        <f>R79*ROUND(O79,2)</f>
        <v>#DIV/0!</v>
      </c>
    </row>
    <row r="80" spans="1:19" ht="25.5" x14ac:dyDescent="0.2">
      <c r="A80" s="90" t="s">
        <v>236</v>
      </c>
      <c r="B80" s="91" t="s">
        <v>339</v>
      </c>
      <c r="C80" s="91" t="s">
        <v>238</v>
      </c>
      <c r="D80" s="91" t="s">
        <v>362</v>
      </c>
      <c r="E80" s="92" t="s">
        <v>331</v>
      </c>
      <c r="F80" s="91" t="s">
        <v>247</v>
      </c>
      <c r="G80" s="91" t="s">
        <v>222</v>
      </c>
      <c r="H80" s="91" t="s">
        <v>11</v>
      </c>
      <c r="I80" s="91" t="s">
        <v>186</v>
      </c>
      <c r="J80" s="92" t="s">
        <v>223</v>
      </c>
      <c r="K80" s="93">
        <v>39.299999999999997</v>
      </c>
      <c r="L80" s="93">
        <f>K80*VLOOKUP(H80,dagsoorttabel1,2,FALSE)</f>
        <v>30.23076923076923</v>
      </c>
      <c r="M80" s="94">
        <f>prodnorm20</f>
        <v>0</v>
      </c>
      <c r="N80" s="91" t="s">
        <v>103</v>
      </c>
      <c r="O80" s="26">
        <f>uurtarief20</f>
        <v>0</v>
      </c>
      <c r="P80" s="93" t="e">
        <f>IF(ISBLANK(M80),0,L80/ROUND(M80,4))</f>
        <v>#DIV/0!</v>
      </c>
      <c r="Q80" s="26" t="e">
        <f>ROUND(O80,2)*P80</f>
        <v>#DIV/0!</v>
      </c>
      <c r="R80" s="93" t="e">
        <f>P80*dagenperjaar1</f>
        <v>#DIV/0!</v>
      </c>
      <c r="S80" s="27" t="e">
        <f>R80*ROUND(O80,2)</f>
        <v>#DIV/0!</v>
      </c>
    </row>
    <row r="81" spans="1:19" ht="25.5" x14ac:dyDescent="0.2">
      <c r="A81" s="90" t="s">
        <v>236</v>
      </c>
      <c r="B81" s="91" t="s">
        <v>339</v>
      </c>
      <c r="C81" s="91" t="s">
        <v>238</v>
      </c>
      <c r="D81" s="91" t="s">
        <v>363</v>
      </c>
      <c r="E81" s="92" t="s">
        <v>331</v>
      </c>
      <c r="F81" s="91" t="s">
        <v>247</v>
      </c>
      <c r="G81" s="91" t="s">
        <v>222</v>
      </c>
      <c r="H81" s="91" t="s">
        <v>11</v>
      </c>
      <c r="I81" s="91" t="s">
        <v>186</v>
      </c>
      <c r="J81" s="92" t="s">
        <v>223</v>
      </c>
      <c r="K81" s="93">
        <v>29</v>
      </c>
      <c r="L81" s="93">
        <f>K81*VLOOKUP(H81,dagsoorttabel1,2,FALSE)</f>
        <v>22.30769230769231</v>
      </c>
      <c r="M81" s="94">
        <f>prodnorm20</f>
        <v>0</v>
      </c>
      <c r="N81" s="91" t="s">
        <v>103</v>
      </c>
      <c r="O81" s="26">
        <f>uurtarief20</f>
        <v>0</v>
      </c>
      <c r="P81" s="93" t="e">
        <f>IF(ISBLANK(M81),0,L81/ROUND(M81,4))</f>
        <v>#DIV/0!</v>
      </c>
      <c r="Q81" s="26" t="e">
        <f>ROUND(O81,2)*P81</f>
        <v>#DIV/0!</v>
      </c>
      <c r="R81" s="93" t="e">
        <f>P81*dagenperjaar1</f>
        <v>#DIV/0!</v>
      </c>
      <c r="S81" s="27" t="e">
        <f>R81*ROUND(O81,2)</f>
        <v>#DIV/0!</v>
      </c>
    </row>
    <row r="82" spans="1:19" ht="25.5" x14ac:dyDescent="0.2">
      <c r="A82" s="90" t="s">
        <v>236</v>
      </c>
      <c r="B82" s="91" t="s">
        <v>339</v>
      </c>
      <c r="C82" s="91" t="s">
        <v>238</v>
      </c>
      <c r="D82" s="91" t="s">
        <v>364</v>
      </c>
      <c r="E82" s="92" t="s">
        <v>365</v>
      </c>
      <c r="F82" s="91" t="s">
        <v>247</v>
      </c>
      <c r="G82" s="91" t="s">
        <v>222</v>
      </c>
      <c r="H82" s="91" t="s">
        <v>11</v>
      </c>
      <c r="I82" s="91" t="s">
        <v>186</v>
      </c>
      <c r="J82" s="92" t="s">
        <v>223</v>
      </c>
      <c r="K82" s="93">
        <v>10.6</v>
      </c>
      <c r="L82" s="93">
        <f>K82*VLOOKUP(H82,dagsoorttabel1,2,FALSE)</f>
        <v>8.1538461538461533</v>
      </c>
      <c r="M82" s="94">
        <f>prodnorm20</f>
        <v>0</v>
      </c>
      <c r="N82" s="91" t="s">
        <v>103</v>
      </c>
      <c r="O82" s="26">
        <f>uurtarief20</f>
        <v>0</v>
      </c>
      <c r="P82" s="93" t="e">
        <f>IF(ISBLANK(M82),0,L82/ROUND(M82,4))</f>
        <v>#DIV/0!</v>
      </c>
      <c r="Q82" s="26" t="e">
        <f>ROUND(O82,2)*P82</f>
        <v>#DIV/0!</v>
      </c>
      <c r="R82" s="93" t="e">
        <f>P82*dagenperjaar1</f>
        <v>#DIV/0!</v>
      </c>
      <c r="S82" s="27" t="e">
        <f>R82*ROUND(O82,2)</f>
        <v>#DIV/0!</v>
      </c>
    </row>
    <row r="83" spans="1:19" x14ac:dyDescent="0.2">
      <c r="A83" s="90" t="s">
        <v>236</v>
      </c>
      <c r="B83" s="91" t="s">
        <v>339</v>
      </c>
      <c r="C83" s="91" t="s">
        <v>238</v>
      </c>
      <c r="D83" s="91" t="s">
        <v>366</v>
      </c>
      <c r="E83" s="92" t="s">
        <v>367</v>
      </c>
      <c r="F83" s="91" t="s">
        <v>247</v>
      </c>
      <c r="G83" s="91" t="s">
        <v>206</v>
      </c>
      <c r="H83" s="91" t="s">
        <v>11</v>
      </c>
      <c r="I83" s="91" t="s">
        <v>186</v>
      </c>
      <c r="J83" s="92" t="s">
        <v>207</v>
      </c>
      <c r="K83" s="93">
        <v>56.1</v>
      </c>
      <c r="L83" s="93">
        <f>K83*VLOOKUP(H83,dagsoorttabel1,2,FALSE)</f>
        <v>43.15384615384616</v>
      </c>
      <c r="M83" s="94">
        <f>prodnorm12</f>
        <v>0</v>
      </c>
      <c r="N83" s="91" t="s">
        <v>103</v>
      </c>
      <c r="O83" s="26">
        <f>uurtarief12</f>
        <v>0</v>
      </c>
      <c r="P83" s="93" t="e">
        <f>IF(ISBLANK(M83),0,L83/ROUND(M83,4))</f>
        <v>#DIV/0!</v>
      </c>
      <c r="Q83" s="26" t="e">
        <f>ROUND(O83,2)*P83</f>
        <v>#DIV/0!</v>
      </c>
      <c r="R83" s="93" t="e">
        <f>P83*dagenperjaar1</f>
        <v>#DIV/0!</v>
      </c>
      <c r="S83" s="27" t="e">
        <f>R83*ROUND(O83,2)</f>
        <v>#DIV/0!</v>
      </c>
    </row>
    <row r="84" spans="1:19" ht="25.5" x14ac:dyDescent="0.2">
      <c r="A84" s="90" t="s">
        <v>236</v>
      </c>
      <c r="B84" s="91" t="s">
        <v>339</v>
      </c>
      <c r="C84" s="91" t="s">
        <v>238</v>
      </c>
      <c r="D84" s="91" t="s">
        <v>368</v>
      </c>
      <c r="E84" s="92" t="s">
        <v>369</v>
      </c>
      <c r="F84" s="91" t="s">
        <v>247</v>
      </c>
      <c r="G84" s="91" t="s">
        <v>188</v>
      </c>
      <c r="H84" s="91" t="s">
        <v>11</v>
      </c>
      <c r="I84" s="91" t="s">
        <v>186</v>
      </c>
      <c r="J84" s="92" t="s">
        <v>189</v>
      </c>
      <c r="K84" s="93">
        <v>15.9</v>
      </c>
      <c r="L84" s="93">
        <f>K84*VLOOKUP(H84,dagsoorttabel1,2,FALSE)</f>
        <v>12.230769230769232</v>
      </c>
      <c r="M84" s="94">
        <f>prodnorm2</f>
        <v>0</v>
      </c>
      <c r="N84" s="91" t="s">
        <v>103</v>
      </c>
      <c r="O84" s="26">
        <f>uurtarief2</f>
        <v>0</v>
      </c>
      <c r="P84" s="93" t="e">
        <f>IF(ISBLANK(M84),0,L84/ROUND(M84,4))</f>
        <v>#DIV/0!</v>
      </c>
      <c r="Q84" s="26" t="e">
        <f>ROUND(O84,2)*P84</f>
        <v>#DIV/0!</v>
      </c>
      <c r="R84" s="93" t="e">
        <f>P84*dagenperjaar1</f>
        <v>#DIV/0!</v>
      </c>
      <c r="S84" s="27" t="e">
        <f>R84*ROUND(O84,2)</f>
        <v>#DIV/0!</v>
      </c>
    </row>
    <row r="85" spans="1:19" ht="25.5" x14ac:dyDescent="0.2">
      <c r="A85" s="90" t="s">
        <v>236</v>
      </c>
      <c r="B85" s="91" t="s">
        <v>339</v>
      </c>
      <c r="C85" s="91" t="s">
        <v>238</v>
      </c>
      <c r="D85" s="91" t="s">
        <v>370</v>
      </c>
      <c r="E85" s="92" t="s">
        <v>371</v>
      </c>
      <c r="F85" s="91" t="s">
        <v>247</v>
      </c>
      <c r="G85" s="91" t="s">
        <v>188</v>
      </c>
      <c r="H85" s="91" t="s">
        <v>11</v>
      </c>
      <c r="I85" s="91" t="s">
        <v>186</v>
      </c>
      <c r="J85" s="92" t="s">
        <v>189</v>
      </c>
      <c r="K85" s="93">
        <v>15.5</v>
      </c>
      <c r="L85" s="93">
        <f>K85*VLOOKUP(H85,dagsoorttabel1,2,FALSE)</f>
        <v>11.923076923076923</v>
      </c>
      <c r="M85" s="94">
        <f>prodnorm2</f>
        <v>0</v>
      </c>
      <c r="N85" s="91" t="s">
        <v>103</v>
      </c>
      <c r="O85" s="26">
        <f>uurtarief2</f>
        <v>0</v>
      </c>
      <c r="P85" s="93" t="e">
        <f>IF(ISBLANK(M85),0,L85/ROUND(M85,4))</f>
        <v>#DIV/0!</v>
      </c>
      <c r="Q85" s="26" t="e">
        <f>ROUND(O85,2)*P85</f>
        <v>#DIV/0!</v>
      </c>
      <c r="R85" s="93" t="e">
        <f>P85*dagenperjaar1</f>
        <v>#DIV/0!</v>
      </c>
      <c r="S85" s="27" t="e">
        <f>R85*ROUND(O85,2)</f>
        <v>#DIV/0!</v>
      </c>
    </row>
    <row r="86" spans="1:19" ht="25.5" x14ac:dyDescent="0.2">
      <c r="A86" s="90" t="s">
        <v>236</v>
      </c>
      <c r="B86" s="91" t="s">
        <v>339</v>
      </c>
      <c r="C86" s="91" t="s">
        <v>238</v>
      </c>
      <c r="D86" s="91" t="s">
        <v>372</v>
      </c>
      <c r="E86" s="92" t="s">
        <v>373</v>
      </c>
      <c r="F86" s="91" t="s">
        <v>247</v>
      </c>
      <c r="G86" s="91" t="s">
        <v>188</v>
      </c>
      <c r="H86" s="91" t="s">
        <v>11</v>
      </c>
      <c r="I86" s="91" t="s">
        <v>186</v>
      </c>
      <c r="J86" s="92" t="s">
        <v>189</v>
      </c>
      <c r="K86" s="93">
        <v>15.7</v>
      </c>
      <c r="L86" s="93">
        <f>K86*VLOOKUP(H86,dagsoorttabel1,2,FALSE)</f>
        <v>12.076923076923077</v>
      </c>
      <c r="M86" s="94">
        <f>prodnorm2</f>
        <v>0</v>
      </c>
      <c r="N86" s="91" t="s">
        <v>103</v>
      </c>
      <c r="O86" s="26">
        <f>uurtarief2</f>
        <v>0</v>
      </c>
      <c r="P86" s="93" t="e">
        <f>IF(ISBLANK(M86),0,L86/ROUND(M86,4))</f>
        <v>#DIV/0!</v>
      </c>
      <c r="Q86" s="26" t="e">
        <f>ROUND(O86,2)*P86</f>
        <v>#DIV/0!</v>
      </c>
      <c r="R86" s="93" t="e">
        <f>P86*dagenperjaar1</f>
        <v>#DIV/0!</v>
      </c>
      <c r="S86" s="27" t="e">
        <f>R86*ROUND(O86,2)</f>
        <v>#DIV/0!</v>
      </c>
    </row>
    <row r="87" spans="1:19" ht="25.5" x14ac:dyDescent="0.2">
      <c r="A87" s="90" t="s">
        <v>236</v>
      </c>
      <c r="B87" s="91" t="s">
        <v>339</v>
      </c>
      <c r="C87" s="91" t="s">
        <v>238</v>
      </c>
      <c r="D87" s="91" t="s">
        <v>374</v>
      </c>
      <c r="E87" s="92" t="s">
        <v>375</v>
      </c>
      <c r="F87" s="91" t="s">
        <v>247</v>
      </c>
      <c r="G87" s="91" t="s">
        <v>188</v>
      </c>
      <c r="H87" s="91" t="s">
        <v>11</v>
      </c>
      <c r="I87" s="91" t="s">
        <v>186</v>
      </c>
      <c r="J87" s="92" t="s">
        <v>189</v>
      </c>
      <c r="K87" s="93">
        <v>13.2</v>
      </c>
      <c r="L87" s="93">
        <f>K87*VLOOKUP(H87,dagsoorttabel1,2,FALSE)</f>
        <v>10.153846153846153</v>
      </c>
      <c r="M87" s="94">
        <f>prodnorm2</f>
        <v>0</v>
      </c>
      <c r="N87" s="91" t="s">
        <v>103</v>
      </c>
      <c r="O87" s="26">
        <f>uurtarief2</f>
        <v>0</v>
      </c>
      <c r="P87" s="93" t="e">
        <f>IF(ISBLANK(M87),0,L87/ROUND(M87,4))</f>
        <v>#DIV/0!</v>
      </c>
      <c r="Q87" s="26" t="e">
        <f>ROUND(O87,2)*P87</f>
        <v>#DIV/0!</v>
      </c>
      <c r="R87" s="93" t="e">
        <f>P87*dagenperjaar1</f>
        <v>#DIV/0!</v>
      </c>
      <c r="S87" s="27" t="e">
        <f>R87*ROUND(O87,2)</f>
        <v>#DIV/0!</v>
      </c>
    </row>
    <row r="88" spans="1:19" ht="25.5" x14ac:dyDescent="0.2">
      <c r="A88" s="90" t="s">
        <v>236</v>
      </c>
      <c r="B88" s="91" t="s">
        <v>339</v>
      </c>
      <c r="C88" s="91" t="s">
        <v>238</v>
      </c>
      <c r="D88" s="91" t="s">
        <v>376</v>
      </c>
      <c r="E88" s="92" t="s">
        <v>375</v>
      </c>
      <c r="F88" s="91" t="s">
        <v>247</v>
      </c>
      <c r="G88" s="91" t="s">
        <v>188</v>
      </c>
      <c r="H88" s="91" t="s">
        <v>11</v>
      </c>
      <c r="I88" s="91" t="s">
        <v>186</v>
      </c>
      <c r="J88" s="92" t="s">
        <v>189</v>
      </c>
      <c r="K88" s="93">
        <v>13.1</v>
      </c>
      <c r="L88" s="93">
        <f>K88*VLOOKUP(H88,dagsoorttabel1,2,FALSE)</f>
        <v>10.076923076923077</v>
      </c>
      <c r="M88" s="94">
        <f>prodnorm2</f>
        <v>0</v>
      </c>
      <c r="N88" s="91" t="s">
        <v>103</v>
      </c>
      <c r="O88" s="26">
        <f>uurtarief2</f>
        <v>0</v>
      </c>
      <c r="P88" s="93" t="e">
        <f>IF(ISBLANK(M88),0,L88/ROUND(M88,4))</f>
        <v>#DIV/0!</v>
      </c>
      <c r="Q88" s="26" t="e">
        <f>ROUND(O88,2)*P88</f>
        <v>#DIV/0!</v>
      </c>
      <c r="R88" s="93" t="e">
        <f>P88*dagenperjaar1</f>
        <v>#DIV/0!</v>
      </c>
      <c r="S88" s="27" t="e">
        <f>R88*ROUND(O88,2)</f>
        <v>#DIV/0!</v>
      </c>
    </row>
    <row r="89" spans="1:19" ht="25.5" x14ac:dyDescent="0.2">
      <c r="A89" s="90" t="s">
        <v>236</v>
      </c>
      <c r="B89" s="91" t="s">
        <v>339</v>
      </c>
      <c r="C89" s="91" t="s">
        <v>238</v>
      </c>
      <c r="D89" s="91" t="s">
        <v>377</v>
      </c>
      <c r="E89" s="92" t="s">
        <v>375</v>
      </c>
      <c r="F89" s="91" t="s">
        <v>247</v>
      </c>
      <c r="G89" s="91" t="s">
        <v>188</v>
      </c>
      <c r="H89" s="91" t="s">
        <v>11</v>
      </c>
      <c r="I89" s="91" t="s">
        <v>186</v>
      </c>
      <c r="J89" s="92" t="s">
        <v>189</v>
      </c>
      <c r="K89" s="93">
        <v>9.9</v>
      </c>
      <c r="L89" s="93">
        <f>K89*VLOOKUP(H89,dagsoorttabel1,2,FALSE)</f>
        <v>7.6153846153846159</v>
      </c>
      <c r="M89" s="94">
        <f>prodnorm2</f>
        <v>0</v>
      </c>
      <c r="N89" s="91" t="s">
        <v>103</v>
      </c>
      <c r="O89" s="26">
        <f>uurtarief2</f>
        <v>0</v>
      </c>
      <c r="P89" s="93" t="e">
        <f>IF(ISBLANK(M89),0,L89/ROUND(M89,4))</f>
        <v>#DIV/0!</v>
      </c>
      <c r="Q89" s="26" t="e">
        <f>ROUND(O89,2)*P89</f>
        <v>#DIV/0!</v>
      </c>
      <c r="R89" s="93" t="e">
        <f>P89*dagenperjaar1</f>
        <v>#DIV/0!</v>
      </c>
      <c r="S89" s="27" t="e">
        <f>R89*ROUND(O89,2)</f>
        <v>#DIV/0!</v>
      </c>
    </row>
    <row r="90" spans="1:19" ht="25.5" x14ac:dyDescent="0.2">
      <c r="A90" s="90" t="s">
        <v>236</v>
      </c>
      <c r="B90" s="91" t="s">
        <v>339</v>
      </c>
      <c r="C90" s="91" t="s">
        <v>238</v>
      </c>
      <c r="D90" s="91" t="s">
        <v>378</v>
      </c>
      <c r="E90" s="92" t="s">
        <v>375</v>
      </c>
      <c r="F90" s="91" t="s">
        <v>247</v>
      </c>
      <c r="G90" s="91" t="s">
        <v>188</v>
      </c>
      <c r="H90" s="91" t="s">
        <v>11</v>
      </c>
      <c r="I90" s="91" t="s">
        <v>186</v>
      </c>
      <c r="J90" s="92" t="s">
        <v>189</v>
      </c>
      <c r="K90" s="93">
        <v>13.2</v>
      </c>
      <c r="L90" s="93">
        <f>K90*VLOOKUP(H90,dagsoorttabel1,2,FALSE)</f>
        <v>10.153846153846153</v>
      </c>
      <c r="M90" s="94">
        <f>prodnorm2</f>
        <v>0</v>
      </c>
      <c r="N90" s="91" t="s">
        <v>103</v>
      </c>
      <c r="O90" s="26">
        <f>uurtarief2</f>
        <v>0</v>
      </c>
      <c r="P90" s="93" t="e">
        <f>IF(ISBLANK(M90),0,L90/ROUND(M90,4))</f>
        <v>#DIV/0!</v>
      </c>
      <c r="Q90" s="26" t="e">
        <f>ROUND(O90,2)*P90</f>
        <v>#DIV/0!</v>
      </c>
      <c r="R90" s="93" t="e">
        <f>P90*dagenperjaar1</f>
        <v>#DIV/0!</v>
      </c>
      <c r="S90" s="27" t="e">
        <f>R90*ROUND(O90,2)</f>
        <v>#DIV/0!</v>
      </c>
    </row>
    <row r="91" spans="1:19" ht="25.5" x14ac:dyDescent="0.2">
      <c r="A91" s="90" t="s">
        <v>236</v>
      </c>
      <c r="B91" s="91" t="s">
        <v>339</v>
      </c>
      <c r="C91" s="91" t="s">
        <v>238</v>
      </c>
      <c r="D91" s="91" t="s">
        <v>379</v>
      </c>
      <c r="E91" s="92" t="s">
        <v>380</v>
      </c>
      <c r="F91" s="91" t="s">
        <v>247</v>
      </c>
      <c r="G91" s="91" t="s">
        <v>188</v>
      </c>
      <c r="H91" s="91" t="s">
        <v>11</v>
      </c>
      <c r="I91" s="91" t="s">
        <v>186</v>
      </c>
      <c r="J91" s="92" t="s">
        <v>189</v>
      </c>
      <c r="K91" s="93">
        <v>6.9</v>
      </c>
      <c r="L91" s="93">
        <f>K91*VLOOKUP(H91,dagsoorttabel1,2,FALSE)</f>
        <v>5.3076923076923084</v>
      </c>
      <c r="M91" s="94">
        <f>prodnorm2</f>
        <v>0</v>
      </c>
      <c r="N91" s="91" t="s">
        <v>103</v>
      </c>
      <c r="O91" s="26">
        <f>uurtarief2</f>
        <v>0</v>
      </c>
      <c r="P91" s="93" t="e">
        <f>IF(ISBLANK(M91),0,L91/ROUND(M91,4))</f>
        <v>#DIV/0!</v>
      </c>
      <c r="Q91" s="26" t="e">
        <f>ROUND(O91,2)*P91</f>
        <v>#DIV/0!</v>
      </c>
      <c r="R91" s="93" t="e">
        <f>P91*dagenperjaar1</f>
        <v>#DIV/0!</v>
      </c>
      <c r="S91" s="27" t="e">
        <f>R91*ROUND(O91,2)</f>
        <v>#DIV/0!</v>
      </c>
    </row>
    <row r="92" spans="1:19" x14ac:dyDescent="0.2">
      <c r="A92" s="90" t="s">
        <v>236</v>
      </c>
      <c r="B92" s="91" t="s">
        <v>339</v>
      </c>
      <c r="C92" s="91" t="s">
        <v>238</v>
      </c>
      <c r="D92" s="91" t="s">
        <v>381</v>
      </c>
      <c r="E92" s="92" t="s">
        <v>382</v>
      </c>
      <c r="F92" s="91" t="s">
        <v>288</v>
      </c>
      <c r="G92" s="91" t="s">
        <v>216</v>
      </c>
      <c r="H92" s="91" t="s">
        <v>11</v>
      </c>
      <c r="I92" s="91" t="s">
        <v>186</v>
      </c>
      <c r="J92" s="92" t="s">
        <v>217</v>
      </c>
      <c r="K92" s="93">
        <v>4.2</v>
      </c>
      <c r="L92" s="93">
        <f>K92*VLOOKUP(H92,dagsoorttabel1,2,FALSE)</f>
        <v>3.2307692307692313</v>
      </c>
      <c r="M92" s="94">
        <f>prodnorm17</f>
        <v>0</v>
      </c>
      <c r="N92" s="91" t="s">
        <v>103</v>
      </c>
      <c r="O92" s="26">
        <f>uurtarief17</f>
        <v>0</v>
      </c>
      <c r="P92" s="93" t="e">
        <f>IF(ISBLANK(M92),0,L92/ROUND(M92,4))</f>
        <v>#DIV/0!</v>
      </c>
      <c r="Q92" s="26" t="e">
        <f>ROUND(O92,2)*P92</f>
        <v>#DIV/0!</v>
      </c>
      <c r="R92" s="93" t="e">
        <f>P92*dagenperjaar1</f>
        <v>#DIV/0!</v>
      </c>
      <c r="S92" s="27" t="e">
        <f>R92*ROUND(O92,2)</f>
        <v>#DIV/0!</v>
      </c>
    </row>
    <row r="93" spans="1:19" x14ac:dyDescent="0.2">
      <c r="A93" s="90" t="s">
        <v>236</v>
      </c>
      <c r="B93" s="91" t="s">
        <v>339</v>
      </c>
      <c r="C93" s="91" t="s">
        <v>238</v>
      </c>
      <c r="D93" s="91" t="s">
        <v>381</v>
      </c>
      <c r="E93" s="92" t="s">
        <v>382</v>
      </c>
      <c r="F93" s="91" t="s">
        <v>288</v>
      </c>
      <c r="G93" s="91" t="s">
        <v>218</v>
      </c>
      <c r="H93" s="91" t="s">
        <v>11</v>
      </c>
      <c r="I93" s="91" t="s">
        <v>186</v>
      </c>
      <c r="J93" s="92" t="s">
        <v>219</v>
      </c>
      <c r="K93" s="93">
        <v>4.2</v>
      </c>
      <c r="L93" s="93">
        <f>K93*VLOOKUP(H93,dagsoorttabel1,2,FALSE)</f>
        <v>3.2307692307692313</v>
      </c>
      <c r="M93" s="94">
        <f>prodnorm18</f>
        <v>0</v>
      </c>
      <c r="N93" s="91" t="s">
        <v>103</v>
      </c>
      <c r="O93" s="26">
        <f>uurtarief18</f>
        <v>0</v>
      </c>
      <c r="P93" s="93" t="e">
        <f>IF(ISBLANK(M93),0,L93/ROUND(M93,4))</f>
        <v>#DIV/0!</v>
      </c>
      <c r="Q93" s="26" t="e">
        <f>ROUND(O93,2)*P93</f>
        <v>#DIV/0!</v>
      </c>
      <c r="R93" s="93" t="e">
        <f>P93*dagenperjaar1</f>
        <v>#DIV/0!</v>
      </c>
      <c r="S93" s="27" t="e">
        <f>R93*ROUND(O93,2)</f>
        <v>#DIV/0!</v>
      </c>
    </row>
    <row r="94" spans="1:19" x14ac:dyDescent="0.2">
      <c r="A94" s="90" t="s">
        <v>236</v>
      </c>
      <c r="B94" s="91" t="s">
        <v>339</v>
      </c>
      <c r="C94" s="91" t="s">
        <v>238</v>
      </c>
      <c r="D94" s="91" t="s">
        <v>383</v>
      </c>
      <c r="E94" s="92" t="s">
        <v>287</v>
      </c>
      <c r="F94" s="91" t="s">
        <v>288</v>
      </c>
      <c r="G94" s="91" t="s">
        <v>216</v>
      </c>
      <c r="H94" s="91" t="s">
        <v>11</v>
      </c>
      <c r="I94" s="91" t="s">
        <v>186</v>
      </c>
      <c r="J94" s="92" t="s">
        <v>217</v>
      </c>
      <c r="K94" s="93">
        <v>3.7</v>
      </c>
      <c r="L94" s="93">
        <f>K94*VLOOKUP(H94,dagsoorttabel1,2,FALSE)</f>
        <v>2.8461538461538463</v>
      </c>
      <c r="M94" s="94">
        <f>prodnorm17</f>
        <v>0</v>
      </c>
      <c r="N94" s="91" t="s">
        <v>103</v>
      </c>
      <c r="O94" s="26">
        <f>uurtarief17</f>
        <v>0</v>
      </c>
      <c r="P94" s="93" t="e">
        <f>IF(ISBLANK(M94),0,L94/ROUND(M94,4))</f>
        <v>#DIV/0!</v>
      </c>
      <c r="Q94" s="26" t="e">
        <f>ROUND(O94,2)*P94</f>
        <v>#DIV/0!</v>
      </c>
      <c r="R94" s="93" t="e">
        <f>P94*dagenperjaar1</f>
        <v>#DIV/0!</v>
      </c>
      <c r="S94" s="27" t="e">
        <f>R94*ROUND(O94,2)</f>
        <v>#DIV/0!</v>
      </c>
    </row>
    <row r="95" spans="1:19" x14ac:dyDescent="0.2">
      <c r="A95" s="90" t="s">
        <v>236</v>
      </c>
      <c r="B95" s="91" t="s">
        <v>339</v>
      </c>
      <c r="C95" s="91" t="s">
        <v>238</v>
      </c>
      <c r="D95" s="91" t="s">
        <v>383</v>
      </c>
      <c r="E95" s="92" t="s">
        <v>287</v>
      </c>
      <c r="F95" s="91" t="s">
        <v>288</v>
      </c>
      <c r="G95" s="91" t="s">
        <v>218</v>
      </c>
      <c r="H95" s="91" t="s">
        <v>11</v>
      </c>
      <c r="I95" s="91" t="s">
        <v>186</v>
      </c>
      <c r="J95" s="92" t="s">
        <v>219</v>
      </c>
      <c r="K95" s="93">
        <v>3.7</v>
      </c>
      <c r="L95" s="93">
        <f>K95*VLOOKUP(H95,dagsoorttabel1,2,FALSE)</f>
        <v>2.8461538461538463</v>
      </c>
      <c r="M95" s="94">
        <f>prodnorm18</f>
        <v>0</v>
      </c>
      <c r="N95" s="91" t="s">
        <v>103</v>
      </c>
      <c r="O95" s="26">
        <f>uurtarief18</f>
        <v>0</v>
      </c>
      <c r="P95" s="93" t="e">
        <f>IF(ISBLANK(M95),0,L95/ROUND(M95,4))</f>
        <v>#DIV/0!</v>
      </c>
      <c r="Q95" s="26" t="e">
        <f>ROUND(O95,2)*P95</f>
        <v>#DIV/0!</v>
      </c>
      <c r="R95" s="93" t="e">
        <f>P95*dagenperjaar1</f>
        <v>#DIV/0!</v>
      </c>
      <c r="S95" s="27" t="e">
        <f>R95*ROUND(O95,2)</f>
        <v>#DIV/0!</v>
      </c>
    </row>
    <row r="96" spans="1:19" x14ac:dyDescent="0.2">
      <c r="A96" s="90" t="s">
        <v>236</v>
      </c>
      <c r="B96" s="91" t="s">
        <v>339</v>
      </c>
      <c r="C96" s="91" t="s">
        <v>238</v>
      </c>
      <c r="D96" s="91" t="s">
        <v>384</v>
      </c>
      <c r="E96" s="92" t="s">
        <v>287</v>
      </c>
      <c r="F96" s="91" t="s">
        <v>288</v>
      </c>
      <c r="G96" s="91" t="s">
        <v>216</v>
      </c>
      <c r="H96" s="91" t="s">
        <v>11</v>
      </c>
      <c r="I96" s="91" t="s">
        <v>186</v>
      </c>
      <c r="J96" s="92" t="s">
        <v>217</v>
      </c>
      <c r="K96" s="93">
        <v>3.3</v>
      </c>
      <c r="L96" s="93">
        <f>K96*VLOOKUP(H96,dagsoorttabel1,2,FALSE)</f>
        <v>2.5384615384615383</v>
      </c>
      <c r="M96" s="94">
        <f>prodnorm17</f>
        <v>0</v>
      </c>
      <c r="N96" s="91" t="s">
        <v>103</v>
      </c>
      <c r="O96" s="26">
        <f>uurtarief17</f>
        <v>0</v>
      </c>
      <c r="P96" s="93" t="e">
        <f>IF(ISBLANK(M96),0,L96/ROUND(M96,4))</f>
        <v>#DIV/0!</v>
      </c>
      <c r="Q96" s="26" t="e">
        <f>ROUND(O96,2)*P96</f>
        <v>#DIV/0!</v>
      </c>
      <c r="R96" s="93" t="e">
        <f>P96*dagenperjaar1</f>
        <v>#DIV/0!</v>
      </c>
      <c r="S96" s="27" t="e">
        <f>R96*ROUND(O96,2)</f>
        <v>#DIV/0!</v>
      </c>
    </row>
    <row r="97" spans="1:19" x14ac:dyDescent="0.2">
      <c r="A97" s="90" t="s">
        <v>236</v>
      </c>
      <c r="B97" s="91" t="s">
        <v>339</v>
      </c>
      <c r="C97" s="91" t="s">
        <v>238</v>
      </c>
      <c r="D97" s="91" t="s">
        <v>384</v>
      </c>
      <c r="E97" s="92" t="s">
        <v>287</v>
      </c>
      <c r="F97" s="91" t="s">
        <v>288</v>
      </c>
      <c r="G97" s="91" t="s">
        <v>218</v>
      </c>
      <c r="H97" s="91" t="s">
        <v>11</v>
      </c>
      <c r="I97" s="91" t="s">
        <v>186</v>
      </c>
      <c r="J97" s="92" t="s">
        <v>219</v>
      </c>
      <c r="K97" s="93">
        <v>3.3</v>
      </c>
      <c r="L97" s="93">
        <f>K97*VLOOKUP(H97,dagsoorttabel1,2,FALSE)</f>
        <v>2.5384615384615383</v>
      </c>
      <c r="M97" s="94">
        <f>prodnorm18</f>
        <v>0</v>
      </c>
      <c r="N97" s="91" t="s">
        <v>103</v>
      </c>
      <c r="O97" s="26">
        <f>uurtarief18</f>
        <v>0</v>
      </c>
      <c r="P97" s="93" t="e">
        <f>IF(ISBLANK(M97),0,L97/ROUND(M97,4))</f>
        <v>#DIV/0!</v>
      </c>
      <c r="Q97" s="26" t="e">
        <f>ROUND(O97,2)*P97</f>
        <v>#DIV/0!</v>
      </c>
      <c r="R97" s="93" t="e">
        <f>P97*dagenperjaar1</f>
        <v>#DIV/0!</v>
      </c>
      <c r="S97" s="27" t="e">
        <f>R97*ROUND(O97,2)</f>
        <v>#DIV/0!</v>
      </c>
    </row>
    <row r="98" spans="1:19" x14ac:dyDescent="0.2">
      <c r="A98" s="90" t="s">
        <v>236</v>
      </c>
      <c r="B98" s="91" t="s">
        <v>339</v>
      </c>
      <c r="C98" s="91" t="s">
        <v>238</v>
      </c>
      <c r="D98" s="91" t="s">
        <v>385</v>
      </c>
      <c r="E98" s="92" t="s">
        <v>329</v>
      </c>
      <c r="F98" s="91" t="s">
        <v>265</v>
      </c>
      <c r="G98" s="91" t="s">
        <v>256</v>
      </c>
      <c r="H98" s="91"/>
      <c r="I98" s="91"/>
      <c r="J98" s="91"/>
      <c r="K98" s="93">
        <v>1.5</v>
      </c>
      <c r="L98" s="93"/>
      <c r="M98" s="94"/>
      <c r="N98" s="91"/>
      <c r="O98" s="26"/>
      <c r="P98" s="93"/>
      <c r="Q98" s="26"/>
      <c r="R98" s="95"/>
      <c r="S98" s="27"/>
    </row>
    <row r="99" spans="1:19" x14ac:dyDescent="0.2">
      <c r="A99" s="90" t="s">
        <v>236</v>
      </c>
      <c r="B99" s="91" t="s">
        <v>339</v>
      </c>
      <c r="C99" s="91" t="s">
        <v>238</v>
      </c>
      <c r="D99" s="91" t="s">
        <v>386</v>
      </c>
      <c r="E99" s="92" t="s">
        <v>387</v>
      </c>
      <c r="F99" s="91" t="s">
        <v>265</v>
      </c>
      <c r="G99" s="91" t="s">
        <v>256</v>
      </c>
      <c r="H99" s="91"/>
      <c r="I99" s="91"/>
      <c r="J99" s="91"/>
      <c r="K99" s="93">
        <v>37.4</v>
      </c>
      <c r="L99" s="93"/>
      <c r="M99" s="94"/>
      <c r="N99" s="91"/>
      <c r="O99" s="26"/>
      <c r="P99" s="93"/>
      <c r="Q99" s="26"/>
      <c r="R99" s="95"/>
      <c r="S99" s="27"/>
    </row>
    <row r="100" spans="1:19" x14ac:dyDescent="0.2">
      <c r="A100" s="90" t="s">
        <v>236</v>
      </c>
      <c r="B100" s="91" t="s">
        <v>339</v>
      </c>
      <c r="C100" s="91" t="s">
        <v>238</v>
      </c>
      <c r="D100" s="91" t="s">
        <v>388</v>
      </c>
      <c r="E100" s="92" t="s">
        <v>387</v>
      </c>
      <c r="F100" s="91" t="s">
        <v>265</v>
      </c>
      <c r="G100" s="91" t="s">
        <v>256</v>
      </c>
      <c r="H100" s="91"/>
      <c r="I100" s="91"/>
      <c r="J100" s="91"/>
      <c r="K100" s="93">
        <v>20.6</v>
      </c>
      <c r="L100" s="93"/>
      <c r="M100" s="94"/>
      <c r="N100" s="91"/>
      <c r="O100" s="26"/>
      <c r="P100" s="93"/>
      <c r="Q100" s="26"/>
      <c r="R100" s="95"/>
      <c r="S100" s="27"/>
    </row>
    <row r="101" spans="1:19" x14ac:dyDescent="0.2">
      <c r="A101" s="90" t="s">
        <v>236</v>
      </c>
      <c r="B101" s="91" t="s">
        <v>339</v>
      </c>
      <c r="C101" s="91" t="s">
        <v>238</v>
      </c>
      <c r="D101" s="91" t="s">
        <v>389</v>
      </c>
      <c r="E101" s="92" t="s">
        <v>390</v>
      </c>
      <c r="F101" s="91" t="s">
        <v>247</v>
      </c>
      <c r="G101" s="91" t="s">
        <v>256</v>
      </c>
      <c r="H101" s="91"/>
      <c r="I101" s="91"/>
      <c r="J101" s="91"/>
      <c r="K101" s="93">
        <v>3.8</v>
      </c>
      <c r="L101" s="93"/>
      <c r="M101" s="94"/>
      <c r="N101" s="91"/>
      <c r="O101" s="26"/>
      <c r="P101" s="93"/>
      <c r="Q101" s="26"/>
      <c r="R101" s="95"/>
      <c r="S101" s="27"/>
    </row>
    <row r="102" spans="1:19" x14ac:dyDescent="0.2">
      <c r="A102" s="90" t="s">
        <v>236</v>
      </c>
      <c r="B102" s="91" t="s">
        <v>339</v>
      </c>
      <c r="C102" s="91" t="s">
        <v>238</v>
      </c>
      <c r="D102" s="91" t="s">
        <v>391</v>
      </c>
      <c r="E102" s="92" t="s">
        <v>392</v>
      </c>
      <c r="F102" s="91" t="s">
        <v>247</v>
      </c>
      <c r="G102" s="91" t="s">
        <v>256</v>
      </c>
      <c r="H102" s="91"/>
      <c r="I102" s="91"/>
      <c r="J102" s="91"/>
      <c r="K102" s="93">
        <v>1.9000000000000001</v>
      </c>
      <c r="L102" s="93"/>
      <c r="M102" s="94"/>
      <c r="N102" s="91"/>
      <c r="O102" s="26"/>
      <c r="P102" s="93"/>
      <c r="Q102" s="26"/>
      <c r="R102" s="95"/>
      <c r="S102" s="27"/>
    </row>
    <row r="103" spans="1:19" x14ac:dyDescent="0.2">
      <c r="A103" s="90" t="s">
        <v>236</v>
      </c>
      <c r="B103" s="91" t="s">
        <v>339</v>
      </c>
      <c r="C103" s="91" t="s">
        <v>238</v>
      </c>
      <c r="D103" s="91" t="s">
        <v>393</v>
      </c>
      <c r="E103" s="92" t="s">
        <v>394</v>
      </c>
      <c r="F103" s="91" t="s">
        <v>265</v>
      </c>
      <c r="G103" s="91" t="s">
        <v>256</v>
      </c>
      <c r="H103" s="91"/>
      <c r="I103" s="91"/>
      <c r="J103" s="91"/>
      <c r="K103" s="93">
        <v>2.6</v>
      </c>
      <c r="L103" s="93"/>
      <c r="M103" s="94"/>
      <c r="N103" s="91"/>
      <c r="O103" s="26"/>
      <c r="P103" s="93"/>
      <c r="Q103" s="26"/>
      <c r="R103" s="95"/>
      <c r="S103" s="27"/>
    </row>
    <row r="104" spans="1:19" x14ac:dyDescent="0.2">
      <c r="A104" s="90" t="s">
        <v>236</v>
      </c>
      <c r="B104" s="91" t="s">
        <v>339</v>
      </c>
      <c r="C104" s="91" t="s">
        <v>294</v>
      </c>
      <c r="D104" s="91" t="s">
        <v>395</v>
      </c>
      <c r="E104" s="92" t="s">
        <v>396</v>
      </c>
      <c r="F104" s="91" t="s">
        <v>247</v>
      </c>
      <c r="G104" s="91" t="s">
        <v>210</v>
      </c>
      <c r="H104" s="91" t="s">
        <v>11</v>
      </c>
      <c r="I104" s="91" t="s">
        <v>186</v>
      </c>
      <c r="J104" s="92" t="s">
        <v>211</v>
      </c>
      <c r="K104" s="93">
        <v>118.5</v>
      </c>
      <c r="L104" s="93">
        <f>K104*VLOOKUP(H104,dagsoorttabel1,2,FALSE)</f>
        <v>91.15384615384616</v>
      </c>
      <c r="M104" s="94">
        <f>prodnorm14</f>
        <v>0</v>
      </c>
      <c r="N104" s="91" t="s">
        <v>103</v>
      </c>
      <c r="O104" s="26">
        <f>uurtarief14</f>
        <v>0</v>
      </c>
      <c r="P104" s="93" t="e">
        <f>IF(ISBLANK(M104),0,L104/ROUND(M104,4))</f>
        <v>#DIV/0!</v>
      </c>
      <c r="Q104" s="26" t="e">
        <f>ROUND(O104,2)*P104</f>
        <v>#DIV/0!</v>
      </c>
      <c r="R104" s="93" t="e">
        <f>P104*dagenperjaar1</f>
        <v>#DIV/0!</v>
      </c>
      <c r="S104" s="27" t="e">
        <f>R104*ROUND(O104,2)</f>
        <v>#DIV/0!</v>
      </c>
    </row>
    <row r="105" spans="1:19" x14ac:dyDescent="0.2">
      <c r="A105" s="90" t="s">
        <v>236</v>
      </c>
      <c r="B105" s="91" t="s">
        <v>339</v>
      </c>
      <c r="C105" s="91" t="s">
        <v>294</v>
      </c>
      <c r="D105" s="91" t="s">
        <v>397</v>
      </c>
      <c r="E105" s="92" t="s">
        <v>344</v>
      </c>
      <c r="F105" s="91" t="s">
        <v>247</v>
      </c>
      <c r="G105" s="91" t="s">
        <v>194</v>
      </c>
      <c r="H105" s="91" t="s">
        <v>11</v>
      </c>
      <c r="I105" s="91" t="s">
        <v>186</v>
      </c>
      <c r="J105" s="92" t="s">
        <v>195</v>
      </c>
      <c r="K105" s="93">
        <v>10.6</v>
      </c>
      <c r="L105" s="93">
        <f>K105*VLOOKUP(H105,dagsoorttabel1,2,FALSE)</f>
        <v>8.1538461538461533</v>
      </c>
      <c r="M105" s="94">
        <f>prodnorm5</f>
        <v>0</v>
      </c>
      <c r="N105" s="91" t="s">
        <v>103</v>
      </c>
      <c r="O105" s="26">
        <f>uurtarief5</f>
        <v>0</v>
      </c>
      <c r="P105" s="93" t="e">
        <f>IF(ISBLANK(M105),0,L105/ROUND(M105,4))</f>
        <v>#DIV/0!</v>
      </c>
      <c r="Q105" s="26" t="e">
        <f>ROUND(O105,2)*P105</f>
        <v>#DIV/0!</v>
      </c>
      <c r="R105" s="93" t="e">
        <f>P105*dagenperjaar1</f>
        <v>#DIV/0!</v>
      </c>
      <c r="S105" s="27" t="e">
        <f>R105*ROUND(O105,2)</f>
        <v>#DIV/0!</v>
      </c>
    </row>
    <row r="106" spans="1:19" x14ac:dyDescent="0.2">
      <c r="A106" s="90" t="s">
        <v>236</v>
      </c>
      <c r="B106" s="91" t="s">
        <v>339</v>
      </c>
      <c r="C106" s="91" t="s">
        <v>294</v>
      </c>
      <c r="D106" s="91" t="s">
        <v>398</v>
      </c>
      <c r="E106" s="92" t="s">
        <v>344</v>
      </c>
      <c r="F106" s="91" t="s">
        <v>247</v>
      </c>
      <c r="G106" s="91" t="s">
        <v>194</v>
      </c>
      <c r="H106" s="91" t="s">
        <v>11</v>
      </c>
      <c r="I106" s="91" t="s">
        <v>186</v>
      </c>
      <c r="J106" s="92" t="s">
        <v>195</v>
      </c>
      <c r="K106" s="93">
        <v>10.6</v>
      </c>
      <c r="L106" s="93">
        <f>K106*VLOOKUP(H106,dagsoorttabel1,2,FALSE)</f>
        <v>8.1538461538461533</v>
      </c>
      <c r="M106" s="94">
        <f>prodnorm5</f>
        <v>0</v>
      </c>
      <c r="N106" s="91" t="s">
        <v>103</v>
      </c>
      <c r="O106" s="26">
        <f>uurtarief5</f>
        <v>0</v>
      </c>
      <c r="P106" s="93" t="e">
        <f>IF(ISBLANK(M106),0,L106/ROUND(M106,4))</f>
        <v>#DIV/0!</v>
      </c>
      <c r="Q106" s="26" t="e">
        <f>ROUND(O106,2)*P106</f>
        <v>#DIV/0!</v>
      </c>
      <c r="R106" s="93" t="e">
        <f>P106*dagenperjaar1</f>
        <v>#DIV/0!</v>
      </c>
      <c r="S106" s="27" t="e">
        <f>R106*ROUND(O106,2)</f>
        <v>#DIV/0!</v>
      </c>
    </row>
    <row r="107" spans="1:19" x14ac:dyDescent="0.2">
      <c r="A107" s="90" t="s">
        <v>236</v>
      </c>
      <c r="B107" s="91" t="s">
        <v>339</v>
      </c>
      <c r="C107" s="91" t="s">
        <v>294</v>
      </c>
      <c r="D107" s="91" t="s">
        <v>399</v>
      </c>
      <c r="E107" s="92" t="s">
        <v>400</v>
      </c>
      <c r="F107" s="91" t="s">
        <v>247</v>
      </c>
      <c r="G107" s="91" t="s">
        <v>206</v>
      </c>
      <c r="H107" s="91" t="s">
        <v>11</v>
      </c>
      <c r="I107" s="91" t="s">
        <v>186</v>
      </c>
      <c r="J107" s="92" t="s">
        <v>207</v>
      </c>
      <c r="K107" s="93">
        <v>58.2</v>
      </c>
      <c r="L107" s="93">
        <f>K107*VLOOKUP(H107,dagsoorttabel1,2,FALSE)</f>
        <v>44.769230769230774</v>
      </c>
      <c r="M107" s="94">
        <f>prodnorm12</f>
        <v>0</v>
      </c>
      <c r="N107" s="91" t="s">
        <v>103</v>
      </c>
      <c r="O107" s="26">
        <f>uurtarief12</f>
        <v>0</v>
      </c>
      <c r="P107" s="93" t="e">
        <f>IF(ISBLANK(M107),0,L107/ROUND(M107,4))</f>
        <v>#DIV/0!</v>
      </c>
      <c r="Q107" s="26" t="e">
        <f>ROUND(O107,2)*P107</f>
        <v>#DIV/0!</v>
      </c>
      <c r="R107" s="93" t="e">
        <f>P107*dagenperjaar1</f>
        <v>#DIV/0!</v>
      </c>
      <c r="S107" s="27" t="e">
        <f>R107*ROUND(O107,2)</f>
        <v>#DIV/0!</v>
      </c>
    </row>
    <row r="108" spans="1:19" x14ac:dyDescent="0.2">
      <c r="A108" s="90" t="s">
        <v>236</v>
      </c>
      <c r="B108" s="91" t="s">
        <v>339</v>
      </c>
      <c r="C108" s="91" t="s">
        <v>294</v>
      </c>
      <c r="D108" s="91" t="s">
        <v>401</v>
      </c>
      <c r="E108" s="92" t="s">
        <v>400</v>
      </c>
      <c r="F108" s="91" t="s">
        <v>247</v>
      </c>
      <c r="G108" s="91" t="s">
        <v>206</v>
      </c>
      <c r="H108" s="91" t="s">
        <v>11</v>
      </c>
      <c r="I108" s="91" t="s">
        <v>186</v>
      </c>
      <c r="J108" s="92" t="s">
        <v>207</v>
      </c>
      <c r="K108" s="93">
        <v>50</v>
      </c>
      <c r="L108" s="93">
        <f>K108*VLOOKUP(H108,dagsoorttabel1,2,FALSE)</f>
        <v>38.461538461538467</v>
      </c>
      <c r="M108" s="94">
        <f>prodnorm12</f>
        <v>0</v>
      </c>
      <c r="N108" s="91" t="s">
        <v>103</v>
      </c>
      <c r="O108" s="26">
        <f>uurtarief12</f>
        <v>0</v>
      </c>
      <c r="P108" s="93" t="e">
        <f>IF(ISBLANK(M108),0,L108/ROUND(M108,4))</f>
        <v>#DIV/0!</v>
      </c>
      <c r="Q108" s="26" t="e">
        <f>ROUND(O108,2)*P108</f>
        <v>#DIV/0!</v>
      </c>
      <c r="R108" s="93" t="e">
        <f>P108*dagenperjaar1</f>
        <v>#DIV/0!</v>
      </c>
      <c r="S108" s="27" t="e">
        <f>R108*ROUND(O108,2)</f>
        <v>#DIV/0!</v>
      </c>
    </row>
    <row r="109" spans="1:19" x14ac:dyDescent="0.2">
      <c r="A109" s="90" t="s">
        <v>236</v>
      </c>
      <c r="B109" s="91" t="s">
        <v>339</v>
      </c>
      <c r="C109" s="91" t="s">
        <v>294</v>
      </c>
      <c r="D109" s="91" t="s">
        <v>402</v>
      </c>
      <c r="E109" s="92" t="s">
        <v>400</v>
      </c>
      <c r="F109" s="91" t="s">
        <v>247</v>
      </c>
      <c r="G109" s="91" t="s">
        <v>206</v>
      </c>
      <c r="H109" s="91" t="s">
        <v>11</v>
      </c>
      <c r="I109" s="91" t="s">
        <v>186</v>
      </c>
      <c r="J109" s="92" t="s">
        <v>207</v>
      </c>
      <c r="K109" s="93">
        <v>60</v>
      </c>
      <c r="L109" s="93">
        <f>K109*VLOOKUP(H109,dagsoorttabel1,2,FALSE)</f>
        <v>46.153846153846153</v>
      </c>
      <c r="M109" s="94">
        <f>prodnorm12</f>
        <v>0</v>
      </c>
      <c r="N109" s="91" t="s">
        <v>103</v>
      </c>
      <c r="O109" s="26">
        <f>uurtarief12</f>
        <v>0</v>
      </c>
      <c r="P109" s="93" t="e">
        <f>IF(ISBLANK(M109),0,L109/ROUND(M109,4))</f>
        <v>#DIV/0!</v>
      </c>
      <c r="Q109" s="26" t="e">
        <f>ROUND(O109,2)*P109</f>
        <v>#DIV/0!</v>
      </c>
      <c r="R109" s="93" t="e">
        <f>P109*dagenperjaar1</f>
        <v>#DIV/0!</v>
      </c>
      <c r="S109" s="27" t="e">
        <f>R109*ROUND(O109,2)</f>
        <v>#DIV/0!</v>
      </c>
    </row>
    <row r="110" spans="1:19" ht="25.5" x14ac:dyDescent="0.2">
      <c r="A110" s="90" t="s">
        <v>236</v>
      </c>
      <c r="B110" s="91" t="s">
        <v>339</v>
      </c>
      <c r="C110" s="91" t="s">
        <v>294</v>
      </c>
      <c r="D110" s="91" t="s">
        <v>403</v>
      </c>
      <c r="E110" s="92" t="s">
        <v>272</v>
      </c>
      <c r="F110" s="91" t="s">
        <v>247</v>
      </c>
      <c r="G110" s="91" t="s">
        <v>188</v>
      </c>
      <c r="H110" s="91" t="s">
        <v>11</v>
      </c>
      <c r="I110" s="91" t="s">
        <v>186</v>
      </c>
      <c r="J110" s="92" t="s">
        <v>189</v>
      </c>
      <c r="K110" s="93">
        <v>21.7</v>
      </c>
      <c r="L110" s="93">
        <f>K110*VLOOKUP(H110,dagsoorttabel1,2,FALSE)</f>
        <v>16.692307692307693</v>
      </c>
      <c r="M110" s="94">
        <f>prodnorm2</f>
        <v>0</v>
      </c>
      <c r="N110" s="91" t="s">
        <v>103</v>
      </c>
      <c r="O110" s="26">
        <f>uurtarief2</f>
        <v>0</v>
      </c>
      <c r="P110" s="93" t="e">
        <f>IF(ISBLANK(M110),0,L110/ROUND(M110,4))</f>
        <v>#DIV/0!</v>
      </c>
      <c r="Q110" s="26" t="e">
        <f>ROUND(O110,2)*P110</f>
        <v>#DIV/0!</v>
      </c>
      <c r="R110" s="93" t="e">
        <f>P110*dagenperjaar1</f>
        <v>#DIV/0!</v>
      </c>
      <c r="S110" s="27" t="e">
        <f>R110*ROUND(O110,2)</f>
        <v>#DIV/0!</v>
      </c>
    </row>
    <row r="111" spans="1:19" x14ac:dyDescent="0.2">
      <c r="A111" s="90" t="s">
        <v>236</v>
      </c>
      <c r="B111" s="91" t="s">
        <v>339</v>
      </c>
      <c r="C111" s="91" t="s">
        <v>294</v>
      </c>
      <c r="D111" s="91" t="s">
        <v>404</v>
      </c>
      <c r="E111" s="92" t="s">
        <v>400</v>
      </c>
      <c r="F111" s="91" t="s">
        <v>247</v>
      </c>
      <c r="G111" s="91" t="s">
        <v>206</v>
      </c>
      <c r="H111" s="91" t="s">
        <v>11</v>
      </c>
      <c r="I111" s="91" t="s">
        <v>186</v>
      </c>
      <c r="J111" s="92" t="s">
        <v>207</v>
      </c>
      <c r="K111" s="93">
        <v>29.2</v>
      </c>
      <c r="L111" s="93">
        <f>K111*VLOOKUP(H111,dagsoorttabel1,2,FALSE)</f>
        <v>22.461538461538463</v>
      </c>
      <c r="M111" s="94">
        <f>prodnorm12</f>
        <v>0</v>
      </c>
      <c r="N111" s="91" t="s">
        <v>103</v>
      </c>
      <c r="O111" s="26">
        <f>uurtarief12</f>
        <v>0</v>
      </c>
      <c r="P111" s="93" t="e">
        <f>IF(ISBLANK(M111),0,L111/ROUND(M111,4))</f>
        <v>#DIV/0!</v>
      </c>
      <c r="Q111" s="26" t="e">
        <f>ROUND(O111,2)*P111</f>
        <v>#DIV/0!</v>
      </c>
      <c r="R111" s="93" t="e">
        <f>P111*dagenperjaar1</f>
        <v>#DIV/0!</v>
      </c>
      <c r="S111" s="27" t="e">
        <f>R111*ROUND(O111,2)</f>
        <v>#DIV/0!</v>
      </c>
    </row>
    <row r="112" spans="1:19" x14ac:dyDescent="0.2">
      <c r="A112" s="90" t="s">
        <v>236</v>
      </c>
      <c r="B112" s="91" t="s">
        <v>339</v>
      </c>
      <c r="C112" s="91" t="s">
        <v>294</v>
      </c>
      <c r="D112" s="91" t="s">
        <v>405</v>
      </c>
      <c r="E112" s="92" t="s">
        <v>400</v>
      </c>
      <c r="F112" s="91" t="s">
        <v>247</v>
      </c>
      <c r="G112" s="91" t="s">
        <v>206</v>
      </c>
      <c r="H112" s="91" t="s">
        <v>11</v>
      </c>
      <c r="I112" s="91" t="s">
        <v>186</v>
      </c>
      <c r="J112" s="92" t="s">
        <v>207</v>
      </c>
      <c r="K112" s="93">
        <v>29.2</v>
      </c>
      <c r="L112" s="93">
        <f>K112*VLOOKUP(H112,dagsoorttabel1,2,FALSE)</f>
        <v>22.461538461538463</v>
      </c>
      <c r="M112" s="94">
        <f>prodnorm12</f>
        <v>0</v>
      </c>
      <c r="N112" s="91" t="s">
        <v>103</v>
      </c>
      <c r="O112" s="26">
        <f>uurtarief12</f>
        <v>0</v>
      </c>
      <c r="P112" s="93" t="e">
        <f>IF(ISBLANK(M112),0,L112/ROUND(M112,4))</f>
        <v>#DIV/0!</v>
      </c>
      <c r="Q112" s="26" t="e">
        <f>ROUND(O112,2)*P112</f>
        <v>#DIV/0!</v>
      </c>
      <c r="R112" s="93" t="e">
        <f>P112*dagenperjaar1</f>
        <v>#DIV/0!</v>
      </c>
      <c r="S112" s="27" t="e">
        <f>R112*ROUND(O112,2)</f>
        <v>#DIV/0!</v>
      </c>
    </row>
    <row r="113" spans="1:19" x14ac:dyDescent="0.2">
      <c r="A113" s="90" t="s">
        <v>236</v>
      </c>
      <c r="B113" s="91" t="s">
        <v>339</v>
      </c>
      <c r="C113" s="91" t="s">
        <v>294</v>
      </c>
      <c r="D113" s="91" t="s">
        <v>406</v>
      </c>
      <c r="E113" s="92" t="s">
        <v>400</v>
      </c>
      <c r="F113" s="91" t="s">
        <v>247</v>
      </c>
      <c r="G113" s="91" t="s">
        <v>206</v>
      </c>
      <c r="H113" s="91" t="s">
        <v>11</v>
      </c>
      <c r="I113" s="91" t="s">
        <v>186</v>
      </c>
      <c r="J113" s="92" t="s">
        <v>207</v>
      </c>
      <c r="K113" s="93">
        <v>59.6</v>
      </c>
      <c r="L113" s="93">
        <f>K113*VLOOKUP(H113,dagsoorttabel1,2,FALSE)</f>
        <v>45.846153846153847</v>
      </c>
      <c r="M113" s="94">
        <f>prodnorm12</f>
        <v>0</v>
      </c>
      <c r="N113" s="91" t="s">
        <v>103</v>
      </c>
      <c r="O113" s="26">
        <f>uurtarief12</f>
        <v>0</v>
      </c>
      <c r="P113" s="93" t="e">
        <f>IF(ISBLANK(M113),0,L113/ROUND(M113,4))</f>
        <v>#DIV/0!</v>
      </c>
      <c r="Q113" s="26" t="e">
        <f>ROUND(O113,2)*P113</f>
        <v>#DIV/0!</v>
      </c>
      <c r="R113" s="93" t="e">
        <f>P113*dagenperjaar1</f>
        <v>#DIV/0!</v>
      </c>
      <c r="S113" s="27" t="e">
        <f>R113*ROUND(O113,2)</f>
        <v>#DIV/0!</v>
      </c>
    </row>
    <row r="114" spans="1:19" x14ac:dyDescent="0.2">
      <c r="A114" s="90" t="s">
        <v>236</v>
      </c>
      <c r="B114" s="91" t="s">
        <v>339</v>
      </c>
      <c r="C114" s="91" t="s">
        <v>294</v>
      </c>
      <c r="D114" s="91" t="s">
        <v>407</v>
      </c>
      <c r="E114" s="92" t="s">
        <v>400</v>
      </c>
      <c r="F114" s="91" t="s">
        <v>247</v>
      </c>
      <c r="G114" s="91" t="s">
        <v>206</v>
      </c>
      <c r="H114" s="91" t="s">
        <v>11</v>
      </c>
      <c r="I114" s="91" t="s">
        <v>186</v>
      </c>
      <c r="J114" s="92" t="s">
        <v>207</v>
      </c>
      <c r="K114" s="93">
        <v>59.6</v>
      </c>
      <c r="L114" s="93">
        <f>K114*VLOOKUP(H114,dagsoorttabel1,2,FALSE)</f>
        <v>45.846153846153847</v>
      </c>
      <c r="M114" s="94">
        <f>prodnorm12</f>
        <v>0</v>
      </c>
      <c r="N114" s="91" t="s">
        <v>103</v>
      </c>
      <c r="O114" s="26">
        <f>uurtarief12</f>
        <v>0</v>
      </c>
      <c r="P114" s="93" t="e">
        <f>IF(ISBLANK(M114),0,L114/ROUND(M114,4))</f>
        <v>#DIV/0!</v>
      </c>
      <c r="Q114" s="26" t="e">
        <f>ROUND(O114,2)*P114</f>
        <v>#DIV/0!</v>
      </c>
      <c r="R114" s="93" t="e">
        <f>P114*dagenperjaar1</f>
        <v>#DIV/0!</v>
      </c>
      <c r="S114" s="27" t="e">
        <f>R114*ROUND(O114,2)</f>
        <v>#DIV/0!</v>
      </c>
    </row>
    <row r="115" spans="1:19" x14ac:dyDescent="0.2">
      <c r="A115" s="90" t="s">
        <v>236</v>
      </c>
      <c r="B115" s="91" t="s">
        <v>339</v>
      </c>
      <c r="C115" s="91" t="s">
        <v>294</v>
      </c>
      <c r="D115" s="91" t="s">
        <v>408</v>
      </c>
      <c r="E115" s="92" t="s">
        <v>400</v>
      </c>
      <c r="F115" s="91" t="s">
        <v>247</v>
      </c>
      <c r="G115" s="91" t="s">
        <v>206</v>
      </c>
      <c r="H115" s="91" t="s">
        <v>11</v>
      </c>
      <c r="I115" s="91" t="s">
        <v>186</v>
      </c>
      <c r="J115" s="92" t="s">
        <v>207</v>
      </c>
      <c r="K115" s="93">
        <v>59.5</v>
      </c>
      <c r="L115" s="93">
        <f>K115*VLOOKUP(H115,dagsoorttabel1,2,FALSE)</f>
        <v>45.769230769230774</v>
      </c>
      <c r="M115" s="94">
        <f>prodnorm12</f>
        <v>0</v>
      </c>
      <c r="N115" s="91" t="s">
        <v>103</v>
      </c>
      <c r="O115" s="26">
        <f>uurtarief12</f>
        <v>0</v>
      </c>
      <c r="P115" s="93" t="e">
        <f>IF(ISBLANK(M115),0,L115/ROUND(M115,4))</f>
        <v>#DIV/0!</v>
      </c>
      <c r="Q115" s="26" t="e">
        <f>ROUND(O115,2)*P115</f>
        <v>#DIV/0!</v>
      </c>
      <c r="R115" s="93" t="e">
        <f>P115*dagenperjaar1</f>
        <v>#DIV/0!</v>
      </c>
      <c r="S115" s="27" t="e">
        <f>R115*ROUND(O115,2)</f>
        <v>#DIV/0!</v>
      </c>
    </row>
    <row r="116" spans="1:19" ht="25.5" x14ac:dyDescent="0.2">
      <c r="A116" s="90" t="s">
        <v>236</v>
      </c>
      <c r="B116" s="91" t="s">
        <v>339</v>
      </c>
      <c r="C116" s="91" t="s">
        <v>294</v>
      </c>
      <c r="D116" s="91" t="s">
        <v>409</v>
      </c>
      <c r="E116" s="92" t="s">
        <v>410</v>
      </c>
      <c r="F116" s="91" t="s">
        <v>247</v>
      </c>
      <c r="G116" s="91" t="s">
        <v>188</v>
      </c>
      <c r="H116" s="91" t="s">
        <v>11</v>
      </c>
      <c r="I116" s="91" t="s">
        <v>186</v>
      </c>
      <c r="J116" s="92" t="s">
        <v>189</v>
      </c>
      <c r="K116" s="93">
        <v>16.399999999999999</v>
      </c>
      <c r="L116" s="93">
        <f>K116*VLOOKUP(H116,dagsoorttabel1,2,FALSE)</f>
        <v>12.615384615384615</v>
      </c>
      <c r="M116" s="94">
        <f>prodnorm2</f>
        <v>0</v>
      </c>
      <c r="N116" s="91" t="s">
        <v>103</v>
      </c>
      <c r="O116" s="26">
        <f>uurtarief2</f>
        <v>0</v>
      </c>
      <c r="P116" s="93" t="e">
        <f>IF(ISBLANK(M116),0,L116/ROUND(M116,4))</f>
        <v>#DIV/0!</v>
      </c>
      <c r="Q116" s="26" t="e">
        <f>ROUND(O116,2)*P116</f>
        <v>#DIV/0!</v>
      </c>
      <c r="R116" s="93" t="e">
        <f>P116*dagenperjaar1</f>
        <v>#DIV/0!</v>
      </c>
      <c r="S116" s="27" t="e">
        <f>R116*ROUND(O116,2)</f>
        <v>#DIV/0!</v>
      </c>
    </row>
    <row r="117" spans="1:19" ht="25.5" x14ac:dyDescent="0.2">
      <c r="A117" s="90" t="s">
        <v>236</v>
      </c>
      <c r="B117" s="91" t="s">
        <v>339</v>
      </c>
      <c r="C117" s="91" t="s">
        <v>294</v>
      </c>
      <c r="D117" s="91" t="s">
        <v>411</v>
      </c>
      <c r="E117" s="92" t="s">
        <v>410</v>
      </c>
      <c r="F117" s="91" t="s">
        <v>247</v>
      </c>
      <c r="G117" s="91" t="s">
        <v>188</v>
      </c>
      <c r="H117" s="91" t="s">
        <v>11</v>
      </c>
      <c r="I117" s="91" t="s">
        <v>186</v>
      </c>
      <c r="J117" s="92" t="s">
        <v>189</v>
      </c>
      <c r="K117" s="93">
        <v>16.399999999999999</v>
      </c>
      <c r="L117" s="93">
        <f>K117*VLOOKUP(H117,dagsoorttabel1,2,FALSE)</f>
        <v>12.615384615384615</v>
      </c>
      <c r="M117" s="94">
        <f>prodnorm2</f>
        <v>0</v>
      </c>
      <c r="N117" s="91" t="s">
        <v>103</v>
      </c>
      <c r="O117" s="26">
        <f>uurtarief2</f>
        <v>0</v>
      </c>
      <c r="P117" s="93" t="e">
        <f>IF(ISBLANK(M117),0,L117/ROUND(M117,4))</f>
        <v>#DIV/0!</v>
      </c>
      <c r="Q117" s="26" t="e">
        <f>ROUND(O117,2)*P117</f>
        <v>#DIV/0!</v>
      </c>
      <c r="R117" s="93" t="e">
        <f>P117*dagenperjaar1</f>
        <v>#DIV/0!</v>
      </c>
      <c r="S117" s="27" t="e">
        <f>R117*ROUND(O117,2)</f>
        <v>#DIV/0!</v>
      </c>
    </row>
    <row r="118" spans="1:19" x14ac:dyDescent="0.2">
      <c r="A118" s="90" t="s">
        <v>236</v>
      </c>
      <c r="B118" s="91" t="s">
        <v>339</v>
      </c>
      <c r="C118" s="91" t="s">
        <v>294</v>
      </c>
      <c r="D118" s="91" t="s">
        <v>412</v>
      </c>
      <c r="E118" s="92" t="s">
        <v>400</v>
      </c>
      <c r="F118" s="91" t="s">
        <v>247</v>
      </c>
      <c r="G118" s="91" t="s">
        <v>206</v>
      </c>
      <c r="H118" s="91" t="s">
        <v>11</v>
      </c>
      <c r="I118" s="91" t="s">
        <v>186</v>
      </c>
      <c r="J118" s="92" t="s">
        <v>207</v>
      </c>
      <c r="K118" s="93">
        <v>55.5</v>
      </c>
      <c r="L118" s="93">
        <f>K118*VLOOKUP(H118,dagsoorttabel1,2,FALSE)</f>
        <v>42.692307692307693</v>
      </c>
      <c r="M118" s="94">
        <f>prodnorm12</f>
        <v>0</v>
      </c>
      <c r="N118" s="91" t="s">
        <v>103</v>
      </c>
      <c r="O118" s="26">
        <f>uurtarief12</f>
        <v>0</v>
      </c>
      <c r="P118" s="93" t="e">
        <f>IF(ISBLANK(M118),0,L118/ROUND(M118,4))</f>
        <v>#DIV/0!</v>
      </c>
      <c r="Q118" s="26" t="e">
        <f>ROUND(O118,2)*P118</f>
        <v>#DIV/0!</v>
      </c>
      <c r="R118" s="93" t="e">
        <f>P118*dagenperjaar1</f>
        <v>#DIV/0!</v>
      </c>
      <c r="S118" s="27" t="e">
        <f>R118*ROUND(O118,2)</f>
        <v>#DIV/0!</v>
      </c>
    </row>
    <row r="119" spans="1:19" ht="25.5" x14ac:dyDescent="0.2">
      <c r="A119" s="90" t="s">
        <v>236</v>
      </c>
      <c r="B119" s="91" t="s">
        <v>339</v>
      </c>
      <c r="C119" s="91" t="s">
        <v>294</v>
      </c>
      <c r="D119" s="91" t="s">
        <v>413</v>
      </c>
      <c r="E119" s="92" t="s">
        <v>414</v>
      </c>
      <c r="F119" s="91" t="s">
        <v>247</v>
      </c>
      <c r="G119" s="91" t="s">
        <v>188</v>
      </c>
      <c r="H119" s="91" t="s">
        <v>11</v>
      </c>
      <c r="I119" s="91" t="s">
        <v>186</v>
      </c>
      <c r="J119" s="92" t="s">
        <v>189</v>
      </c>
      <c r="K119" s="93">
        <v>24.7</v>
      </c>
      <c r="L119" s="93">
        <f>K119*VLOOKUP(H119,dagsoorttabel1,2,FALSE)</f>
        <v>19</v>
      </c>
      <c r="M119" s="94">
        <f>prodnorm2</f>
        <v>0</v>
      </c>
      <c r="N119" s="91" t="s">
        <v>103</v>
      </c>
      <c r="O119" s="26">
        <f>uurtarief2</f>
        <v>0</v>
      </c>
      <c r="P119" s="93" t="e">
        <f>IF(ISBLANK(M119),0,L119/ROUND(M119,4))</f>
        <v>#DIV/0!</v>
      </c>
      <c r="Q119" s="26" t="e">
        <f>ROUND(O119,2)*P119</f>
        <v>#DIV/0!</v>
      </c>
      <c r="R119" s="93" t="e">
        <f>P119*dagenperjaar1</f>
        <v>#DIV/0!</v>
      </c>
      <c r="S119" s="27" t="e">
        <f>R119*ROUND(O119,2)</f>
        <v>#DIV/0!</v>
      </c>
    </row>
    <row r="120" spans="1:19" x14ac:dyDescent="0.2">
      <c r="A120" s="90" t="s">
        <v>236</v>
      </c>
      <c r="B120" s="91" t="s">
        <v>339</v>
      </c>
      <c r="C120" s="91" t="s">
        <v>294</v>
      </c>
      <c r="D120" s="91" t="s">
        <v>415</v>
      </c>
      <c r="E120" s="92" t="s">
        <v>396</v>
      </c>
      <c r="F120" s="91" t="s">
        <v>247</v>
      </c>
      <c r="G120" s="91" t="s">
        <v>210</v>
      </c>
      <c r="H120" s="91" t="s">
        <v>11</v>
      </c>
      <c r="I120" s="91" t="s">
        <v>186</v>
      </c>
      <c r="J120" s="92" t="s">
        <v>211</v>
      </c>
      <c r="K120" s="93">
        <v>101.4</v>
      </c>
      <c r="L120" s="93">
        <f>K120*VLOOKUP(H120,dagsoorttabel1,2,FALSE)</f>
        <v>78.000000000000014</v>
      </c>
      <c r="M120" s="94">
        <f>prodnorm14</f>
        <v>0</v>
      </c>
      <c r="N120" s="91" t="s">
        <v>103</v>
      </c>
      <c r="O120" s="26">
        <f>uurtarief14</f>
        <v>0</v>
      </c>
      <c r="P120" s="93" t="e">
        <f>IF(ISBLANK(M120),0,L120/ROUND(M120,4))</f>
        <v>#DIV/0!</v>
      </c>
      <c r="Q120" s="26" t="e">
        <f>ROUND(O120,2)*P120</f>
        <v>#DIV/0!</v>
      </c>
      <c r="R120" s="93" t="e">
        <f>P120*dagenperjaar1</f>
        <v>#DIV/0!</v>
      </c>
      <c r="S120" s="27" t="e">
        <f>R120*ROUND(O120,2)</f>
        <v>#DIV/0!</v>
      </c>
    </row>
    <row r="121" spans="1:19" x14ac:dyDescent="0.2">
      <c r="A121" s="90" t="s">
        <v>236</v>
      </c>
      <c r="B121" s="91" t="s">
        <v>339</v>
      </c>
      <c r="C121" s="91" t="s">
        <v>294</v>
      </c>
      <c r="D121" s="91" t="s">
        <v>416</v>
      </c>
      <c r="E121" s="92" t="s">
        <v>417</v>
      </c>
      <c r="F121" s="91" t="s">
        <v>265</v>
      </c>
      <c r="G121" s="91" t="s">
        <v>256</v>
      </c>
      <c r="H121" s="91"/>
      <c r="I121" s="91"/>
      <c r="J121" s="91"/>
      <c r="K121" s="93">
        <v>1.3</v>
      </c>
      <c r="L121" s="93"/>
      <c r="M121" s="94"/>
      <c r="N121" s="91"/>
      <c r="O121" s="26"/>
      <c r="P121" s="93"/>
      <c r="Q121" s="26"/>
      <c r="R121" s="95"/>
      <c r="S121" s="27"/>
    </row>
    <row r="122" spans="1:19" x14ac:dyDescent="0.2">
      <c r="A122" s="90" t="s">
        <v>236</v>
      </c>
      <c r="B122" s="91" t="s">
        <v>339</v>
      </c>
      <c r="C122" s="91" t="s">
        <v>294</v>
      </c>
      <c r="D122" s="91" t="s">
        <v>418</v>
      </c>
      <c r="E122" s="92" t="s">
        <v>262</v>
      </c>
      <c r="F122" s="91" t="s">
        <v>265</v>
      </c>
      <c r="G122" s="91" t="s">
        <v>256</v>
      </c>
      <c r="H122" s="91"/>
      <c r="I122" s="91"/>
      <c r="J122" s="91"/>
      <c r="K122" s="93">
        <v>12.1</v>
      </c>
      <c r="L122" s="93"/>
      <c r="M122" s="94"/>
      <c r="N122" s="91"/>
      <c r="O122" s="26"/>
      <c r="P122" s="93"/>
      <c r="Q122" s="26"/>
      <c r="R122" s="95"/>
      <c r="S122" s="27"/>
    </row>
    <row r="123" spans="1:19" x14ac:dyDescent="0.2">
      <c r="A123" s="90" t="s">
        <v>236</v>
      </c>
      <c r="B123" s="91" t="s">
        <v>339</v>
      </c>
      <c r="C123" s="91" t="s">
        <v>294</v>
      </c>
      <c r="D123" s="91" t="s">
        <v>419</v>
      </c>
      <c r="E123" s="92" t="s">
        <v>287</v>
      </c>
      <c r="F123" s="91" t="s">
        <v>288</v>
      </c>
      <c r="G123" s="91" t="s">
        <v>216</v>
      </c>
      <c r="H123" s="91" t="s">
        <v>11</v>
      </c>
      <c r="I123" s="91" t="s">
        <v>186</v>
      </c>
      <c r="J123" s="92" t="s">
        <v>217</v>
      </c>
      <c r="K123" s="93">
        <v>8.9</v>
      </c>
      <c r="L123" s="93">
        <f>K123*VLOOKUP(H123,dagsoorttabel1,2,FALSE)</f>
        <v>6.8461538461538467</v>
      </c>
      <c r="M123" s="94">
        <f>prodnorm17</f>
        <v>0</v>
      </c>
      <c r="N123" s="91" t="s">
        <v>103</v>
      </c>
      <c r="O123" s="26">
        <f>uurtarief17</f>
        <v>0</v>
      </c>
      <c r="P123" s="93" t="e">
        <f>IF(ISBLANK(M123),0,L123/ROUND(M123,4))</f>
        <v>#DIV/0!</v>
      </c>
      <c r="Q123" s="26" t="e">
        <f>ROUND(O123,2)*P123</f>
        <v>#DIV/0!</v>
      </c>
      <c r="R123" s="93" t="e">
        <f>P123*dagenperjaar1</f>
        <v>#DIV/0!</v>
      </c>
      <c r="S123" s="27" t="e">
        <f>R123*ROUND(O123,2)</f>
        <v>#DIV/0!</v>
      </c>
    </row>
    <row r="124" spans="1:19" x14ac:dyDescent="0.2">
      <c r="A124" s="90" t="s">
        <v>236</v>
      </c>
      <c r="B124" s="91" t="s">
        <v>339</v>
      </c>
      <c r="C124" s="91" t="s">
        <v>294</v>
      </c>
      <c r="D124" s="91" t="s">
        <v>419</v>
      </c>
      <c r="E124" s="92" t="s">
        <v>287</v>
      </c>
      <c r="F124" s="91" t="s">
        <v>288</v>
      </c>
      <c r="G124" s="91" t="s">
        <v>218</v>
      </c>
      <c r="H124" s="91" t="s">
        <v>11</v>
      </c>
      <c r="I124" s="91" t="s">
        <v>186</v>
      </c>
      <c r="J124" s="92" t="s">
        <v>219</v>
      </c>
      <c r="K124" s="93">
        <v>8.9</v>
      </c>
      <c r="L124" s="93">
        <f>K124*VLOOKUP(H124,dagsoorttabel1,2,FALSE)</f>
        <v>6.8461538461538467</v>
      </c>
      <c r="M124" s="94">
        <f>prodnorm18</f>
        <v>0</v>
      </c>
      <c r="N124" s="91" t="s">
        <v>103</v>
      </c>
      <c r="O124" s="26">
        <f>uurtarief18</f>
        <v>0</v>
      </c>
      <c r="P124" s="93" t="e">
        <f>IF(ISBLANK(M124),0,L124/ROUND(M124,4))</f>
        <v>#DIV/0!</v>
      </c>
      <c r="Q124" s="26" t="e">
        <f>ROUND(O124,2)*P124</f>
        <v>#DIV/0!</v>
      </c>
      <c r="R124" s="93" t="e">
        <f>P124*dagenperjaar1</f>
        <v>#DIV/0!</v>
      </c>
      <c r="S124" s="27" t="e">
        <f>R124*ROUND(O124,2)</f>
        <v>#DIV/0!</v>
      </c>
    </row>
    <row r="125" spans="1:19" x14ac:dyDescent="0.2">
      <c r="A125" s="90" t="s">
        <v>236</v>
      </c>
      <c r="B125" s="91" t="s">
        <v>339</v>
      </c>
      <c r="C125" s="91" t="s">
        <v>294</v>
      </c>
      <c r="D125" s="91" t="s">
        <v>420</v>
      </c>
      <c r="E125" s="92" t="s">
        <v>287</v>
      </c>
      <c r="F125" s="91" t="s">
        <v>288</v>
      </c>
      <c r="G125" s="91" t="s">
        <v>216</v>
      </c>
      <c r="H125" s="91" t="s">
        <v>11</v>
      </c>
      <c r="I125" s="91" t="s">
        <v>186</v>
      </c>
      <c r="J125" s="92" t="s">
        <v>217</v>
      </c>
      <c r="K125" s="93">
        <v>8.9</v>
      </c>
      <c r="L125" s="93">
        <f>K125*VLOOKUP(H125,dagsoorttabel1,2,FALSE)</f>
        <v>6.8461538461538467</v>
      </c>
      <c r="M125" s="94">
        <f>prodnorm17</f>
        <v>0</v>
      </c>
      <c r="N125" s="91" t="s">
        <v>103</v>
      </c>
      <c r="O125" s="26">
        <f>uurtarief17</f>
        <v>0</v>
      </c>
      <c r="P125" s="93" t="e">
        <f>IF(ISBLANK(M125),0,L125/ROUND(M125,4))</f>
        <v>#DIV/0!</v>
      </c>
      <c r="Q125" s="26" t="e">
        <f>ROUND(O125,2)*P125</f>
        <v>#DIV/0!</v>
      </c>
      <c r="R125" s="93" t="e">
        <f>P125*dagenperjaar1</f>
        <v>#DIV/0!</v>
      </c>
      <c r="S125" s="27" t="e">
        <f>R125*ROUND(O125,2)</f>
        <v>#DIV/0!</v>
      </c>
    </row>
    <row r="126" spans="1:19" x14ac:dyDescent="0.2">
      <c r="A126" s="90" t="s">
        <v>236</v>
      </c>
      <c r="B126" s="91" t="s">
        <v>339</v>
      </c>
      <c r="C126" s="91" t="s">
        <v>294</v>
      </c>
      <c r="D126" s="91" t="s">
        <v>420</v>
      </c>
      <c r="E126" s="92" t="s">
        <v>287</v>
      </c>
      <c r="F126" s="91" t="s">
        <v>288</v>
      </c>
      <c r="G126" s="91" t="s">
        <v>218</v>
      </c>
      <c r="H126" s="91" t="s">
        <v>11</v>
      </c>
      <c r="I126" s="91" t="s">
        <v>186</v>
      </c>
      <c r="J126" s="92" t="s">
        <v>219</v>
      </c>
      <c r="K126" s="93">
        <v>8.9</v>
      </c>
      <c r="L126" s="93">
        <f>K126*VLOOKUP(H126,dagsoorttabel1,2,FALSE)</f>
        <v>6.8461538461538467</v>
      </c>
      <c r="M126" s="94">
        <f>prodnorm18</f>
        <v>0</v>
      </c>
      <c r="N126" s="91" t="s">
        <v>103</v>
      </c>
      <c r="O126" s="26">
        <f>uurtarief18</f>
        <v>0</v>
      </c>
      <c r="P126" s="93" t="e">
        <f>IF(ISBLANK(M126),0,L126/ROUND(M126,4))</f>
        <v>#DIV/0!</v>
      </c>
      <c r="Q126" s="26" t="e">
        <f>ROUND(O126,2)*P126</f>
        <v>#DIV/0!</v>
      </c>
      <c r="R126" s="93" t="e">
        <f>P126*dagenperjaar1</f>
        <v>#DIV/0!</v>
      </c>
      <c r="S126" s="27" t="e">
        <f>R126*ROUND(O126,2)</f>
        <v>#DIV/0!</v>
      </c>
    </row>
    <row r="127" spans="1:19" x14ac:dyDescent="0.2">
      <c r="A127" s="90" t="s">
        <v>236</v>
      </c>
      <c r="B127" s="91" t="s">
        <v>339</v>
      </c>
      <c r="C127" s="91" t="s">
        <v>294</v>
      </c>
      <c r="D127" s="91" t="s">
        <v>421</v>
      </c>
      <c r="E127" s="92" t="s">
        <v>390</v>
      </c>
      <c r="F127" s="91" t="s">
        <v>288</v>
      </c>
      <c r="G127" s="91" t="s">
        <v>256</v>
      </c>
      <c r="H127" s="91"/>
      <c r="I127" s="91"/>
      <c r="J127" s="91"/>
      <c r="K127" s="93">
        <v>5.3</v>
      </c>
      <c r="L127" s="93"/>
      <c r="M127" s="94"/>
      <c r="N127" s="91"/>
      <c r="O127" s="26"/>
      <c r="P127" s="93"/>
      <c r="Q127" s="26"/>
      <c r="R127" s="95"/>
      <c r="S127" s="27"/>
    </row>
    <row r="128" spans="1:19" x14ac:dyDescent="0.2">
      <c r="A128" s="90" t="s">
        <v>236</v>
      </c>
      <c r="B128" s="91" t="s">
        <v>339</v>
      </c>
      <c r="C128" s="91" t="s">
        <v>294</v>
      </c>
      <c r="D128" s="91" t="s">
        <v>422</v>
      </c>
      <c r="E128" s="92" t="s">
        <v>262</v>
      </c>
      <c r="F128" s="91" t="s">
        <v>247</v>
      </c>
      <c r="G128" s="91" t="s">
        <v>256</v>
      </c>
      <c r="H128" s="91"/>
      <c r="I128" s="91"/>
      <c r="J128" s="91"/>
      <c r="K128" s="93">
        <v>12.1</v>
      </c>
      <c r="L128" s="93"/>
      <c r="M128" s="94"/>
      <c r="N128" s="91"/>
      <c r="O128" s="26"/>
      <c r="P128" s="93"/>
      <c r="Q128" s="26"/>
      <c r="R128" s="95"/>
      <c r="S128" s="27"/>
    </row>
    <row r="129" spans="1:19" x14ac:dyDescent="0.2">
      <c r="A129" s="90" t="s">
        <v>236</v>
      </c>
      <c r="B129" s="91" t="s">
        <v>339</v>
      </c>
      <c r="C129" s="91" t="s">
        <v>335</v>
      </c>
      <c r="D129" s="91" t="s">
        <v>423</v>
      </c>
      <c r="E129" s="92" t="s">
        <v>424</v>
      </c>
      <c r="F129" s="91" t="s">
        <v>247</v>
      </c>
      <c r="G129" s="91" t="s">
        <v>210</v>
      </c>
      <c r="H129" s="91" t="s">
        <v>11</v>
      </c>
      <c r="I129" s="91" t="s">
        <v>186</v>
      </c>
      <c r="J129" s="92" t="s">
        <v>211</v>
      </c>
      <c r="K129" s="93">
        <v>120.8</v>
      </c>
      <c r="L129" s="93">
        <f>K129*VLOOKUP(H129,dagsoorttabel1,2,FALSE)</f>
        <v>92.92307692307692</v>
      </c>
      <c r="M129" s="94">
        <f>prodnorm14</f>
        <v>0</v>
      </c>
      <c r="N129" s="91" t="s">
        <v>103</v>
      </c>
      <c r="O129" s="26">
        <f>uurtarief14</f>
        <v>0</v>
      </c>
      <c r="P129" s="93" t="e">
        <f>IF(ISBLANK(M129),0,L129/ROUND(M129,4))</f>
        <v>#DIV/0!</v>
      </c>
      <c r="Q129" s="26" t="e">
        <f>ROUND(O129,2)*P129</f>
        <v>#DIV/0!</v>
      </c>
      <c r="R129" s="93" t="e">
        <f>P129*dagenperjaar1</f>
        <v>#DIV/0!</v>
      </c>
      <c r="S129" s="27" t="e">
        <f>R129*ROUND(O129,2)</f>
        <v>#DIV/0!</v>
      </c>
    </row>
    <row r="130" spans="1:19" x14ac:dyDescent="0.2">
      <c r="A130" s="90" t="s">
        <v>236</v>
      </c>
      <c r="B130" s="91" t="s">
        <v>339</v>
      </c>
      <c r="C130" s="91" t="s">
        <v>335</v>
      </c>
      <c r="D130" s="91" t="s">
        <v>425</v>
      </c>
      <c r="E130" s="92" t="s">
        <v>344</v>
      </c>
      <c r="F130" s="91" t="s">
        <v>247</v>
      </c>
      <c r="G130" s="91" t="s">
        <v>194</v>
      </c>
      <c r="H130" s="91" t="s">
        <v>11</v>
      </c>
      <c r="I130" s="91" t="s">
        <v>186</v>
      </c>
      <c r="J130" s="92" t="s">
        <v>195</v>
      </c>
      <c r="K130" s="93">
        <v>10.6</v>
      </c>
      <c r="L130" s="93">
        <f>K130*VLOOKUP(H130,dagsoorttabel1,2,FALSE)</f>
        <v>8.1538461538461533</v>
      </c>
      <c r="M130" s="94">
        <f>prodnorm5</f>
        <v>0</v>
      </c>
      <c r="N130" s="91" t="s">
        <v>103</v>
      </c>
      <c r="O130" s="26">
        <f>uurtarief5</f>
        <v>0</v>
      </c>
      <c r="P130" s="93" t="e">
        <f>IF(ISBLANK(M130),0,L130/ROUND(M130,4))</f>
        <v>#DIV/0!</v>
      </c>
      <c r="Q130" s="26" t="e">
        <f>ROUND(O130,2)*P130</f>
        <v>#DIV/0!</v>
      </c>
      <c r="R130" s="93" t="e">
        <f>P130*dagenperjaar1</f>
        <v>#DIV/0!</v>
      </c>
      <c r="S130" s="27" t="e">
        <f>R130*ROUND(O130,2)</f>
        <v>#DIV/0!</v>
      </c>
    </row>
    <row r="131" spans="1:19" x14ac:dyDescent="0.2">
      <c r="A131" s="90" t="s">
        <v>236</v>
      </c>
      <c r="B131" s="91" t="s">
        <v>339</v>
      </c>
      <c r="C131" s="91" t="s">
        <v>335</v>
      </c>
      <c r="D131" s="91" t="s">
        <v>426</v>
      </c>
      <c r="E131" s="92" t="s">
        <v>344</v>
      </c>
      <c r="F131" s="91" t="s">
        <v>247</v>
      </c>
      <c r="G131" s="91" t="s">
        <v>194</v>
      </c>
      <c r="H131" s="91" t="s">
        <v>11</v>
      </c>
      <c r="I131" s="91" t="s">
        <v>186</v>
      </c>
      <c r="J131" s="92" t="s">
        <v>195</v>
      </c>
      <c r="K131" s="93">
        <v>10.6</v>
      </c>
      <c r="L131" s="93">
        <f>K131*VLOOKUP(H131,dagsoorttabel1,2,FALSE)</f>
        <v>8.1538461538461533</v>
      </c>
      <c r="M131" s="94">
        <f>prodnorm5</f>
        <v>0</v>
      </c>
      <c r="N131" s="91" t="s">
        <v>103</v>
      </c>
      <c r="O131" s="26">
        <f>uurtarief5</f>
        <v>0</v>
      </c>
      <c r="P131" s="93" t="e">
        <f>IF(ISBLANK(M131),0,L131/ROUND(M131,4))</f>
        <v>#DIV/0!</v>
      </c>
      <c r="Q131" s="26" t="e">
        <f>ROUND(O131,2)*P131</f>
        <v>#DIV/0!</v>
      </c>
      <c r="R131" s="93" t="e">
        <f>P131*dagenperjaar1</f>
        <v>#DIV/0!</v>
      </c>
      <c r="S131" s="27" t="e">
        <f>R131*ROUND(O131,2)</f>
        <v>#DIV/0!</v>
      </c>
    </row>
    <row r="132" spans="1:19" x14ac:dyDescent="0.2">
      <c r="A132" s="90" t="s">
        <v>236</v>
      </c>
      <c r="B132" s="91" t="s">
        <v>339</v>
      </c>
      <c r="C132" s="91" t="s">
        <v>335</v>
      </c>
      <c r="D132" s="91" t="s">
        <v>427</v>
      </c>
      <c r="E132" s="92" t="s">
        <v>400</v>
      </c>
      <c r="F132" s="91" t="s">
        <v>247</v>
      </c>
      <c r="G132" s="91" t="s">
        <v>206</v>
      </c>
      <c r="H132" s="91" t="s">
        <v>11</v>
      </c>
      <c r="I132" s="91" t="s">
        <v>186</v>
      </c>
      <c r="J132" s="92" t="s">
        <v>207</v>
      </c>
      <c r="K132" s="93">
        <v>57.7</v>
      </c>
      <c r="L132" s="93">
        <f>K132*VLOOKUP(H132,dagsoorttabel1,2,FALSE)</f>
        <v>44.384615384615387</v>
      </c>
      <c r="M132" s="94">
        <f>prodnorm12</f>
        <v>0</v>
      </c>
      <c r="N132" s="91" t="s">
        <v>103</v>
      </c>
      <c r="O132" s="26">
        <f>uurtarief12</f>
        <v>0</v>
      </c>
      <c r="P132" s="93" t="e">
        <f>IF(ISBLANK(M132),0,L132/ROUND(M132,4))</f>
        <v>#DIV/0!</v>
      </c>
      <c r="Q132" s="26" t="e">
        <f>ROUND(O132,2)*P132</f>
        <v>#DIV/0!</v>
      </c>
      <c r="R132" s="93" t="e">
        <f>P132*dagenperjaar1</f>
        <v>#DIV/0!</v>
      </c>
      <c r="S132" s="27" t="e">
        <f>R132*ROUND(O132,2)</f>
        <v>#DIV/0!</v>
      </c>
    </row>
    <row r="133" spans="1:19" x14ac:dyDescent="0.2">
      <c r="A133" s="90" t="s">
        <v>236</v>
      </c>
      <c r="B133" s="91" t="s">
        <v>339</v>
      </c>
      <c r="C133" s="91" t="s">
        <v>335</v>
      </c>
      <c r="D133" s="91" t="s">
        <v>428</v>
      </c>
      <c r="E133" s="92" t="s">
        <v>400</v>
      </c>
      <c r="F133" s="91" t="s">
        <v>247</v>
      </c>
      <c r="G133" s="91" t="s">
        <v>206</v>
      </c>
      <c r="H133" s="91" t="s">
        <v>11</v>
      </c>
      <c r="I133" s="91" t="s">
        <v>186</v>
      </c>
      <c r="J133" s="92" t="s">
        <v>207</v>
      </c>
      <c r="K133" s="93">
        <v>59.5</v>
      </c>
      <c r="L133" s="93">
        <f>K133*VLOOKUP(H133,dagsoorttabel1,2,FALSE)</f>
        <v>45.769230769230774</v>
      </c>
      <c r="M133" s="94">
        <f>prodnorm12</f>
        <v>0</v>
      </c>
      <c r="N133" s="91" t="s">
        <v>103</v>
      </c>
      <c r="O133" s="26">
        <f>uurtarief12</f>
        <v>0</v>
      </c>
      <c r="P133" s="93" t="e">
        <f>IF(ISBLANK(M133),0,L133/ROUND(M133,4))</f>
        <v>#DIV/0!</v>
      </c>
      <c r="Q133" s="26" t="e">
        <f>ROUND(O133,2)*P133</f>
        <v>#DIV/0!</v>
      </c>
      <c r="R133" s="93" t="e">
        <f>P133*dagenperjaar1</f>
        <v>#DIV/0!</v>
      </c>
      <c r="S133" s="27" t="e">
        <f>R133*ROUND(O133,2)</f>
        <v>#DIV/0!</v>
      </c>
    </row>
    <row r="134" spans="1:19" ht="25.5" x14ac:dyDescent="0.2">
      <c r="A134" s="90" t="s">
        <v>236</v>
      </c>
      <c r="B134" s="91" t="s">
        <v>339</v>
      </c>
      <c r="C134" s="91" t="s">
        <v>335</v>
      </c>
      <c r="D134" s="91" t="s">
        <v>429</v>
      </c>
      <c r="E134" s="92" t="s">
        <v>272</v>
      </c>
      <c r="F134" s="91" t="s">
        <v>247</v>
      </c>
      <c r="G134" s="91" t="s">
        <v>188</v>
      </c>
      <c r="H134" s="91" t="s">
        <v>11</v>
      </c>
      <c r="I134" s="91" t="s">
        <v>186</v>
      </c>
      <c r="J134" s="92" t="s">
        <v>189</v>
      </c>
      <c r="K134" s="93">
        <v>29</v>
      </c>
      <c r="L134" s="93">
        <f>K134*VLOOKUP(H134,dagsoorttabel1,2,FALSE)</f>
        <v>22.30769230769231</v>
      </c>
      <c r="M134" s="94">
        <f>prodnorm2</f>
        <v>0</v>
      </c>
      <c r="N134" s="91" t="s">
        <v>103</v>
      </c>
      <c r="O134" s="26">
        <f>uurtarief2</f>
        <v>0</v>
      </c>
      <c r="P134" s="93" t="e">
        <f>IF(ISBLANK(M134),0,L134/ROUND(M134,4))</f>
        <v>#DIV/0!</v>
      </c>
      <c r="Q134" s="26" t="e">
        <f>ROUND(O134,2)*P134</f>
        <v>#DIV/0!</v>
      </c>
      <c r="R134" s="93" t="e">
        <f>P134*dagenperjaar1</f>
        <v>#DIV/0!</v>
      </c>
      <c r="S134" s="27" t="e">
        <f>R134*ROUND(O134,2)</f>
        <v>#DIV/0!</v>
      </c>
    </row>
    <row r="135" spans="1:19" x14ac:dyDescent="0.2">
      <c r="A135" s="90" t="s">
        <v>236</v>
      </c>
      <c r="B135" s="91" t="s">
        <v>339</v>
      </c>
      <c r="C135" s="91" t="s">
        <v>335</v>
      </c>
      <c r="D135" s="91" t="s">
        <v>430</v>
      </c>
      <c r="E135" s="92" t="s">
        <v>400</v>
      </c>
      <c r="F135" s="91" t="s">
        <v>247</v>
      </c>
      <c r="G135" s="91" t="s">
        <v>206</v>
      </c>
      <c r="H135" s="91" t="s">
        <v>11</v>
      </c>
      <c r="I135" s="91" t="s">
        <v>186</v>
      </c>
      <c r="J135" s="92" t="s">
        <v>207</v>
      </c>
      <c r="K135" s="93">
        <v>28.9</v>
      </c>
      <c r="L135" s="93">
        <f>K135*VLOOKUP(H135,dagsoorttabel1,2,FALSE)</f>
        <v>22.23076923076923</v>
      </c>
      <c r="M135" s="94">
        <f>prodnorm12</f>
        <v>0</v>
      </c>
      <c r="N135" s="91" t="s">
        <v>103</v>
      </c>
      <c r="O135" s="26">
        <f>uurtarief12</f>
        <v>0</v>
      </c>
      <c r="P135" s="93" t="e">
        <f>IF(ISBLANK(M135),0,L135/ROUND(M135,4))</f>
        <v>#DIV/0!</v>
      </c>
      <c r="Q135" s="26" t="e">
        <f>ROUND(O135,2)*P135</f>
        <v>#DIV/0!</v>
      </c>
      <c r="R135" s="93" t="e">
        <f>P135*dagenperjaar1</f>
        <v>#DIV/0!</v>
      </c>
      <c r="S135" s="27" t="e">
        <f>R135*ROUND(O135,2)</f>
        <v>#DIV/0!</v>
      </c>
    </row>
    <row r="136" spans="1:19" x14ac:dyDescent="0.2">
      <c r="A136" s="90" t="s">
        <v>236</v>
      </c>
      <c r="B136" s="91" t="s">
        <v>339</v>
      </c>
      <c r="C136" s="91" t="s">
        <v>335</v>
      </c>
      <c r="D136" s="91" t="s">
        <v>431</v>
      </c>
      <c r="E136" s="92" t="s">
        <v>400</v>
      </c>
      <c r="F136" s="91" t="s">
        <v>247</v>
      </c>
      <c r="G136" s="91" t="s">
        <v>206</v>
      </c>
      <c r="H136" s="91" t="s">
        <v>11</v>
      </c>
      <c r="I136" s="91" t="s">
        <v>186</v>
      </c>
      <c r="J136" s="92" t="s">
        <v>207</v>
      </c>
      <c r="K136" s="93">
        <v>29</v>
      </c>
      <c r="L136" s="93">
        <f>K136*VLOOKUP(H136,dagsoorttabel1,2,FALSE)</f>
        <v>22.30769230769231</v>
      </c>
      <c r="M136" s="94">
        <f>prodnorm12</f>
        <v>0</v>
      </c>
      <c r="N136" s="91" t="s">
        <v>103</v>
      </c>
      <c r="O136" s="26">
        <f>uurtarief12</f>
        <v>0</v>
      </c>
      <c r="P136" s="93" t="e">
        <f>IF(ISBLANK(M136),0,L136/ROUND(M136,4))</f>
        <v>#DIV/0!</v>
      </c>
      <c r="Q136" s="26" t="e">
        <f>ROUND(O136,2)*P136</f>
        <v>#DIV/0!</v>
      </c>
      <c r="R136" s="93" t="e">
        <f>P136*dagenperjaar1</f>
        <v>#DIV/0!</v>
      </c>
      <c r="S136" s="27" t="e">
        <f>R136*ROUND(O136,2)</f>
        <v>#DIV/0!</v>
      </c>
    </row>
    <row r="137" spans="1:19" x14ac:dyDescent="0.2">
      <c r="A137" s="90" t="s">
        <v>236</v>
      </c>
      <c r="B137" s="91" t="s">
        <v>339</v>
      </c>
      <c r="C137" s="91" t="s">
        <v>335</v>
      </c>
      <c r="D137" s="91" t="s">
        <v>432</v>
      </c>
      <c r="E137" s="92" t="s">
        <v>400</v>
      </c>
      <c r="F137" s="91" t="s">
        <v>247</v>
      </c>
      <c r="G137" s="91" t="s">
        <v>206</v>
      </c>
      <c r="H137" s="91" t="s">
        <v>11</v>
      </c>
      <c r="I137" s="91" t="s">
        <v>186</v>
      </c>
      <c r="J137" s="92" t="s">
        <v>207</v>
      </c>
      <c r="K137" s="93">
        <v>59.1</v>
      </c>
      <c r="L137" s="93">
        <f>K137*VLOOKUP(H137,dagsoorttabel1,2,FALSE)</f>
        <v>45.461538461538467</v>
      </c>
      <c r="M137" s="94">
        <f>prodnorm12</f>
        <v>0</v>
      </c>
      <c r="N137" s="91" t="s">
        <v>103</v>
      </c>
      <c r="O137" s="26">
        <f>uurtarief12</f>
        <v>0</v>
      </c>
      <c r="P137" s="93" t="e">
        <f>IF(ISBLANK(M137),0,L137/ROUND(M137,4))</f>
        <v>#DIV/0!</v>
      </c>
      <c r="Q137" s="26" t="e">
        <f>ROUND(O137,2)*P137</f>
        <v>#DIV/0!</v>
      </c>
      <c r="R137" s="93" t="e">
        <f>P137*dagenperjaar1</f>
        <v>#DIV/0!</v>
      </c>
      <c r="S137" s="27" t="e">
        <f>R137*ROUND(O137,2)</f>
        <v>#DIV/0!</v>
      </c>
    </row>
    <row r="138" spans="1:19" x14ac:dyDescent="0.2">
      <c r="A138" s="90" t="s">
        <v>236</v>
      </c>
      <c r="B138" s="91" t="s">
        <v>339</v>
      </c>
      <c r="C138" s="91" t="s">
        <v>335</v>
      </c>
      <c r="D138" s="91" t="s">
        <v>433</v>
      </c>
      <c r="E138" s="92" t="s">
        <v>400</v>
      </c>
      <c r="F138" s="91" t="s">
        <v>247</v>
      </c>
      <c r="G138" s="91" t="s">
        <v>206</v>
      </c>
      <c r="H138" s="91" t="s">
        <v>11</v>
      </c>
      <c r="I138" s="91" t="s">
        <v>186</v>
      </c>
      <c r="J138" s="92" t="s">
        <v>207</v>
      </c>
      <c r="K138" s="93">
        <v>59.1</v>
      </c>
      <c r="L138" s="93">
        <f>K138*VLOOKUP(H138,dagsoorttabel1,2,FALSE)</f>
        <v>45.461538461538467</v>
      </c>
      <c r="M138" s="94">
        <f>prodnorm12</f>
        <v>0</v>
      </c>
      <c r="N138" s="91" t="s">
        <v>103</v>
      </c>
      <c r="O138" s="26">
        <f>uurtarief12</f>
        <v>0</v>
      </c>
      <c r="P138" s="93" t="e">
        <f>IF(ISBLANK(M138),0,L138/ROUND(M138,4))</f>
        <v>#DIV/0!</v>
      </c>
      <c r="Q138" s="26" t="e">
        <f>ROUND(O138,2)*P138</f>
        <v>#DIV/0!</v>
      </c>
      <c r="R138" s="93" t="e">
        <f>P138*dagenperjaar1</f>
        <v>#DIV/0!</v>
      </c>
      <c r="S138" s="27" t="e">
        <f>R138*ROUND(O138,2)</f>
        <v>#DIV/0!</v>
      </c>
    </row>
    <row r="139" spans="1:19" x14ac:dyDescent="0.2">
      <c r="A139" s="90" t="s">
        <v>236</v>
      </c>
      <c r="B139" s="91" t="s">
        <v>339</v>
      </c>
      <c r="C139" s="91" t="s">
        <v>335</v>
      </c>
      <c r="D139" s="91" t="s">
        <v>434</v>
      </c>
      <c r="E139" s="92" t="s">
        <v>400</v>
      </c>
      <c r="F139" s="91" t="s">
        <v>247</v>
      </c>
      <c r="G139" s="91" t="s">
        <v>206</v>
      </c>
      <c r="H139" s="91" t="s">
        <v>11</v>
      </c>
      <c r="I139" s="91" t="s">
        <v>186</v>
      </c>
      <c r="J139" s="92" t="s">
        <v>207</v>
      </c>
      <c r="K139" s="93">
        <v>59.6</v>
      </c>
      <c r="L139" s="93">
        <f>K139*VLOOKUP(H139,dagsoorttabel1,2,FALSE)</f>
        <v>45.846153846153847</v>
      </c>
      <c r="M139" s="94">
        <f>prodnorm12</f>
        <v>0</v>
      </c>
      <c r="N139" s="91" t="s">
        <v>103</v>
      </c>
      <c r="O139" s="26">
        <f>uurtarief12</f>
        <v>0</v>
      </c>
      <c r="P139" s="93" t="e">
        <f>IF(ISBLANK(M139),0,L139/ROUND(M139,4))</f>
        <v>#DIV/0!</v>
      </c>
      <c r="Q139" s="26" t="e">
        <f>ROUND(O139,2)*P139</f>
        <v>#DIV/0!</v>
      </c>
      <c r="R139" s="93" t="e">
        <f>P139*dagenperjaar1</f>
        <v>#DIV/0!</v>
      </c>
      <c r="S139" s="27" t="e">
        <f>R139*ROUND(O139,2)</f>
        <v>#DIV/0!</v>
      </c>
    </row>
    <row r="140" spans="1:19" x14ac:dyDescent="0.2">
      <c r="A140" s="90" t="s">
        <v>236</v>
      </c>
      <c r="B140" s="91" t="s">
        <v>339</v>
      </c>
      <c r="C140" s="91" t="s">
        <v>335</v>
      </c>
      <c r="D140" s="91" t="s">
        <v>435</v>
      </c>
      <c r="E140" s="92" t="s">
        <v>424</v>
      </c>
      <c r="F140" s="91" t="s">
        <v>247</v>
      </c>
      <c r="G140" s="91" t="s">
        <v>210</v>
      </c>
      <c r="H140" s="91" t="s">
        <v>11</v>
      </c>
      <c r="I140" s="91" t="s">
        <v>186</v>
      </c>
      <c r="J140" s="92" t="s">
        <v>211</v>
      </c>
      <c r="K140" s="93">
        <v>145.30000000000001</v>
      </c>
      <c r="L140" s="93">
        <f>K140*VLOOKUP(H140,dagsoorttabel1,2,FALSE)</f>
        <v>111.76923076923079</v>
      </c>
      <c r="M140" s="94">
        <f>prodnorm14</f>
        <v>0</v>
      </c>
      <c r="N140" s="91" t="s">
        <v>103</v>
      </c>
      <c r="O140" s="26">
        <f>uurtarief14</f>
        <v>0</v>
      </c>
      <c r="P140" s="93" t="e">
        <f>IF(ISBLANK(M140),0,L140/ROUND(M140,4))</f>
        <v>#DIV/0!</v>
      </c>
      <c r="Q140" s="26" t="e">
        <f>ROUND(O140,2)*P140</f>
        <v>#DIV/0!</v>
      </c>
      <c r="R140" s="93" t="e">
        <f>P140*dagenperjaar1</f>
        <v>#DIV/0!</v>
      </c>
      <c r="S140" s="27" t="e">
        <f>R140*ROUND(O140,2)</f>
        <v>#DIV/0!</v>
      </c>
    </row>
    <row r="141" spans="1:19" ht="25.5" x14ac:dyDescent="0.2">
      <c r="A141" s="90" t="s">
        <v>236</v>
      </c>
      <c r="B141" s="91" t="s">
        <v>339</v>
      </c>
      <c r="C141" s="91" t="s">
        <v>335</v>
      </c>
      <c r="D141" s="91" t="s">
        <v>436</v>
      </c>
      <c r="E141" s="92" t="s">
        <v>437</v>
      </c>
      <c r="F141" s="91" t="s">
        <v>247</v>
      </c>
      <c r="G141" s="91" t="s">
        <v>188</v>
      </c>
      <c r="H141" s="91" t="s">
        <v>11</v>
      </c>
      <c r="I141" s="91" t="s">
        <v>186</v>
      </c>
      <c r="J141" s="92" t="s">
        <v>189</v>
      </c>
      <c r="K141" s="93">
        <v>20.7</v>
      </c>
      <c r="L141" s="93">
        <f>K141*VLOOKUP(H141,dagsoorttabel1,2,FALSE)</f>
        <v>15.923076923076923</v>
      </c>
      <c r="M141" s="94">
        <f>prodnorm2</f>
        <v>0</v>
      </c>
      <c r="N141" s="91" t="s">
        <v>103</v>
      </c>
      <c r="O141" s="26">
        <f>uurtarief2</f>
        <v>0</v>
      </c>
      <c r="P141" s="93" t="e">
        <f>IF(ISBLANK(M141),0,L141/ROUND(M141,4))</f>
        <v>#DIV/0!</v>
      </c>
      <c r="Q141" s="26" t="e">
        <f>ROUND(O141,2)*P141</f>
        <v>#DIV/0!</v>
      </c>
      <c r="R141" s="93" t="e">
        <f>P141*dagenperjaar1</f>
        <v>#DIV/0!</v>
      </c>
      <c r="S141" s="27" t="e">
        <f>R141*ROUND(O141,2)</f>
        <v>#DIV/0!</v>
      </c>
    </row>
    <row r="142" spans="1:19" ht="25.5" x14ac:dyDescent="0.2">
      <c r="A142" s="90" t="s">
        <v>236</v>
      </c>
      <c r="B142" s="91" t="s">
        <v>339</v>
      </c>
      <c r="C142" s="91" t="s">
        <v>335</v>
      </c>
      <c r="D142" s="91" t="s">
        <v>438</v>
      </c>
      <c r="E142" s="92" t="s">
        <v>272</v>
      </c>
      <c r="F142" s="91" t="s">
        <v>247</v>
      </c>
      <c r="G142" s="91" t="s">
        <v>188</v>
      </c>
      <c r="H142" s="91" t="s">
        <v>11</v>
      </c>
      <c r="I142" s="91" t="s">
        <v>186</v>
      </c>
      <c r="J142" s="92" t="s">
        <v>189</v>
      </c>
      <c r="K142" s="93">
        <v>24</v>
      </c>
      <c r="L142" s="93">
        <f>K142*VLOOKUP(H142,dagsoorttabel1,2,FALSE)</f>
        <v>18.461538461538463</v>
      </c>
      <c r="M142" s="94">
        <f>prodnorm2</f>
        <v>0</v>
      </c>
      <c r="N142" s="91" t="s">
        <v>103</v>
      </c>
      <c r="O142" s="26">
        <f>uurtarief2</f>
        <v>0</v>
      </c>
      <c r="P142" s="93" t="e">
        <f>IF(ISBLANK(M142),0,L142/ROUND(M142,4))</f>
        <v>#DIV/0!</v>
      </c>
      <c r="Q142" s="26" t="e">
        <f>ROUND(O142,2)*P142</f>
        <v>#DIV/0!</v>
      </c>
      <c r="R142" s="93" t="e">
        <f>P142*dagenperjaar1</f>
        <v>#DIV/0!</v>
      </c>
      <c r="S142" s="27" t="e">
        <f>R142*ROUND(O142,2)</f>
        <v>#DIV/0!</v>
      </c>
    </row>
    <row r="143" spans="1:19" x14ac:dyDescent="0.2">
      <c r="A143" s="90" t="s">
        <v>236</v>
      </c>
      <c r="B143" s="91" t="s">
        <v>339</v>
      </c>
      <c r="C143" s="91" t="s">
        <v>335</v>
      </c>
      <c r="D143" s="91" t="s">
        <v>439</v>
      </c>
      <c r="E143" s="92" t="s">
        <v>262</v>
      </c>
      <c r="F143" s="91" t="s">
        <v>247</v>
      </c>
      <c r="G143" s="91" t="s">
        <v>256</v>
      </c>
      <c r="H143" s="91"/>
      <c r="I143" s="91"/>
      <c r="J143" s="91"/>
      <c r="K143" s="93">
        <v>8.8000000000000007</v>
      </c>
      <c r="L143" s="93"/>
      <c r="M143" s="94"/>
      <c r="N143" s="91"/>
      <c r="O143" s="26"/>
      <c r="P143" s="93"/>
      <c r="Q143" s="26"/>
      <c r="R143" s="95"/>
      <c r="S143" s="27"/>
    </row>
    <row r="144" spans="1:19" ht="25.5" x14ac:dyDescent="0.2">
      <c r="A144" s="90" t="s">
        <v>236</v>
      </c>
      <c r="B144" s="91" t="s">
        <v>339</v>
      </c>
      <c r="C144" s="91" t="s">
        <v>335</v>
      </c>
      <c r="D144" s="91" t="s">
        <v>440</v>
      </c>
      <c r="E144" s="92" t="s">
        <v>375</v>
      </c>
      <c r="F144" s="91" t="s">
        <v>247</v>
      </c>
      <c r="G144" s="91" t="s">
        <v>188</v>
      </c>
      <c r="H144" s="91" t="s">
        <v>11</v>
      </c>
      <c r="I144" s="91" t="s">
        <v>186</v>
      </c>
      <c r="J144" s="92" t="s">
        <v>189</v>
      </c>
      <c r="K144" s="93">
        <v>9.1</v>
      </c>
      <c r="L144" s="93">
        <f>K144*VLOOKUP(H144,dagsoorttabel1,2,FALSE)</f>
        <v>7</v>
      </c>
      <c r="M144" s="94">
        <f>prodnorm2</f>
        <v>0</v>
      </c>
      <c r="N144" s="91" t="s">
        <v>103</v>
      </c>
      <c r="O144" s="26">
        <f>uurtarief2</f>
        <v>0</v>
      </c>
      <c r="P144" s="93" t="e">
        <f>IF(ISBLANK(M144),0,L144/ROUND(M144,4))</f>
        <v>#DIV/0!</v>
      </c>
      <c r="Q144" s="26" t="e">
        <f>ROUND(O144,2)*P144</f>
        <v>#DIV/0!</v>
      </c>
      <c r="R144" s="93" t="e">
        <f>P144*dagenperjaar1</f>
        <v>#DIV/0!</v>
      </c>
      <c r="S144" s="27" t="e">
        <f>R144*ROUND(O144,2)</f>
        <v>#DIV/0!</v>
      </c>
    </row>
    <row r="145" spans="1:19" ht="25.5" x14ac:dyDescent="0.2">
      <c r="A145" s="90" t="s">
        <v>236</v>
      </c>
      <c r="B145" s="91" t="s">
        <v>339</v>
      </c>
      <c r="C145" s="91" t="s">
        <v>335</v>
      </c>
      <c r="D145" s="91" t="s">
        <v>441</v>
      </c>
      <c r="E145" s="92" t="s">
        <v>410</v>
      </c>
      <c r="F145" s="91" t="s">
        <v>247</v>
      </c>
      <c r="G145" s="91" t="s">
        <v>188</v>
      </c>
      <c r="H145" s="91" t="s">
        <v>11</v>
      </c>
      <c r="I145" s="91" t="s">
        <v>186</v>
      </c>
      <c r="J145" s="92" t="s">
        <v>189</v>
      </c>
      <c r="K145" s="93">
        <v>15.8</v>
      </c>
      <c r="L145" s="93">
        <f>K145*VLOOKUP(H145,dagsoorttabel1,2,FALSE)</f>
        <v>12.153846153846155</v>
      </c>
      <c r="M145" s="94">
        <f>prodnorm2</f>
        <v>0</v>
      </c>
      <c r="N145" s="91" t="s">
        <v>103</v>
      </c>
      <c r="O145" s="26">
        <f>uurtarief2</f>
        <v>0</v>
      </c>
      <c r="P145" s="93" t="e">
        <f>IF(ISBLANK(M145),0,L145/ROUND(M145,4))</f>
        <v>#DIV/0!</v>
      </c>
      <c r="Q145" s="26" t="e">
        <f>ROUND(O145,2)*P145</f>
        <v>#DIV/0!</v>
      </c>
      <c r="R145" s="93" t="e">
        <f>P145*dagenperjaar1</f>
        <v>#DIV/0!</v>
      </c>
      <c r="S145" s="27" t="e">
        <f>R145*ROUND(O145,2)</f>
        <v>#DIV/0!</v>
      </c>
    </row>
    <row r="146" spans="1:19" x14ac:dyDescent="0.2">
      <c r="A146" s="90" t="s">
        <v>236</v>
      </c>
      <c r="B146" s="91" t="s">
        <v>339</v>
      </c>
      <c r="C146" s="91" t="s">
        <v>335</v>
      </c>
      <c r="D146" s="91" t="s">
        <v>442</v>
      </c>
      <c r="E146" s="92" t="s">
        <v>443</v>
      </c>
      <c r="F146" s="91" t="s">
        <v>265</v>
      </c>
      <c r="G146" s="91" t="s">
        <v>256</v>
      </c>
      <c r="H146" s="91"/>
      <c r="I146" s="91"/>
      <c r="J146" s="91"/>
      <c r="K146" s="93">
        <v>1.1000000000000001</v>
      </c>
      <c r="L146" s="93"/>
      <c r="M146" s="94"/>
      <c r="N146" s="91"/>
      <c r="O146" s="26"/>
      <c r="P146" s="93"/>
      <c r="Q146" s="26"/>
      <c r="R146" s="95"/>
      <c r="S146" s="27"/>
    </row>
    <row r="147" spans="1:19" x14ac:dyDescent="0.2">
      <c r="A147" s="90" t="s">
        <v>236</v>
      </c>
      <c r="B147" s="91" t="s">
        <v>339</v>
      </c>
      <c r="C147" s="91" t="s">
        <v>335</v>
      </c>
      <c r="D147" s="91" t="s">
        <v>444</v>
      </c>
      <c r="E147" s="92" t="s">
        <v>287</v>
      </c>
      <c r="F147" s="91" t="s">
        <v>288</v>
      </c>
      <c r="G147" s="91" t="s">
        <v>216</v>
      </c>
      <c r="H147" s="91" t="s">
        <v>11</v>
      </c>
      <c r="I147" s="91" t="s">
        <v>186</v>
      </c>
      <c r="J147" s="92" t="s">
        <v>217</v>
      </c>
      <c r="K147" s="93">
        <v>8.9</v>
      </c>
      <c r="L147" s="93">
        <f>K147*VLOOKUP(H147,dagsoorttabel1,2,FALSE)</f>
        <v>6.8461538461538467</v>
      </c>
      <c r="M147" s="94">
        <f>prodnorm17</f>
        <v>0</v>
      </c>
      <c r="N147" s="91" t="s">
        <v>103</v>
      </c>
      <c r="O147" s="26">
        <f>uurtarief17</f>
        <v>0</v>
      </c>
      <c r="P147" s="93" t="e">
        <f>IF(ISBLANK(M147),0,L147/ROUND(M147,4))</f>
        <v>#DIV/0!</v>
      </c>
      <c r="Q147" s="26" t="e">
        <f>ROUND(O147,2)*P147</f>
        <v>#DIV/0!</v>
      </c>
      <c r="R147" s="93" t="e">
        <f>P147*dagenperjaar1</f>
        <v>#DIV/0!</v>
      </c>
      <c r="S147" s="27" t="e">
        <f>R147*ROUND(O147,2)</f>
        <v>#DIV/0!</v>
      </c>
    </row>
    <row r="148" spans="1:19" x14ac:dyDescent="0.2">
      <c r="A148" s="90" t="s">
        <v>236</v>
      </c>
      <c r="B148" s="91" t="s">
        <v>339</v>
      </c>
      <c r="C148" s="91" t="s">
        <v>335</v>
      </c>
      <c r="D148" s="91" t="s">
        <v>444</v>
      </c>
      <c r="E148" s="92" t="s">
        <v>287</v>
      </c>
      <c r="F148" s="91" t="s">
        <v>288</v>
      </c>
      <c r="G148" s="91" t="s">
        <v>218</v>
      </c>
      <c r="H148" s="91" t="s">
        <v>11</v>
      </c>
      <c r="I148" s="91" t="s">
        <v>186</v>
      </c>
      <c r="J148" s="92" t="s">
        <v>219</v>
      </c>
      <c r="K148" s="93">
        <v>8.9</v>
      </c>
      <c r="L148" s="93">
        <f>K148*VLOOKUP(H148,dagsoorttabel1,2,FALSE)</f>
        <v>6.8461538461538467</v>
      </c>
      <c r="M148" s="94">
        <f>prodnorm18</f>
        <v>0</v>
      </c>
      <c r="N148" s="91" t="s">
        <v>103</v>
      </c>
      <c r="O148" s="26">
        <f>uurtarief18</f>
        <v>0</v>
      </c>
      <c r="P148" s="93" t="e">
        <f>IF(ISBLANK(M148),0,L148/ROUND(M148,4))</f>
        <v>#DIV/0!</v>
      </c>
      <c r="Q148" s="26" t="e">
        <f>ROUND(O148,2)*P148</f>
        <v>#DIV/0!</v>
      </c>
      <c r="R148" s="93" t="e">
        <f>P148*dagenperjaar1</f>
        <v>#DIV/0!</v>
      </c>
      <c r="S148" s="27" t="e">
        <f>R148*ROUND(O148,2)</f>
        <v>#DIV/0!</v>
      </c>
    </row>
    <row r="149" spans="1:19" x14ac:dyDescent="0.2">
      <c r="A149" s="90" t="s">
        <v>236</v>
      </c>
      <c r="B149" s="91" t="s">
        <v>339</v>
      </c>
      <c r="C149" s="91" t="s">
        <v>335</v>
      </c>
      <c r="D149" s="91" t="s">
        <v>445</v>
      </c>
      <c r="E149" s="92" t="s">
        <v>446</v>
      </c>
      <c r="F149" s="91" t="s">
        <v>265</v>
      </c>
      <c r="G149" s="91" t="s">
        <v>256</v>
      </c>
      <c r="H149" s="91"/>
      <c r="I149" s="91"/>
      <c r="J149" s="91"/>
      <c r="K149" s="93">
        <v>11.8</v>
      </c>
      <c r="L149" s="93"/>
      <c r="M149" s="94"/>
      <c r="N149" s="91"/>
      <c r="O149" s="26"/>
      <c r="P149" s="93"/>
      <c r="Q149" s="26"/>
      <c r="R149" s="95"/>
      <c r="S149" s="27"/>
    </row>
    <row r="150" spans="1:19" x14ac:dyDescent="0.2">
      <c r="A150" s="90" t="s">
        <v>236</v>
      </c>
      <c r="B150" s="91" t="s">
        <v>339</v>
      </c>
      <c r="C150" s="91" t="s">
        <v>335</v>
      </c>
      <c r="D150" s="91" t="s">
        <v>447</v>
      </c>
      <c r="E150" s="92" t="s">
        <v>287</v>
      </c>
      <c r="F150" s="91" t="s">
        <v>288</v>
      </c>
      <c r="G150" s="91" t="s">
        <v>216</v>
      </c>
      <c r="H150" s="91" t="s">
        <v>11</v>
      </c>
      <c r="I150" s="91" t="s">
        <v>186</v>
      </c>
      <c r="J150" s="92" t="s">
        <v>217</v>
      </c>
      <c r="K150" s="93">
        <v>8.9</v>
      </c>
      <c r="L150" s="93">
        <f>K150*VLOOKUP(H150,dagsoorttabel1,2,FALSE)</f>
        <v>6.8461538461538467</v>
      </c>
      <c r="M150" s="94">
        <f>prodnorm17</f>
        <v>0</v>
      </c>
      <c r="N150" s="91" t="s">
        <v>103</v>
      </c>
      <c r="O150" s="26">
        <f>uurtarief17</f>
        <v>0</v>
      </c>
      <c r="P150" s="93" t="e">
        <f>IF(ISBLANK(M150),0,L150/ROUND(M150,4))</f>
        <v>#DIV/0!</v>
      </c>
      <c r="Q150" s="26" t="e">
        <f>ROUND(O150,2)*P150</f>
        <v>#DIV/0!</v>
      </c>
      <c r="R150" s="93" t="e">
        <f>P150*dagenperjaar1</f>
        <v>#DIV/0!</v>
      </c>
      <c r="S150" s="27" t="e">
        <f>R150*ROUND(O150,2)</f>
        <v>#DIV/0!</v>
      </c>
    </row>
    <row r="151" spans="1:19" x14ac:dyDescent="0.2">
      <c r="A151" s="90" t="s">
        <v>236</v>
      </c>
      <c r="B151" s="91" t="s">
        <v>339</v>
      </c>
      <c r="C151" s="91" t="s">
        <v>335</v>
      </c>
      <c r="D151" s="91" t="s">
        <v>447</v>
      </c>
      <c r="E151" s="92" t="s">
        <v>287</v>
      </c>
      <c r="F151" s="91" t="s">
        <v>288</v>
      </c>
      <c r="G151" s="91" t="s">
        <v>218</v>
      </c>
      <c r="H151" s="91" t="s">
        <v>11</v>
      </c>
      <c r="I151" s="91" t="s">
        <v>186</v>
      </c>
      <c r="J151" s="92" t="s">
        <v>219</v>
      </c>
      <c r="K151" s="93">
        <v>8.9</v>
      </c>
      <c r="L151" s="93">
        <f>K151*VLOOKUP(H151,dagsoorttabel1,2,FALSE)</f>
        <v>6.8461538461538467</v>
      </c>
      <c r="M151" s="94">
        <f>prodnorm18</f>
        <v>0</v>
      </c>
      <c r="N151" s="91" t="s">
        <v>103</v>
      </c>
      <c r="O151" s="26">
        <f>uurtarief18</f>
        <v>0</v>
      </c>
      <c r="P151" s="93" t="e">
        <f>IF(ISBLANK(M151),0,L151/ROUND(M151,4))</f>
        <v>#DIV/0!</v>
      </c>
      <c r="Q151" s="26" t="e">
        <f>ROUND(O151,2)*P151</f>
        <v>#DIV/0!</v>
      </c>
      <c r="R151" s="93" t="e">
        <f>P151*dagenperjaar1</f>
        <v>#DIV/0!</v>
      </c>
      <c r="S151" s="27" t="e">
        <f>R151*ROUND(O151,2)</f>
        <v>#DIV/0!</v>
      </c>
    </row>
    <row r="152" spans="1:19" x14ac:dyDescent="0.2">
      <c r="A152" s="90" t="s">
        <v>236</v>
      </c>
      <c r="B152" s="91" t="s">
        <v>339</v>
      </c>
      <c r="C152" s="91" t="s">
        <v>335</v>
      </c>
      <c r="D152" s="91" t="s">
        <v>448</v>
      </c>
      <c r="E152" s="92" t="s">
        <v>390</v>
      </c>
      <c r="F152" s="91" t="s">
        <v>288</v>
      </c>
      <c r="G152" s="91" t="s">
        <v>256</v>
      </c>
      <c r="H152" s="91"/>
      <c r="I152" s="91"/>
      <c r="J152" s="91"/>
      <c r="K152" s="93">
        <v>5.2</v>
      </c>
      <c r="L152" s="93"/>
      <c r="M152" s="94"/>
      <c r="N152" s="91"/>
      <c r="O152" s="26"/>
      <c r="P152" s="93"/>
      <c r="Q152" s="26"/>
      <c r="R152" s="95"/>
      <c r="S152" s="27"/>
    </row>
    <row r="153" spans="1:19" ht="25.5" x14ac:dyDescent="0.2">
      <c r="A153" s="90" t="s">
        <v>236</v>
      </c>
      <c r="B153" s="91" t="s">
        <v>339</v>
      </c>
      <c r="C153" s="91" t="s">
        <v>335</v>
      </c>
      <c r="D153" s="91" t="s">
        <v>449</v>
      </c>
      <c r="E153" s="92" t="s">
        <v>410</v>
      </c>
      <c r="F153" s="91" t="s">
        <v>247</v>
      </c>
      <c r="G153" s="91" t="s">
        <v>188</v>
      </c>
      <c r="H153" s="91" t="s">
        <v>11</v>
      </c>
      <c r="I153" s="91" t="s">
        <v>186</v>
      </c>
      <c r="J153" s="92" t="s">
        <v>189</v>
      </c>
      <c r="K153" s="93">
        <v>11.9</v>
      </c>
      <c r="L153" s="93">
        <f>K153*VLOOKUP(H153,dagsoorttabel1,2,FALSE)</f>
        <v>9.1538461538461551</v>
      </c>
      <c r="M153" s="94">
        <f>prodnorm2</f>
        <v>0</v>
      </c>
      <c r="N153" s="91" t="s">
        <v>103</v>
      </c>
      <c r="O153" s="26">
        <f>uurtarief2</f>
        <v>0</v>
      </c>
      <c r="P153" s="93" t="e">
        <f>IF(ISBLANK(M153),0,L153/ROUND(M153,4))</f>
        <v>#DIV/0!</v>
      </c>
      <c r="Q153" s="26" t="e">
        <f>ROUND(O153,2)*P153</f>
        <v>#DIV/0!</v>
      </c>
      <c r="R153" s="93" t="e">
        <f>P153*dagenperjaar1</f>
        <v>#DIV/0!</v>
      </c>
      <c r="S153" s="27" t="e">
        <f>R153*ROUND(O153,2)</f>
        <v>#DIV/0!</v>
      </c>
    </row>
    <row r="154" spans="1:19" x14ac:dyDescent="0.2">
      <c r="A154" s="90" t="s">
        <v>236</v>
      </c>
      <c r="B154" s="91" t="s">
        <v>339</v>
      </c>
      <c r="C154" s="91" t="s">
        <v>335</v>
      </c>
      <c r="D154" s="91" t="s">
        <v>450</v>
      </c>
      <c r="E154" s="92" t="s">
        <v>451</v>
      </c>
      <c r="F154" s="91" t="s">
        <v>37</v>
      </c>
      <c r="G154" s="91" t="s">
        <v>256</v>
      </c>
      <c r="H154" s="91"/>
      <c r="I154" s="91"/>
      <c r="J154" s="91"/>
      <c r="K154" s="93">
        <v>6.2</v>
      </c>
      <c r="L154" s="93"/>
      <c r="M154" s="94"/>
      <c r="N154" s="91"/>
      <c r="O154" s="26"/>
      <c r="P154" s="93"/>
      <c r="Q154" s="26"/>
      <c r="R154" s="95"/>
      <c r="S154" s="27"/>
    </row>
    <row r="155" spans="1:19" x14ac:dyDescent="0.2">
      <c r="A155" s="90" t="s">
        <v>236</v>
      </c>
      <c r="B155" s="91" t="s">
        <v>452</v>
      </c>
      <c r="C155" s="91" t="s">
        <v>238</v>
      </c>
      <c r="D155" s="91" t="s">
        <v>453</v>
      </c>
      <c r="E155" s="92" t="s">
        <v>454</v>
      </c>
      <c r="F155" s="91" t="s">
        <v>247</v>
      </c>
      <c r="G155" s="91" t="s">
        <v>210</v>
      </c>
      <c r="H155" s="91" t="s">
        <v>11</v>
      </c>
      <c r="I155" s="91" t="s">
        <v>186</v>
      </c>
      <c r="J155" s="92" t="s">
        <v>211</v>
      </c>
      <c r="K155" s="93">
        <v>205.5</v>
      </c>
      <c r="L155" s="93">
        <f>K155*VLOOKUP(H155,dagsoorttabel1,2,FALSE)</f>
        <v>158.07692307692309</v>
      </c>
      <c r="M155" s="94">
        <f>prodnorm14</f>
        <v>0</v>
      </c>
      <c r="N155" s="91" t="s">
        <v>103</v>
      </c>
      <c r="O155" s="26">
        <f>uurtarief14</f>
        <v>0</v>
      </c>
      <c r="P155" s="93" t="e">
        <f>IF(ISBLANK(M155),0,L155/ROUND(M155,4))</f>
        <v>#DIV/0!</v>
      </c>
      <c r="Q155" s="26" t="e">
        <f>ROUND(O155,2)*P155</f>
        <v>#DIV/0!</v>
      </c>
      <c r="R155" s="93" t="e">
        <f>P155*dagenperjaar1</f>
        <v>#DIV/0!</v>
      </c>
      <c r="S155" s="27" t="e">
        <f>R155*ROUND(O155,2)</f>
        <v>#DIV/0!</v>
      </c>
    </row>
    <row r="156" spans="1:19" x14ac:dyDescent="0.2">
      <c r="A156" s="90" t="s">
        <v>236</v>
      </c>
      <c r="B156" s="91" t="s">
        <v>452</v>
      </c>
      <c r="C156" s="91" t="s">
        <v>238</v>
      </c>
      <c r="D156" s="91" t="s">
        <v>455</v>
      </c>
      <c r="E156" s="92" t="s">
        <v>456</v>
      </c>
      <c r="F156" s="91" t="s">
        <v>241</v>
      </c>
      <c r="G156" s="91" t="s">
        <v>194</v>
      </c>
      <c r="H156" s="91" t="s">
        <v>11</v>
      </c>
      <c r="I156" s="91" t="s">
        <v>186</v>
      </c>
      <c r="J156" s="92" t="s">
        <v>195</v>
      </c>
      <c r="K156" s="93">
        <v>12.1</v>
      </c>
      <c r="L156" s="93">
        <f>K156*VLOOKUP(H156,dagsoorttabel1,2,FALSE)</f>
        <v>9.3076923076923084</v>
      </c>
      <c r="M156" s="94">
        <f>prodnorm5</f>
        <v>0</v>
      </c>
      <c r="N156" s="91" t="s">
        <v>103</v>
      </c>
      <c r="O156" s="26">
        <f>uurtarief5</f>
        <v>0</v>
      </c>
      <c r="P156" s="93" t="e">
        <f>IF(ISBLANK(M156),0,L156/ROUND(M156,4))</f>
        <v>#DIV/0!</v>
      </c>
      <c r="Q156" s="26" t="e">
        <f>ROUND(O156,2)*P156</f>
        <v>#DIV/0!</v>
      </c>
      <c r="R156" s="93" t="e">
        <f>P156*dagenperjaar1</f>
        <v>#DIV/0!</v>
      </c>
      <c r="S156" s="27" t="e">
        <f>R156*ROUND(O156,2)</f>
        <v>#DIV/0!</v>
      </c>
    </row>
    <row r="157" spans="1:19" x14ac:dyDescent="0.2">
      <c r="A157" s="90" t="s">
        <v>236</v>
      </c>
      <c r="B157" s="91" t="s">
        <v>452</v>
      </c>
      <c r="C157" s="91" t="s">
        <v>238</v>
      </c>
      <c r="D157" s="91" t="s">
        <v>457</v>
      </c>
      <c r="E157" s="92" t="s">
        <v>456</v>
      </c>
      <c r="F157" s="91" t="s">
        <v>241</v>
      </c>
      <c r="G157" s="91" t="s">
        <v>194</v>
      </c>
      <c r="H157" s="91" t="s">
        <v>11</v>
      </c>
      <c r="I157" s="91" t="s">
        <v>186</v>
      </c>
      <c r="J157" s="92" t="s">
        <v>195</v>
      </c>
      <c r="K157" s="93">
        <v>11.9</v>
      </c>
      <c r="L157" s="93">
        <f>K157*VLOOKUP(H157,dagsoorttabel1,2,FALSE)</f>
        <v>9.1538461538461551</v>
      </c>
      <c r="M157" s="94">
        <f>prodnorm5</f>
        <v>0</v>
      </c>
      <c r="N157" s="91" t="s">
        <v>103</v>
      </c>
      <c r="O157" s="26">
        <f>uurtarief5</f>
        <v>0</v>
      </c>
      <c r="P157" s="93" t="e">
        <f>IF(ISBLANK(M157),0,L157/ROUND(M157,4))</f>
        <v>#DIV/0!</v>
      </c>
      <c r="Q157" s="26" t="e">
        <f>ROUND(O157,2)*P157</f>
        <v>#DIV/0!</v>
      </c>
      <c r="R157" s="93" t="e">
        <f>P157*dagenperjaar1</f>
        <v>#DIV/0!</v>
      </c>
      <c r="S157" s="27" t="e">
        <f>R157*ROUND(O157,2)</f>
        <v>#DIV/0!</v>
      </c>
    </row>
    <row r="158" spans="1:19" ht="25.5" x14ac:dyDescent="0.2">
      <c r="A158" s="90" t="s">
        <v>236</v>
      </c>
      <c r="B158" s="91" t="s">
        <v>452</v>
      </c>
      <c r="C158" s="91" t="s">
        <v>238</v>
      </c>
      <c r="D158" s="91" t="s">
        <v>458</v>
      </c>
      <c r="E158" s="92" t="s">
        <v>459</v>
      </c>
      <c r="F158" s="91" t="s">
        <v>241</v>
      </c>
      <c r="G158" s="91" t="s">
        <v>188</v>
      </c>
      <c r="H158" s="91" t="s">
        <v>11</v>
      </c>
      <c r="I158" s="91" t="s">
        <v>186</v>
      </c>
      <c r="J158" s="92" t="s">
        <v>189</v>
      </c>
      <c r="K158" s="93">
        <v>7</v>
      </c>
      <c r="L158" s="93">
        <f>K158*VLOOKUP(H158,dagsoorttabel1,2,FALSE)</f>
        <v>5.384615384615385</v>
      </c>
      <c r="M158" s="94">
        <f>prodnorm2</f>
        <v>0</v>
      </c>
      <c r="N158" s="91" t="s">
        <v>103</v>
      </c>
      <c r="O158" s="26">
        <f>uurtarief2</f>
        <v>0</v>
      </c>
      <c r="P158" s="93" t="e">
        <f>IF(ISBLANK(M158),0,L158/ROUND(M158,4))</f>
        <v>#DIV/0!</v>
      </c>
      <c r="Q158" s="26" t="e">
        <f>ROUND(O158,2)*P158</f>
        <v>#DIV/0!</v>
      </c>
      <c r="R158" s="93" t="e">
        <f>P158*dagenperjaar1</f>
        <v>#DIV/0!</v>
      </c>
      <c r="S158" s="27" t="e">
        <f>R158*ROUND(O158,2)</f>
        <v>#DIV/0!</v>
      </c>
    </row>
    <row r="159" spans="1:19" x14ac:dyDescent="0.2">
      <c r="A159" s="90" t="s">
        <v>236</v>
      </c>
      <c r="B159" s="91" t="s">
        <v>452</v>
      </c>
      <c r="C159" s="91" t="s">
        <v>238</v>
      </c>
      <c r="D159" s="91" t="s">
        <v>460</v>
      </c>
      <c r="E159" s="92" t="s">
        <v>461</v>
      </c>
      <c r="F159" s="91" t="s">
        <v>247</v>
      </c>
      <c r="G159" s="91" t="s">
        <v>200</v>
      </c>
      <c r="H159" s="91" t="s">
        <v>11</v>
      </c>
      <c r="I159" s="91" t="s">
        <v>186</v>
      </c>
      <c r="J159" s="92" t="s">
        <v>201</v>
      </c>
      <c r="K159" s="93">
        <v>2.9</v>
      </c>
      <c r="L159" s="93">
        <f>K159*VLOOKUP(H159,dagsoorttabel1,2,FALSE)</f>
        <v>2.2307692307692308</v>
      </c>
      <c r="M159" s="94">
        <f>prodnorm9</f>
        <v>0</v>
      </c>
      <c r="N159" s="91" t="s">
        <v>103</v>
      </c>
      <c r="O159" s="26">
        <f>uurtarief9</f>
        <v>0</v>
      </c>
      <c r="P159" s="93" t="e">
        <f>IF(ISBLANK(M159),0,L159/ROUND(M159,4))</f>
        <v>#DIV/0!</v>
      </c>
      <c r="Q159" s="26" t="e">
        <f>ROUND(O159,2)*P159</f>
        <v>#DIV/0!</v>
      </c>
      <c r="R159" s="93" t="e">
        <f>P159*dagenperjaar1</f>
        <v>#DIV/0!</v>
      </c>
      <c r="S159" s="27" t="e">
        <f>R159*ROUND(O159,2)</f>
        <v>#DIV/0!</v>
      </c>
    </row>
    <row r="160" spans="1:19" x14ac:dyDescent="0.2">
      <c r="A160" s="90" t="s">
        <v>236</v>
      </c>
      <c r="B160" s="91" t="s">
        <v>452</v>
      </c>
      <c r="C160" s="91" t="s">
        <v>238</v>
      </c>
      <c r="D160" s="91" t="s">
        <v>462</v>
      </c>
      <c r="E160" s="92" t="s">
        <v>287</v>
      </c>
      <c r="F160" s="91" t="s">
        <v>288</v>
      </c>
      <c r="G160" s="91" t="s">
        <v>216</v>
      </c>
      <c r="H160" s="91" t="s">
        <v>11</v>
      </c>
      <c r="I160" s="91" t="s">
        <v>186</v>
      </c>
      <c r="J160" s="92" t="s">
        <v>217</v>
      </c>
      <c r="K160" s="93">
        <v>9.6</v>
      </c>
      <c r="L160" s="93">
        <f>K160*VLOOKUP(H160,dagsoorttabel1,2,FALSE)</f>
        <v>7.384615384615385</v>
      </c>
      <c r="M160" s="94">
        <f>prodnorm17</f>
        <v>0</v>
      </c>
      <c r="N160" s="91" t="s">
        <v>103</v>
      </c>
      <c r="O160" s="26">
        <f>uurtarief17</f>
        <v>0</v>
      </c>
      <c r="P160" s="93" t="e">
        <f>IF(ISBLANK(M160),0,L160/ROUND(M160,4))</f>
        <v>#DIV/0!</v>
      </c>
      <c r="Q160" s="26" t="e">
        <f>ROUND(O160,2)*P160</f>
        <v>#DIV/0!</v>
      </c>
      <c r="R160" s="93" t="e">
        <f>P160*dagenperjaar1</f>
        <v>#DIV/0!</v>
      </c>
      <c r="S160" s="27" t="e">
        <f>R160*ROUND(O160,2)</f>
        <v>#DIV/0!</v>
      </c>
    </row>
    <row r="161" spans="1:19" x14ac:dyDescent="0.2">
      <c r="A161" s="90" t="s">
        <v>236</v>
      </c>
      <c r="B161" s="91" t="s">
        <v>452</v>
      </c>
      <c r="C161" s="91" t="s">
        <v>238</v>
      </c>
      <c r="D161" s="91" t="s">
        <v>462</v>
      </c>
      <c r="E161" s="92" t="s">
        <v>287</v>
      </c>
      <c r="F161" s="91" t="s">
        <v>288</v>
      </c>
      <c r="G161" s="91" t="s">
        <v>218</v>
      </c>
      <c r="H161" s="91" t="s">
        <v>11</v>
      </c>
      <c r="I161" s="91" t="s">
        <v>186</v>
      </c>
      <c r="J161" s="92" t="s">
        <v>219</v>
      </c>
      <c r="K161" s="93">
        <v>9.6</v>
      </c>
      <c r="L161" s="93">
        <f>K161*VLOOKUP(H161,dagsoorttabel1,2,FALSE)</f>
        <v>7.384615384615385</v>
      </c>
      <c r="M161" s="94">
        <f>prodnorm18</f>
        <v>0</v>
      </c>
      <c r="N161" s="91" t="s">
        <v>103</v>
      </c>
      <c r="O161" s="26">
        <f>uurtarief18</f>
        <v>0</v>
      </c>
      <c r="P161" s="93" t="e">
        <f>IF(ISBLANK(M161),0,L161/ROUND(M161,4))</f>
        <v>#DIV/0!</v>
      </c>
      <c r="Q161" s="26" t="e">
        <f>ROUND(O161,2)*P161</f>
        <v>#DIV/0!</v>
      </c>
      <c r="R161" s="93" t="e">
        <f>P161*dagenperjaar1</f>
        <v>#DIV/0!</v>
      </c>
      <c r="S161" s="27" t="e">
        <f>R161*ROUND(O161,2)</f>
        <v>#DIV/0!</v>
      </c>
    </row>
    <row r="162" spans="1:19" x14ac:dyDescent="0.2">
      <c r="A162" s="90" t="s">
        <v>236</v>
      </c>
      <c r="B162" s="91" t="s">
        <v>452</v>
      </c>
      <c r="C162" s="91" t="s">
        <v>238</v>
      </c>
      <c r="D162" s="91" t="s">
        <v>463</v>
      </c>
      <c r="E162" s="92" t="s">
        <v>287</v>
      </c>
      <c r="F162" s="91" t="s">
        <v>288</v>
      </c>
      <c r="G162" s="91" t="s">
        <v>216</v>
      </c>
      <c r="H162" s="91" t="s">
        <v>11</v>
      </c>
      <c r="I162" s="91" t="s">
        <v>186</v>
      </c>
      <c r="J162" s="92" t="s">
        <v>217</v>
      </c>
      <c r="K162" s="93">
        <v>9.5</v>
      </c>
      <c r="L162" s="93">
        <f>K162*VLOOKUP(H162,dagsoorttabel1,2,FALSE)</f>
        <v>7.3076923076923084</v>
      </c>
      <c r="M162" s="94">
        <f>prodnorm17</f>
        <v>0</v>
      </c>
      <c r="N162" s="91" t="s">
        <v>103</v>
      </c>
      <c r="O162" s="26">
        <f>uurtarief17</f>
        <v>0</v>
      </c>
      <c r="P162" s="93" t="e">
        <f>IF(ISBLANK(M162),0,L162/ROUND(M162,4))</f>
        <v>#DIV/0!</v>
      </c>
      <c r="Q162" s="26" t="e">
        <f>ROUND(O162,2)*P162</f>
        <v>#DIV/0!</v>
      </c>
      <c r="R162" s="93" t="e">
        <f>P162*dagenperjaar1</f>
        <v>#DIV/0!</v>
      </c>
      <c r="S162" s="27" t="e">
        <f>R162*ROUND(O162,2)</f>
        <v>#DIV/0!</v>
      </c>
    </row>
    <row r="163" spans="1:19" x14ac:dyDescent="0.2">
      <c r="A163" s="90" t="s">
        <v>236</v>
      </c>
      <c r="B163" s="91" t="s">
        <v>452</v>
      </c>
      <c r="C163" s="91" t="s">
        <v>238</v>
      </c>
      <c r="D163" s="91" t="s">
        <v>463</v>
      </c>
      <c r="E163" s="92" t="s">
        <v>287</v>
      </c>
      <c r="F163" s="91" t="s">
        <v>288</v>
      </c>
      <c r="G163" s="91" t="s">
        <v>218</v>
      </c>
      <c r="H163" s="91" t="s">
        <v>11</v>
      </c>
      <c r="I163" s="91" t="s">
        <v>186</v>
      </c>
      <c r="J163" s="92" t="s">
        <v>219</v>
      </c>
      <c r="K163" s="93">
        <v>9.5</v>
      </c>
      <c r="L163" s="93">
        <f>K163*VLOOKUP(H163,dagsoorttabel1,2,FALSE)</f>
        <v>7.3076923076923084</v>
      </c>
      <c r="M163" s="94">
        <f>prodnorm18</f>
        <v>0</v>
      </c>
      <c r="N163" s="91" t="s">
        <v>103</v>
      </c>
      <c r="O163" s="26">
        <f>uurtarief18</f>
        <v>0</v>
      </c>
      <c r="P163" s="93" t="e">
        <f>IF(ISBLANK(M163),0,L163/ROUND(M163,4))</f>
        <v>#DIV/0!</v>
      </c>
      <c r="Q163" s="26" t="e">
        <f>ROUND(O163,2)*P163</f>
        <v>#DIV/0!</v>
      </c>
      <c r="R163" s="93" t="e">
        <f>P163*dagenperjaar1</f>
        <v>#DIV/0!</v>
      </c>
      <c r="S163" s="27" t="e">
        <f>R163*ROUND(O163,2)</f>
        <v>#DIV/0!</v>
      </c>
    </row>
    <row r="164" spans="1:19" x14ac:dyDescent="0.2">
      <c r="A164" s="90" t="s">
        <v>236</v>
      </c>
      <c r="B164" s="91" t="s">
        <v>452</v>
      </c>
      <c r="C164" s="91" t="s">
        <v>238</v>
      </c>
      <c r="D164" s="91" t="s">
        <v>464</v>
      </c>
      <c r="E164" s="92" t="s">
        <v>443</v>
      </c>
      <c r="F164" s="91" t="s">
        <v>265</v>
      </c>
      <c r="G164" s="91" t="s">
        <v>256</v>
      </c>
      <c r="H164" s="91"/>
      <c r="I164" s="91"/>
      <c r="J164" s="91"/>
      <c r="K164" s="93">
        <v>1.4</v>
      </c>
      <c r="L164" s="93"/>
      <c r="M164" s="94"/>
      <c r="N164" s="91"/>
      <c r="O164" s="26"/>
      <c r="P164" s="93"/>
      <c r="Q164" s="26"/>
      <c r="R164" s="95"/>
      <c r="S164" s="27"/>
    </row>
    <row r="165" spans="1:19" x14ac:dyDescent="0.2">
      <c r="A165" s="90" t="s">
        <v>236</v>
      </c>
      <c r="B165" s="91" t="s">
        <v>452</v>
      </c>
      <c r="C165" s="91" t="s">
        <v>238</v>
      </c>
      <c r="D165" s="91" t="s">
        <v>465</v>
      </c>
      <c r="E165" s="92" t="s">
        <v>262</v>
      </c>
      <c r="F165" s="91" t="s">
        <v>247</v>
      </c>
      <c r="G165" s="91" t="s">
        <v>256</v>
      </c>
      <c r="H165" s="91"/>
      <c r="I165" s="91"/>
      <c r="J165" s="91"/>
      <c r="K165" s="93">
        <v>13.1</v>
      </c>
      <c r="L165" s="93"/>
      <c r="M165" s="94"/>
      <c r="N165" s="91"/>
      <c r="O165" s="26"/>
      <c r="P165" s="93"/>
      <c r="Q165" s="26"/>
      <c r="R165" s="95"/>
      <c r="S165" s="27"/>
    </row>
    <row r="166" spans="1:19" x14ac:dyDescent="0.2">
      <c r="A166" s="90" t="s">
        <v>236</v>
      </c>
      <c r="B166" s="91" t="s">
        <v>452</v>
      </c>
      <c r="C166" s="91" t="s">
        <v>238</v>
      </c>
      <c r="D166" s="91" t="s">
        <v>466</v>
      </c>
      <c r="E166" s="92" t="s">
        <v>262</v>
      </c>
      <c r="F166" s="91" t="s">
        <v>247</v>
      </c>
      <c r="G166" s="91" t="s">
        <v>256</v>
      </c>
      <c r="H166" s="91"/>
      <c r="I166" s="91"/>
      <c r="J166" s="91"/>
      <c r="K166" s="93">
        <v>4.8</v>
      </c>
      <c r="L166" s="93"/>
      <c r="M166" s="94"/>
      <c r="N166" s="91"/>
      <c r="O166" s="26"/>
      <c r="P166" s="93"/>
      <c r="Q166" s="26"/>
      <c r="R166" s="95"/>
      <c r="S166" s="27"/>
    </row>
    <row r="167" spans="1:19" ht="25.5" x14ac:dyDescent="0.2">
      <c r="A167" s="90" t="s">
        <v>236</v>
      </c>
      <c r="B167" s="91" t="s">
        <v>452</v>
      </c>
      <c r="C167" s="91" t="s">
        <v>238</v>
      </c>
      <c r="D167" s="91" t="s">
        <v>467</v>
      </c>
      <c r="E167" s="92" t="s">
        <v>410</v>
      </c>
      <c r="F167" s="91" t="s">
        <v>247</v>
      </c>
      <c r="G167" s="91" t="s">
        <v>188</v>
      </c>
      <c r="H167" s="91" t="s">
        <v>11</v>
      </c>
      <c r="I167" s="91" t="s">
        <v>186</v>
      </c>
      <c r="J167" s="92" t="s">
        <v>189</v>
      </c>
      <c r="K167" s="93">
        <v>11.8</v>
      </c>
      <c r="L167" s="93">
        <f>K167*VLOOKUP(H167,dagsoorttabel1,2,FALSE)</f>
        <v>9.0769230769230784</v>
      </c>
      <c r="M167" s="94">
        <f>prodnorm2</f>
        <v>0</v>
      </c>
      <c r="N167" s="91" t="s">
        <v>103</v>
      </c>
      <c r="O167" s="26">
        <f>uurtarief2</f>
        <v>0</v>
      </c>
      <c r="P167" s="93" t="e">
        <f>IF(ISBLANK(M167),0,L167/ROUND(M167,4))</f>
        <v>#DIV/0!</v>
      </c>
      <c r="Q167" s="26" t="e">
        <f>ROUND(O167,2)*P167</f>
        <v>#DIV/0!</v>
      </c>
      <c r="R167" s="93" t="e">
        <f>P167*dagenperjaar1</f>
        <v>#DIV/0!</v>
      </c>
      <c r="S167" s="27" t="e">
        <f>R167*ROUND(O167,2)</f>
        <v>#DIV/0!</v>
      </c>
    </row>
    <row r="168" spans="1:19" ht="25.5" x14ac:dyDescent="0.2">
      <c r="A168" s="90" t="s">
        <v>236</v>
      </c>
      <c r="B168" s="91" t="s">
        <v>452</v>
      </c>
      <c r="C168" s="91" t="s">
        <v>238</v>
      </c>
      <c r="D168" s="91" t="s">
        <v>468</v>
      </c>
      <c r="E168" s="92" t="s">
        <v>469</v>
      </c>
      <c r="F168" s="91" t="s">
        <v>247</v>
      </c>
      <c r="G168" s="91" t="s">
        <v>188</v>
      </c>
      <c r="H168" s="91" t="s">
        <v>11</v>
      </c>
      <c r="I168" s="91" t="s">
        <v>186</v>
      </c>
      <c r="J168" s="92" t="s">
        <v>189</v>
      </c>
      <c r="K168" s="93">
        <v>56.7</v>
      </c>
      <c r="L168" s="93">
        <f>K168*VLOOKUP(H168,dagsoorttabel1,2,FALSE)</f>
        <v>43.61538461538462</v>
      </c>
      <c r="M168" s="94">
        <f>prodnorm2</f>
        <v>0</v>
      </c>
      <c r="N168" s="91" t="s">
        <v>103</v>
      </c>
      <c r="O168" s="26">
        <f>uurtarief2</f>
        <v>0</v>
      </c>
      <c r="P168" s="93" t="e">
        <f>IF(ISBLANK(M168),0,L168/ROUND(M168,4))</f>
        <v>#DIV/0!</v>
      </c>
      <c r="Q168" s="26" t="e">
        <f>ROUND(O168,2)*P168</f>
        <v>#DIV/0!</v>
      </c>
      <c r="R168" s="93" t="e">
        <f>P168*dagenperjaar1</f>
        <v>#DIV/0!</v>
      </c>
      <c r="S168" s="27" t="e">
        <f>R168*ROUND(O168,2)</f>
        <v>#DIV/0!</v>
      </c>
    </row>
    <row r="169" spans="1:19" ht="25.5" x14ac:dyDescent="0.2">
      <c r="A169" s="90" t="s">
        <v>236</v>
      </c>
      <c r="B169" s="91" t="s">
        <v>452</v>
      </c>
      <c r="C169" s="91" t="s">
        <v>238</v>
      </c>
      <c r="D169" s="91" t="s">
        <v>470</v>
      </c>
      <c r="E169" s="92" t="s">
        <v>471</v>
      </c>
      <c r="F169" s="91" t="s">
        <v>247</v>
      </c>
      <c r="G169" s="91" t="s">
        <v>188</v>
      </c>
      <c r="H169" s="91" t="s">
        <v>11</v>
      </c>
      <c r="I169" s="91" t="s">
        <v>186</v>
      </c>
      <c r="J169" s="92" t="s">
        <v>189</v>
      </c>
      <c r="K169" s="93">
        <v>16.399999999999999</v>
      </c>
      <c r="L169" s="93">
        <f>K169*VLOOKUP(H169,dagsoorttabel1,2,FALSE)</f>
        <v>12.615384615384615</v>
      </c>
      <c r="M169" s="94">
        <f>prodnorm2</f>
        <v>0</v>
      </c>
      <c r="N169" s="91" t="s">
        <v>103</v>
      </c>
      <c r="O169" s="26">
        <f>uurtarief2</f>
        <v>0</v>
      </c>
      <c r="P169" s="93" t="e">
        <f>IF(ISBLANK(M169),0,L169/ROUND(M169,4))</f>
        <v>#DIV/0!</v>
      </c>
      <c r="Q169" s="26" t="e">
        <f>ROUND(O169,2)*P169</f>
        <v>#DIV/0!</v>
      </c>
      <c r="R169" s="93" t="e">
        <f>P169*dagenperjaar1</f>
        <v>#DIV/0!</v>
      </c>
      <c r="S169" s="27" t="e">
        <f>R169*ROUND(O169,2)</f>
        <v>#DIV/0!</v>
      </c>
    </row>
    <row r="170" spans="1:19" ht="25.5" x14ac:dyDescent="0.2">
      <c r="A170" s="90" t="s">
        <v>236</v>
      </c>
      <c r="B170" s="91" t="s">
        <v>452</v>
      </c>
      <c r="C170" s="91" t="s">
        <v>238</v>
      </c>
      <c r="D170" s="91" t="s">
        <v>472</v>
      </c>
      <c r="E170" s="92" t="s">
        <v>471</v>
      </c>
      <c r="F170" s="91" t="s">
        <v>247</v>
      </c>
      <c r="G170" s="91" t="s">
        <v>188</v>
      </c>
      <c r="H170" s="91" t="s">
        <v>11</v>
      </c>
      <c r="I170" s="91" t="s">
        <v>186</v>
      </c>
      <c r="J170" s="92" t="s">
        <v>189</v>
      </c>
      <c r="K170" s="93">
        <v>16.399999999999999</v>
      </c>
      <c r="L170" s="93">
        <f>K170*VLOOKUP(H170,dagsoorttabel1,2,FALSE)</f>
        <v>12.615384615384615</v>
      </c>
      <c r="M170" s="94">
        <f>prodnorm2</f>
        <v>0</v>
      </c>
      <c r="N170" s="91" t="s">
        <v>103</v>
      </c>
      <c r="O170" s="26">
        <f>uurtarief2</f>
        <v>0</v>
      </c>
      <c r="P170" s="93" t="e">
        <f>IF(ISBLANK(M170),0,L170/ROUND(M170,4))</f>
        <v>#DIV/0!</v>
      </c>
      <c r="Q170" s="26" t="e">
        <f>ROUND(O170,2)*P170</f>
        <v>#DIV/0!</v>
      </c>
      <c r="R170" s="93" t="e">
        <f>P170*dagenperjaar1</f>
        <v>#DIV/0!</v>
      </c>
      <c r="S170" s="27" t="e">
        <f>R170*ROUND(O170,2)</f>
        <v>#DIV/0!</v>
      </c>
    </row>
    <row r="171" spans="1:19" x14ac:dyDescent="0.2">
      <c r="A171" s="90" t="s">
        <v>236</v>
      </c>
      <c r="B171" s="91" t="s">
        <v>452</v>
      </c>
      <c r="C171" s="91" t="s">
        <v>238</v>
      </c>
      <c r="D171" s="91" t="s">
        <v>473</v>
      </c>
      <c r="E171" s="92" t="s">
        <v>400</v>
      </c>
      <c r="F171" s="91" t="s">
        <v>247</v>
      </c>
      <c r="G171" s="91" t="s">
        <v>206</v>
      </c>
      <c r="H171" s="91" t="s">
        <v>11</v>
      </c>
      <c r="I171" s="91" t="s">
        <v>186</v>
      </c>
      <c r="J171" s="92" t="s">
        <v>207</v>
      </c>
      <c r="K171" s="93">
        <v>59.6</v>
      </c>
      <c r="L171" s="93">
        <f>K171*VLOOKUP(H171,dagsoorttabel1,2,FALSE)</f>
        <v>45.846153846153847</v>
      </c>
      <c r="M171" s="94">
        <f>prodnorm12</f>
        <v>0</v>
      </c>
      <c r="N171" s="91" t="s">
        <v>103</v>
      </c>
      <c r="O171" s="26">
        <f>uurtarief12</f>
        <v>0</v>
      </c>
      <c r="P171" s="93" t="e">
        <f>IF(ISBLANK(M171),0,L171/ROUND(M171,4))</f>
        <v>#DIV/0!</v>
      </c>
      <c r="Q171" s="26" t="e">
        <f>ROUND(O171,2)*P171</f>
        <v>#DIV/0!</v>
      </c>
      <c r="R171" s="93" t="e">
        <f>P171*dagenperjaar1</f>
        <v>#DIV/0!</v>
      </c>
      <c r="S171" s="27" t="e">
        <f>R171*ROUND(O171,2)</f>
        <v>#DIV/0!</v>
      </c>
    </row>
    <row r="172" spans="1:19" x14ac:dyDescent="0.2">
      <c r="A172" s="90" t="s">
        <v>236</v>
      </c>
      <c r="B172" s="91" t="s">
        <v>452</v>
      </c>
      <c r="C172" s="91" t="s">
        <v>238</v>
      </c>
      <c r="D172" s="91" t="s">
        <v>474</v>
      </c>
      <c r="E172" s="92" t="s">
        <v>400</v>
      </c>
      <c r="F172" s="91" t="s">
        <v>247</v>
      </c>
      <c r="G172" s="91" t="s">
        <v>206</v>
      </c>
      <c r="H172" s="91" t="s">
        <v>11</v>
      </c>
      <c r="I172" s="91" t="s">
        <v>186</v>
      </c>
      <c r="J172" s="92" t="s">
        <v>207</v>
      </c>
      <c r="K172" s="93">
        <v>60.8</v>
      </c>
      <c r="L172" s="93">
        <f>K172*VLOOKUP(H172,dagsoorttabel1,2,FALSE)</f>
        <v>46.769230769230766</v>
      </c>
      <c r="M172" s="94">
        <f>prodnorm12</f>
        <v>0</v>
      </c>
      <c r="N172" s="91" t="s">
        <v>103</v>
      </c>
      <c r="O172" s="26">
        <f>uurtarief12</f>
        <v>0</v>
      </c>
      <c r="P172" s="93" t="e">
        <f>IF(ISBLANK(M172),0,L172/ROUND(M172,4))</f>
        <v>#DIV/0!</v>
      </c>
      <c r="Q172" s="26" t="e">
        <f>ROUND(O172,2)*P172</f>
        <v>#DIV/0!</v>
      </c>
      <c r="R172" s="93" t="e">
        <f>P172*dagenperjaar1</f>
        <v>#DIV/0!</v>
      </c>
      <c r="S172" s="27" t="e">
        <f>R172*ROUND(O172,2)</f>
        <v>#DIV/0!</v>
      </c>
    </row>
    <row r="173" spans="1:19" x14ac:dyDescent="0.2">
      <c r="A173" s="90" t="s">
        <v>236</v>
      </c>
      <c r="B173" s="91" t="s">
        <v>452</v>
      </c>
      <c r="C173" s="91" t="s">
        <v>238</v>
      </c>
      <c r="D173" s="91" t="s">
        <v>475</v>
      </c>
      <c r="E173" s="92" t="s">
        <v>400</v>
      </c>
      <c r="F173" s="91" t="s">
        <v>247</v>
      </c>
      <c r="G173" s="91" t="s">
        <v>206</v>
      </c>
      <c r="H173" s="91" t="s">
        <v>11</v>
      </c>
      <c r="I173" s="91" t="s">
        <v>186</v>
      </c>
      <c r="J173" s="92" t="s">
        <v>207</v>
      </c>
      <c r="K173" s="93">
        <v>29.4</v>
      </c>
      <c r="L173" s="93">
        <f>K173*VLOOKUP(H173,dagsoorttabel1,2,FALSE)</f>
        <v>22.615384615384617</v>
      </c>
      <c r="M173" s="94">
        <f>prodnorm12</f>
        <v>0</v>
      </c>
      <c r="N173" s="91" t="s">
        <v>103</v>
      </c>
      <c r="O173" s="26">
        <f>uurtarief12</f>
        <v>0</v>
      </c>
      <c r="P173" s="93" t="e">
        <f>IF(ISBLANK(M173),0,L173/ROUND(M173,4))</f>
        <v>#DIV/0!</v>
      </c>
      <c r="Q173" s="26" t="e">
        <f>ROUND(O173,2)*P173</f>
        <v>#DIV/0!</v>
      </c>
      <c r="R173" s="93" t="e">
        <f>P173*dagenperjaar1</f>
        <v>#DIV/0!</v>
      </c>
      <c r="S173" s="27" t="e">
        <f>R173*ROUND(O173,2)</f>
        <v>#DIV/0!</v>
      </c>
    </row>
    <row r="174" spans="1:19" x14ac:dyDescent="0.2">
      <c r="A174" s="90" t="s">
        <v>236</v>
      </c>
      <c r="B174" s="91" t="s">
        <v>452</v>
      </c>
      <c r="C174" s="91" t="s">
        <v>238</v>
      </c>
      <c r="D174" s="91" t="s">
        <v>476</v>
      </c>
      <c r="E174" s="92" t="s">
        <v>400</v>
      </c>
      <c r="F174" s="91" t="s">
        <v>247</v>
      </c>
      <c r="G174" s="91" t="s">
        <v>206</v>
      </c>
      <c r="H174" s="91" t="s">
        <v>11</v>
      </c>
      <c r="I174" s="91" t="s">
        <v>186</v>
      </c>
      <c r="J174" s="92" t="s">
        <v>207</v>
      </c>
      <c r="K174" s="93">
        <v>29.4</v>
      </c>
      <c r="L174" s="93">
        <f>K174*VLOOKUP(H174,dagsoorttabel1,2,FALSE)</f>
        <v>22.615384615384617</v>
      </c>
      <c r="M174" s="94">
        <f>prodnorm12</f>
        <v>0</v>
      </c>
      <c r="N174" s="91" t="s">
        <v>103</v>
      </c>
      <c r="O174" s="26">
        <f>uurtarief12</f>
        <v>0</v>
      </c>
      <c r="P174" s="93" t="e">
        <f>IF(ISBLANK(M174),0,L174/ROUND(M174,4))</f>
        <v>#DIV/0!</v>
      </c>
      <c r="Q174" s="26" t="e">
        <f>ROUND(O174,2)*P174</f>
        <v>#DIV/0!</v>
      </c>
      <c r="R174" s="93" t="e">
        <f>P174*dagenperjaar1</f>
        <v>#DIV/0!</v>
      </c>
      <c r="S174" s="27" t="e">
        <f>R174*ROUND(O174,2)</f>
        <v>#DIV/0!</v>
      </c>
    </row>
    <row r="175" spans="1:19" x14ac:dyDescent="0.2">
      <c r="A175" s="90" t="s">
        <v>236</v>
      </c>
      <c r="B175" s="91" t="s">
        <v>452</v>
      </c>
      <c r="C175" s="91" t="s">
        <v>238</v>
      </c>
      <c r="D175" s="91" t="s">
        <v>477</v>
      </c>
      <c r="E175" s="92" t="s">
        <v>400</v>
      </c>
      <c r="F175" s="91" t="s">
        <v>247</v>
      </c>
      <c r="G175" s="91" t="s">
        <v>206</v>
      </c>
      <c r="H175" s="91" t="s">
        <v>11</v>
      </c>
      <c r="I175" s="91" t="s">
        <v>186</v>
      </c>
      <c r="J175" s="92" t="s">
        <v>207</v>
      </c>
      <c r="K175" s="93">
        <v>60.4</v>
      </c>
      <c r="L175" s="93">
        <f>K175*VLOOKUP(H175,dagsoorttabel1,2,FALSE)</f>
        <v>46.46153846153846</v>
      </c>
      <c r="M175" s="94">
        <f>prodnorm12</f>
        <v>0</v>
      </c>
      <c r="N175" s="91" t="s">
        <v>103</v>
      </c>
      <c r="O175" s="26">
        <f>uurtarief12</f>
        <v>0</v>
      </c>
      <c r="P175" s="93" t="e">
        <f>IF(ISBLANK(M175),0,L175/ROUND(M175,4))</f>
        <v>#DIV/0!</v>
      </c>
      <c r="Q175" s="26" t="e">
        <f>ROUND(O175,2)*P175</f>
        <v>#DIV/0!</v>
      </c>
      <c r="R175" s="93" t="e">
        <f>P175*dagenperjaar1</f>
        <v>#DIV/0!</v>
      </c>
      <c r="S175" s="27" t="e">
        <f>R175*ROUND(O175,2)</f>
        <v>#DIV/0!</v>
      </c>
    </row>
    <row r="176" spans="1:19" x14ac:dyDescent="0.2">
      <c r="A176" s="90" t="s">
        <v>236</v>
      </c>
      <c r="B176" s="91" t="s">
        <v>452</v>
      </c>
      <c r="C176" s="91" t="s">
        <v>238</v>
      </c>
      <c r="D176" s="91" t="s">
        <v>478</v>
      </c>
      <c r="E176" s="92" t="s">
        <v>400</v>
      </c>
      <c r="F176" s="91" t="s">
        <v>247</v>
      </c>
      <c r="G176" s="91" t="s">
        <v>206</v>
      </c>
      <c r="H176" s="91" t="s">
        <v>11</v>
      </c>
      <c r="I176" s="91" t="s">
        <v>186</v>
      </c>
      <c r="J176" s="92" t="s">
        <v>207</v>
      </c>
      <c r="K176" s="93">
        <v>60.6</v>
      </c>
      <c r="L176" s="93">
        <f>K176*VLOOKUP(H176,dagsoorttabel1,2,FALSE)</f>
        <v>46.61538461538462</v>
      </c>
      <c r="M176" s="94">
        <f>prodnorm12</f>
        <v>0</v>
      </c>
      <c r="N176" s="91" t="s">
        <v>103</v>
      </c>
      <c r="O176" s="26">
        <f>uurtarief12</f>
        <v>0</v>
      </c>
      <c r="P176" s="93" t="e">
        <f>IF(ISBLANK(M176),0,L176/ROUND(M176,4))</f>
        <v>#DIV/0!</v>
      </c>
      <c r="Q176" s="26" t="e">
        <f>ROUND(O176,2)*P176</f>
        <v>#DIV/0!</v>
      </c>
      <c r="R176" s="93" t="e">
        <f>P176*dagenperjaar1</f>
        <v>#DIV/0!</v>
      </c>
      <c r="S176" s="27" t="e">
        <f>R176*ROUND(O176,2)</f>
        <v>#DIV/0!</v>
      </c>
    </row>
    <row r="177" spans="1:19" x14ac:dyDescent="0.2">
      <c r="A177" s="90" t="s">
        <v>236</v>
      </c>
      <c r="B177" s="91" t="s">
        <v>452</v>
      </c>
      <c r="C177" s="91" t="s">
        <v>238</v>
      </c>
      <c r="D177" s="91" t="s">
        <v>479</v>
      </c>
      <c r="E177" s="92" t="s">
        <v>480</v>
      </c>
      <c r="F177" s="91" t="s">
        <v>247</v>
      </c>
      <c r="G177" s="91" t="s">
        <v>206</v>
      </c>
      <c r="H177" s="91" t="s">
        <v>11</v>
      </c>
      <c r="I177" s="91" t="s">
        <v>186</v>
      </c>
      <c r="J177" s="92" t="s">
        <v>207</v>
      </c>
      <c r="K177" s="93">
        <v>15.1</v>
      </c>
      <c r="L177" s="93">
        <f>K177*VLOOKUP(H177,dagsoorttabel1,2,FALSE)</f>
        <v>11.615384615384615</v>
      </c>
      <c r="M177" s="94">
        <f>prodnorm12</f>
        <v>0</v>
      </c>
      <c r="N177" s="91" t="s">
        <v>103</v>
      </c>
      <c r="O177" s="26">
        <f>uurtarief12</f>
        <v>0</v>
      </c>
      <c r="P177" s="93" t="e">
        <f>IF(ISBLANK(M177),0,L177/ROUND(M177,4))</f>
        <v>#DIV/0!</v>
      </c>
      <c r="Q177" s="26" t="e">
        <f>ROUND(O177,2)*P177</f>
        <v>#DIV/0!</v>
      </c>
      <c r="R177" s="93" t="e">
        <f>P177*dagenperjaar1</f>
        <v>#DIV/0!</v>
      </c>
      <c r="S177" s="27" t="e">
        <f>R177*ROUND(O177,2)</f>
        <v>#DIV/0!</v>
      </c>
    </row>
    <row r="178" spans="1:19" ht="25.5" x14ac:dyDescent="0.2">
      <c r="A178" s="90" t="s">
        <v>236</v>
      </c>
      <c r="B178" s="91" t="s">
        <v>452</v>
      </c>
      <c r="C178" s="91" t="s">
        <v>238</v>
      </c>
      <c r="D178" s="91" t="s">
        <v>481</v>
      </c>
      <c r="E178" s="92" t="s">
        <v>482</v>
      </c>
      <c r="F178" s="91" t="s">
        <v>247</v>
      </c>
      <c r="G178" s="91" t="s">
        <v>188</v>
      </c>
      <c r="H178" s="91" t="s">
        <v>11</v>
      </c>
      <c r="I178" s="91" t="s">
        <v>186</v>
      </c>
      <c r="J178" s="92" t="s">
        <v>189</v>
      </c>
      <c r="K178" s="93">
        <v>48.1</v>
      </c>
      <c r="L178" s="93">
        <f>K178*VLOOKUP(H178,dagsoorttabel1,2,FALSE)</f>
        <v>37</v>
      </c>
      <c r="M178" s="94">
        <f>prodnorm2</f>
        <v>0</v>
      </c>
      <c r="N178" s="91" t="s">
        <v>103</v>
      </c>
      <c r="O178" s="26">
        <f>uurtarief2</f>
        <v>0</v>
      </c>
      <c r="P178" s="93" t="e">
        <f>IF(ISBLANK(M178),0,L178/ROUND(M178,4))</f>
        <v>#DIV/0!</v>
      </c>
      <c r="Q178" s="26" t="e">
        <f>ROUND(O178,2)*P178</f>
        <v>#DIV/0!</v>
      </c>
      <c r="R178" s="93" t="e">
        <f>P178*dagenperjaar1</f>
        <v>#DIV/0!</v>
      </c>
      <c r="S178" s="27" t="e">
        <f>R178*ROUND(O178,2)</f>
        <v>#DIV/0!</v>
      </c>
    </row>
    <row r="179" spans="1:19" ht="25.5" x14ac:dyDescent="0.2">
      <c r="A179" s="90" t="s">
        <v>236</v>
      </c>
      <c r="B179" s="91" t="s">
        <v>452</v>
      </c>
      <c r="C179" s="91" t="s">
        <v>238</v>
      </c>
      <c r="D179" s="91" t="s">
        <v>483</v>
      </c>
      <c r="E179" s="92" t="s">
        <v>484</v>
      </c>
      <c r="F179" s="91" t="s">
        <v>247</v>
      </c>
      <c r="G179" s="91" t="s">
        <v>188</v>
      </c>
      <c r="H179" s="91" t="s">
        <v>11</v>
      </c>
      <c r="I179" s="91" t="s">
        <v>186</v>
      </c>
      <c r="J179" s="92" t="s">
        <v>189</v>
      </c>
      <c r="K179" s="93">
        <v>17.399999999999999</v>
      </c>
      <c r="L179" s="93">
        <f>K179*VLOOKUP(H179,dagsoorttabel1,2,FALSE)</f>
        <v>13.384615384615385</v>
      </c>
      <c r="M179" s="94">
        <f>prodnorm2</f>
        <v>0</v>
      </c>
      <c r="N179" s="91" t="s">
        <v>103</v>
      </c>
      <c r="O179" s="26">
        <f>uurtarief2</f>
        <v>0</v>
      </c>
      <c r="P179" s="93" t="e">
        <f>IF(ISBLANK(M179),0,L179/ROUND(M179,4))</f>
        <v>#DIV/0!</v>
      </c>
      <c r="Q179" s="26" t="e">
        <f>ROUND(O179,2)*P179</f>
        <v>#DIV/0!</v>
      </c>
      <c r="R179" s="93" t="e">
        <f>P179*dagenperjaar1</f>
        <v>#DIV/0!</v>
      </c>
      <c r="S179" s="27" t="e">
        <f>R179*ROUND(O179,2)</f>
        <v>#DIV/0!</v>
      </c>
    </row>
    <row r="180" spans="1:19" x14ac:dyDescent="0.2">
      <c r="A180" s="90" t="s">
        <v>236</v>
      </c>
      <c r="B180" s="91" t="s">
        <v>452</v>
      </c>
      <c r="C180" s="91" t="s">
        <v>294</v>
      </c>
      <c r="D180" s="91" t="s">
        <v>485</v>
      </c>
      <c r="E180" s="92" t="s">
        <v>486</v>
      </c>
      <c r="F180" s="91" t="s">
        <v>247</v>
      </c>
      <c r="G180" s="91" t="s">
        <v>210</v>
      </c>
      <c r="H180" s="91" t="s">
        <v>11</v>
      </c>
      <c r="I180" s="91" t="s">
        <v>186</v>
      </c>
      <c r="J180" s="92" t="s">
        <v>211</v>
      </c>
      <c r="K180" s="93">
        <v>174.1</v>
      </c>
      <c r="L180" s="93">
        <f>K180*VLOOKUP(H180,dagsoorttabel1,2,FALSE)</f>
        <v>133.92307692307693</v>
      </c>
      <c r="M180" s="94">
        <f>prodnorm14</f>
        <v>0</v>
      </c>
      <c r="N180" s="91" t="s">
        <v>103</v>
      </c>
      <c r="O180" s="26">
        <f>uurtarief14</f>
        <v>0</v>
      </c>
      <c r="P180" s="93" t="e">
        <f>IF(ISBLANK(M180),0,L180/ROUND(M180,4))</f>
        <v>#DIV/0!</v>
      </c>
      <c r="Q180" s="26" t="e">
        <f>ROUND(O180,2)*P180</f>
        <v>#DIV/0!</v>
      </c>
      <c r="R180" s="93" t="e">
        <f>P180*dagenperjaar1</f>
        <v>#DIV/0!</v>
      </c>
      <c r="S180" s="27" t="e">
        <f>R180*ROUND(O180,2)</f>
        <v>#DIV/0!</v>
      </c>
    </row>
    <row r="181" spans="1:19" x14ac:dyDescent="0.2">
      <c r="A181" s="90" t="s">
        <v>236</v>
      </c>
      <c r="B181" s="91" t="s">
        <v>452</v>
      </c>
      <c r="C181" s="91" t="s">
        <v>294</v>
      </c>
      <c r="D181" s="91" t="s">
        <v>487</v>
      </c>
      <c r="E181" s="92" t="s">
        <v>456</v>
      </c>
      <c r="F181" s="91" t="s">
        <v>247</v>
      </c>
      <c r="G181" s="91" t="s">
        <v>194</v>
      </c>
      <c r="H181" s="91" t="s">
        <v>11</v>
      </c>
      <c r="I181" s="91" t="s">
        <v>186</v>
      </c>
      <c r="J181" s="92" t="s">
        <v>195</v>
      </c>
      <c r="K181" s="93">
        <v>12.5</v>
      </c>
      <c r="L181" s="93">
        <f>K181*VLOOKUP(H181,dagsoorttabel1,2,FALSE)</f>
        <v>9.6153846153846168</v>
      </c>
      <c r="M181" s="94">
        <f>prodnorm5</f>
        <v>0</v>
      </c>
      <c r="N181" s="91" t="s">
        <v>103</v>
      </c>
      <c r="O181" s="26">
        <f>uurtarief5</f>
        <v>0</v>
      </c>
      <c r="P181" s="93" t="e">
        <f>IF(ISBLANK(M181),0,L181/ROUND(M181,4))</f>
        <v>#DIV/0!</v>
      </c>
      <c r="Q181" s="26" t="e">
        <f>ROUND(O181,2)*P181</f>
        <v>#DIV/0!</v>
      </c>
      <c r="R181" s="93" t="e">
        <f>P181*dagenperjaar1</f>
        <v>#DIV/0!</v>
      </c>
      <c r="S181" s="27" t="e">
        <f>R181*ROUND(O181,2)</f>
        <v>#DIV/0!</v>
      </c>
    </row>
    <row r="182" spans="1:19" x14ac:dyDescent="0.2">
      <c r="A182" s="90" t="s">
        <v>236</v>
      </c>
      <c r="B182" s="91" t="s">
        <v>452</v>
      </c>
      <c r="C182" s="91" t="s">
        <v>294</v>
      </c>
      <c r="D182" s="91" t="s">
        <v>488</v>
      </c>
      <c r="E182" s="92" t="s">
        <v>456</v>
      </c>
      <c r="F182" s="91" t="s">
        <v>247</v>
      </c>
      <c r="G182" s="91" t="s">
        <v>194</v>
      </c>
      <c r="H182" s="91" t="s">
        <v>11</v>
      </c>
      <c r="I182" s="91" t="s">
        <v>186</v>
      </c>
      <c r="J182" s="92" t="s">
        <v>195</v>
      </c>
      <c r="K182" s="93">
        <v>12.2</v>
      </c>
      <c r="L182" s="93">
        <f>K182*VLOOKUP(H182,dagsoorttabel1,2,FALSE)</f>
        <v>9.384615384615385</v>
      </c>
      <c r="M182" s="94">
        <f>prodnorm5</f>
        <v>0</v>
      </c>
      <c r="N182" s="91" t="s">
        <v>103</v>
      </c>
      <c r="O182" s="26">
        <f>uurtarief5</f>
        <v>0</v>
      </c>
      <c r="P182" s="93" t="e">
        <f>IF(ISBLANK(M182),0,L182/ROUND(M182,4))</f>
        <v>#DIV/0!</v>
      </c>
      <c r="Q182" s="26" t="e">
        <f>ROUND(O182,2)*P182</f>
        <v>#DIV/0!</v>
      </c>
      <c r="R182" s="93" t="e">
        <f>P182*dagenperjaar1</f>
        <v>#DIV/0!</v>
      </c>
      <c r="S182" s="27" t="e">
        <f>R182*ROUND(O182,2)</f>
        <v>#DIV/0!</v>
      </c>
    </row>
    <row r="183" spans="1:19" x14ac:dyDescent="0.2">
      <c r="A183" s="90" t="s">
        <v>236</v>
      </c>
      <c r="B183" s="91" t="s">
        <v>452</v>
      </c>
      <c r="C183" s="91" t="s">
        <v>294</v>
      </c>
      <c r="D183" s="91" t="s">
        <v>489</v>
      </c>
      <c r="E183" s="92" t="s">
        <v>456</v>
      </c>
      <c r="F183" s="91" t="s">
        <v>247</v>
      </c>
      <c r="G183" s="91" t="s">
        <v>194</v>
      </c>
      <c r="H183" s="91" t="s">
        <v>11</v>
      </c>
      <c r="I183" s="91" t="s">
        <v>186</v>
      </c>
      <c r="J183" s="92" t="s">
        <v>195</v>
      </c>
      <c r="K183" s="93">
        <v>1.8</v>
      </c>
      <c r="L183" s="93">
        <f>K183*VLOOKUP(H183,dagsoorttabel1,2,FALSE)</f>
        <v>1.3846153846153848</v>
      </c>
      <c r="M183" s="94">
        <f>prodnorm5</f>
        <v>0</v>
      </c>
      <c r="N183" s="91" t="s">
        <v>103</v>
      </c>
      <c r="O183" s="26">
        <f>uurtarief5</f>
        <v>0</v>
      </c>
      <c r="P183" s="93" t="e">
        <f>IF(ISBLANK(M183),0,L183/ROUND(M183,4))</f>
        <v>#DIV/0!</v>
      </c>
      <c r="Q183" s="26" t="e">
        <f>ROUND(O183,2)*P183</f>
        <v>#DIV/0!</v>
      </c>
      <c r="R183" s="93" t="e">
        <f>P183*dagenperjaar1</f>
        <v>#DIV/0!</v>
      </c>
      <c r="S183" s="27" t="e">
        <f>R183*ROUND(O183,2)</f>
        <v>#DIV/0!</v>
      </c>
    </row>
    <row r="184" spans="1:19" x14ac:dyDescent="0.2">
      <c r="A184" s="90" t="s">
        <v>236</v>
      </c>
      <c r="B184" s="91" t="s">
        <v>452</v>
      </c>
      <c r="C184" s="91" t="s">
        <v>294</v>
      </c>
      <c r="D184" s="91" t="s">
        <v>490</v>
      </c>
      <c r="E184" s="92" t="s">
        <v>461</v>
      </c>
      <c r="F184" s="91" t="s">
        <v>37</v>
      </c>
      <c r="G184" s="91" t="s">
        <v>256</v>
      </c>
      <c r="H184" s="91"/>
      <c r="I184" s="91"/>
      <c r="J184" s="91"/>
      <c r="K184" s="93">
        <v>2.9</v>
      </c>
      <c r="L184" s="93"/>
      <c r="M184" s="94"/>
      <c r="N184" s="91"/>
      <c r="O184" s="26"/>
      <c r="P184" s="93"/>
      <c r="Q184" s="26"/>
      <c r="R184" s="95"/>
      <c r="S184" s="27"/>
    </row>
    <row r="185" spans="1:19" x14ac:dyDescent="0.2">
      <c r="A185" s="90" t="s">
        <v>236</v>
      </c>
      <c r="B185" s="91" t="s">
        <v>452</v>
      </c>
      <c r="C185" s="91" t="s">
        <v>294</v>
      </c>
      <c r="D185" s="91" t="s">
        <v>491</v>
      </c>
      <c r="E185" s="92" t="s">
        <v>287</v>
      </c>
      <c r="F185" s="91" t="s">
        <v>288</v>
      </c>
      <c r="G185" s="91" t="s">
        <v>216</v>
      </c>
      <c r="H185" s="91" t="s">
        <v>11</v>
      </c>
      <c r="I185" s="91" t="s">
        <v>186</v>
      </c>
      <c r="J185" s="92" t="s">
        <v>217</v>
      </c>
      <c r="K185" s="93">
        <v>8.8000000000000007</v>
      </c>
      <c r="L185" s="93">
        <f>K185*VLOOKUP(H185,dagsoorttabel1,2,FALSE)</f>
        <v>6.7692307692307701</v>
      </c>
      <c r="M185" s="94">
        <f>prodnorm17</f>
        <v>0</v>
      </c>
      <c r="N185" s="91" t="s">
        <v>103</v>
      </c>
      <c r="O185" s="26">
        <f>uurtarief17</f>
        <v>0</v>
      </c>
      <c r="P185" s="93" t="e">
        <f>IF(ISBLANK(M185),0,L185/ROUND(M185,4))</f>
        <v>#DIV/0!</v>
      </c>
      <c r="Q185" s="26" t="e">
        <f>ROUND(O185,2)*P185</f>
        <v>#DIV/0!</v>
      </c>
      <c r="R185" s="93" t="e">
        <f>P185*dagenperjaar1</f>
        <v>#DIV/0!</v>
      </c>
      <c r="S185" s="27" t="e">
        <f>R185*ROUND(O185,2)</f>
        <v>#DIV/0!</v>
      </c>
    </row>
    <row r="186" spans="1:19" x14ac:dyDescent="0.2">
      <c r="A186" s="90" t="s">
        <v>236</v>
      </c>
      <c r="B186" s="91" t="s">
        <v>452</v>
      </c>
      <c r="C186" s="91" t="s">
        <v>294</v>
      </c>
      <c r="D186" s="91" t="s">
        <v>491</v>
      </c>
      <c r="E186" s="92" t="s">
        <v>287</v>
      </c>
      <c r="F186" s="91" t="s">
        <v>288</v>
      </c>
      <c r="G186" s="91" t="s">
        <v>218</v>
      </c>
      <c r="H186" s="91" t="s">
        <v>11</v>
      </c>
      <c r="I186" s="91" t="s">
        <v>186</v>
      </c>
      <c r="J186" s="92" t="s">
        <v>219</v>
      </c>
      <c r="K186" s="93">
        <v>8.8000000000000007</v>
      </c>
      <c r="L186" s="93">
        <f>K186*VLOOKUP(H186,dagsoorttabel1,2,FALSE)</f>
        <v>6.7692307692307701</v>
      </c>
      <c r="M186" s="94">
        <f>prodnorm18</f>
        <v>0</v>
      </c>
      <c r="N186" s="91" t="s">
        <v>103</v>
      </c>
      <c r="O186" s="26">
        <f>uurtarief18</f>
        <v>0</v>
      </c>
      <c r="P186" s="93" t="e">
        <f>IF(ISBLANK(M186),0,L186/ROUND(M186,4))</f>
        <v>#DIV/0!</v>
      </c>
      <c r="Q186" s="26" t="e">
        <f>ROUND(O186,2)*P186</f>
        <v>#DIV/0!</v>
      </c>
      <c r="R186" s="93" t="e">
        <f>P186*dagenperjaar1</f>
        <v>#DIV/0!</v>
      </c>
      <c r="S186" s="27" t="e">
        <f>R186*ROUND(O186,2)</f>
        <v>#DIV/0!</v>
      </c>
    </row>
    <row r="187" spans="1:19" x14ac:dyDescent="0.2">
      <c r="A187" s="90" t="s">
        <v>236</v>
      </c>
      <c r="B187" s="91" t="s">
        <v>452</v>
      </c>
      <c r="C187" s="91" t="s">
        <v>294</v>
      </c>
      <c r="D187" s="91" t="s">
        <v>492</v>
      </c>
      <c r="E187" s="92" t="s">
        <v>287</v>
      </c>
      <c r="F187" s="91" t="s">
        <v>288</v>
      </c>
      <c r="G187" s="91" t="s">
        <v>216</v>
      </c>
      <c r="H187" s="91" t="s">
        <v>11</v>
      </c>
      <c r="I187" s="91" t="s">
        <v>186</v>
      </c>
      <c r="J187" s="92" t="s">
        <v>217</v>
      </c>
      <c r="K187" s="93">
        <v>8.6999999999999993</v>
      </c>
      <c r="L187" s="93">
        <f>K187*VLOOKUP(H187,dagsoorttabel1,2,FALSE)</f>
        <v>6.6923076923076925</v>
      </c>
      <c r="M187" s="94">
        <f>prodnorm17</f>
        <v>0</v>
      </c>
      <c r="N187" s="91" t="s">
        <v>103</v>
      </c>
      <c r="O187" s="26">
        <f>uurtarief17</f>
        <v>0</v>
      </c>
      <c r="P187" s="93" t="e">
        <f>IF(ISBLANK(M187),0,L187/ROUND(M187,4))</f>
        <v>#DIV/0!</v>
      </c>
      <c r="Q187" s="26" t="e">
        <f>ROUND(O187,2)*P187</f>
        <v>#DIV/0!</v>
      </c>
      <c r="R187" s="93" t="e">
        <f>P187*dagenperjaar1</f>
        <v>#DIV/0!</v>
      </c>
      <c r="S187" s="27" t="e">
        <f>R187*ROUND(O187,2)</f>
        <v>#DIV/0!</v>
      </c>
    </row>
    <row r="188" spans="1:19" x14ac:dyDescent="0.2">
      <c r="A188" s="90" t="s">
        <v>236</v>
      </c>
      <c r="B188" s="91" t="s">
        <v>452</v>
      </c>
      <c r="C188" s="91" t="s">
        <v>294</v>
      </c>
      <c r="D188" s="91" t="s">
        <v>492</v>
      </c>
      <c r="E188" s="92" t="s">
        <v>287</v>
      </c>
      <c r="F188" s="91" t="s">
        <v>288</v>
      </c>
      <c r="G188" s="91" t="s">
        <v>218</v>
      </c>
      <c r="H188" s="91" t="s">
        <v>11</v>
      </c>
      <c r="I188" s="91" t="s">
        <v>186</v>
      </c>
      <c r="J188" s="92" t="s">
        <v>219</v>
      </c>
      <c r="K188" s="93">
        <v>8.6999999999999993</v>
      </c>
      <c r="L188" s="93">
        <f>K188*VLOOKUP(H188,dagsoorttabel1,2,FALSE)</f>
        <v>6.6923076923076925</v>
      </c>
      <c r="M188" s="94">
        <f>prodnorm18</f>
        <v>0</v>
      </c>
      <c r="N188" s="91" t="s">
        <v>103</v>
      </c>
      <c r="O188" s="26">
        <f>uurtarief18</f>
        <v>0</v>
      </c>
      <c r="P188" s="93" t="e">
        <f>IF(ISBLANK(M188),0,L188/ROUND(M188,4))</f>
        <v>#DIV/0!</v>
      </c>
      <c r="Q188" s="26" t="e">
        <f>ROUND(O188,2)*P188</f>
        <v>#DIV/0!</v>
      </c>
      <c r="R188" s="93" t="e">
        <f>P188*dagenperjaar1</f>
        <v>#DIV/0!</v>
      </c>
      <c r="S188" s="27" t="e">
        <f>R188*ROUND(O188,2)</f>
        <v>#DIV/0!</v>
      </c>
    </row>
    <row r="189" spans="1:19" x14ac:dyDescent="0.2">
      <c r="A189" s="90" t="s">
        <v>236</v>
      </c>
      <c r="B189" s="91" t="s">
        <v>452</v>
      </c>
      <c r="C189" s="91" t="s">
        <v>294</v>
      </c>
      <c r="D189" s="91" t="s">
        <v>493</v>
      </c>
      <c r="E189" s="92" t="s">
        <v>443</v>
      </c>
      <c r="F189" s="91" t="s">
        <v>265</v>
      </c>
      <c r="G189" s="91" t="s">
        <v>256</v>
      </c>
      <c r="H189" s="91"/>
      <c r="I189" s="91"/>
      <c r="J189" s="91"/>
      <c r="K189" s="93">
        <v>1.4</v>
      </c>
      <c r="L189" s="93"/>
      <c r="M189" s="94"/>
      <c r="N189" s="91"/>
      <c r="O189" s="26"/>
      <c r="P189" s="93"/>
      <c r="Q189" s="26"/>
      <c r="R189" s="95"/>
      <c r="S189" s="27"/>
    </row>
    <row r="190" spans="1:19" x14ac:dyDescent="0.2">
      <c r="A190" s="90" t="s">
        <v>236</v>
      </c>
      <c r="B190" s="91" t="s">
        <v>452</v>
      </c>
      <c r="C190" s="91" t="s">
        <v>294</v>
      </c>
      <c r="D190" s="91" t="s">
        <v>494</v>
      </c>
      <c r="E190" s="92" t="s">
        <v>262</v>
      </c>
      <c r="F190" s="91" t="s">
        <v>247</v>
      </c>
      <c r="G190" s="91" t="s">
        <v>256</v>
      </c>
      <c r="H190" s="91"/>
      <c r="I190" s="91"/>
      <c r="J190" s="91"/>
      <c r="K190" s="93">
        <v>14</v>
      </c>
      <c r="L190" s="93"/>
      <c r="M190" s="94"/>
      <c r="N190" s="91"/>
      <c r="O190" s="26"/>
      <c r="P190" s="93"/>
      <c r="Q190" s="26"/>
      <c r="R190" s="95"/>
      <c r="S190" s="27"/>
    </row>
    <row r="191" spans="1:19" ht="25.5" x14ac:dyDescent="0.2">
      <c r="A191" s="90" t="s">
        <v>236</v>
      </c>
      <c r="B191" s="91" t="s">
        <v>452</v>
      </c>
      <c r="C191" s="91" t="s">
        <v>294</v>
      </c>
      <c r="D191" s="91" t="s">
        <v>495</v>
      </c>
      <c r="E191" s="92" t="s">
        <v>410</v>
      </c>
      <c r="F191" s="91" t="s">
        <v>247</v>
      </c>
      <c r="G191" s="91" t="s">
        <v>188</v>
      </c>
      <c r="H191" s="91" t="s">
        <v>11</v>
      </c>
      <c r="I191" s="91" t="s">
        <v>186</v>
      </c>
      <c r="J191" s="92" t="s">
        <v>189</v>
      </c>
      <c r="K191" s="93">
        <v>12</v>
      </c>
      <c r="L191" s="93">
        <f>K191*VLOOKUP(H191,dagsoorttabel1,2,FALSE)</f>
        <v>9.2307692307692317</v>
      </c>
      <c r="M191" s="94">
        <f>prodnorm2</f>
        <v>0</v>
      </c>
      <c r="N191" s="91" t="s">
        <v>103</v>
      </c>
      <c r="O191" s="26">
        <f>uurtarief2</f>
        <v>0</v>
      </c>
      <c r="P191" s="93" t="e">
        <f>IF(ISBLANK(M191),0,L191/ROUND(M191,4))</f>
        <v>#DIV/0!</v>
      </c>
      <c r="Q191" s="26" t="e">
        <f>ROUND(O191,2)*P191</f>
        <v>#DIV/0!</v>
      </c>
      <c r="R191" s="93" t="e">
        <f>P191*dagenperjaar1</f>
        <v>#DIV/0!</v>
      </c>
      <c r="S191" s="27" t="e">
        <f>R191*ROUND(O191,2)</f>
        <v>#DIV/0!</v>
      </c>
    </row>
    <row r="192" spans="1:19" x14ac:dyDescent="0.2">
      <c r="A192" s="90" t="s">
        <v>236</v>
      </c>
      <c r="B192" s="91" t="s">
        <v>452</v>
      </c>
      <c r="C192" s="91" t="s">
        <v>294</v>
      </c>
      <c r="D192" s="91" t="s">
        <v>496</v>
      </c>
      <c r="E192" s="92" t="s">
        <v>400</v>
      </c>
      <c r="F192" s="91" t="s">
        <v>247</v>
      </c>
      <c r="G192" s="91" t="s">
        <v>206</v>
      </c>
      <c r="H192" s="91" t="s">
        <v>11</v>
      </c>
      <c r="I192" s="91" t="s">
        <v>186</v>
      </c>
      <c r="J192" s="92" t="s">
        <v>207</v>
      </c>
      <c r="K192" s="93">
        <v>57.1</v>
      </c>
      <c r="L192" s="93">
        <f>K192*VLOOKUP(H192,dagsoorttabel1,2,FALSE)</f>
        <v>43.923076923076927</v>
      </c>
      <c r="M192" s="94">
        <f>prodnorm12</f>
        <v>0</v>
      </c>
      <c r="N192" s="91" t="s">
        <v>103</v>
      </c>
      <c r="O192" s="26">
        <f>uurtarief12</f>
        <v>0</v>
      </c>
      <c r="P192" s="93" t="e">
        <f>IF(ISBLANK(M192),0,L192/ROUND(M192,4))</f>
        <v>#DIV/0!</v>
      </c>
      <c r="Q192" s="26" t="e">
        <f>ROUND(O192,2)*P192</f>
        <v>#DIV/0!</v>
      </c>
      <c r="R192" s="93" t="e">
        <f>P192*dagenperjaar1</f>
        <v>#DIV/0!</v>
      </c>
      <c r="S192" s="27" t="e">
        <f>R192*ROUND(O192,2)</f>
        <v>#DIV/0!</v>
      </c>
    </row>
    <row r="193" spans="1:19" ht="25.5" x14ac:dyDescent="0.2">
      <c r="A193" s="90" t="s">
        <v>236</v>
      </c>
      <c r="B193" s="91" t="s">
        <v>452</v>
      </c>
      <c r="C193" s="91" t="s">
        <v>294</v>
      </c>
      <c r="D193" s="91" t="s">
        <v>497</v>
      </c>
      <c r="E193" s="92" t="s">
        <v>471</v>
      </c>
      <c r="F193" s="91" t="s">
        <v>247</v>
      </c>
      <c r="G193" s="91" t="s">
        <v>188</v>
      </c>
      <c r="H193" s="91" t="s">
        <v>11</v>
      </c>
      <c r="I193" s="91" t="s">
        <v>186</v>
      </c>
      <c r="J193" s="92" t="s">
        <v>189</v>
      </c>
      <c r="K193" s="93">
        <v>16.399999999999999</v>
      </c>
      <c r="L193" s="93">
        <f>K193*VLOOKUP(H193,dagsoorttabel1,2,FALSE)</f>
        <v>12.615384615384615</v>
      </c>
      <c r="M193" s="94">
        <f>prodnorm2</f>
        <v>0</v>
      </c>
      <c r="N193" s="91" t="s">
        <v>103</v>
      </c>
      <c r="O193" s="26">
        <f>uurtarief2</f>
        <v>0</v>
      </c>
      <c r="P193" s="93" t="e">
        <f>IF(ISBLANK(M193),0,L193/ROUND(M193,4))</f>
        <v>#DIV/0!</v>
      </c>
      <c r="Q193" s="26" t="e">
        <f>ROUND(O193,2)*P193</f>
        <v>#DIV/0!</v>
      </c>
      <c r="R193" s="93" t="e">
        <f>P193*dagenperjaar1</f>
        <v>#DIV/0!</v>
      </c>
      <c r="S193" s="27" t="e">
        <f>R193*ROUND(O193,2)</f>
        <v>#DIV/0!</v>
      </c>
    </row>
    <row r="194" spans="1:19" ht="25.5" x14ac:dyDescent="0.2">
      <c r="A194" s="90" t="s">
        <v>236</v>
      </c>
      <c r="B194" s="91" t="s">
        <v>452</v>
      </c>
      <c r="C194" s="91" t="s">
        <v>294</v>
      </c>
      <c r="D194" s="91" t="s">
        <v>498</v>
      </c>
      <c r="E194" s="92" t="s">
        <v>471</v>
      </c>
      <c r="F194" s="91" t="s">
        <v>247</v>
      </c>
      <c r="G194" s="91" t="s">
        <v>188</v>
      </c>
      <c r="H194" s="91" t="s">
        <v>11</v>
      </c>
      <c r="I194" s="91" t="s">
        <v>186</v>
      </c>
      <c r="J194" s="92" t="s">
        <v>189</v>
      </c>
      <c r="K194" s="93">
        <v>16.399999999999999</v>
      </c>
      <c r="L194" s="93">
        <f>K194*VLOOKUP(H194,dagsoorttabel1,2,FALSE)</f>
        <v>12.615384615384615</v>
      </c>
      <c r="M194" s="94">
        <f>prodnorm2</f>
        <v>0</v>
      </c>
      <c r="N194" s="91" t="s">
        <v>103</v>
      </c>
      <c r="O194" s="26">
        <f>uurtarief2</f>
        <v>0</v>
      </c>
      <c r="P194" s="93" t="e">
        <f>IF(ISBLANK(M194),0,L194/ROUND(M194,4))</f>
        <v>#DIV/0!</v>
      </c>
      <c r="Q194" s="26" t="e">
        <f>ROUND(O194,2)*P194</f>
        <v>#DIV/0!</v>
      </c>
      <c r="R194" s="93" t="e">
        <f>P194*dagenperjaar1</f>
        <v>#DIV/0!</v>
      </c>
      <c r="S194" s="27" t="e">
        <f>R194*ROUND(O194,2)</f>
        <v>#DIV/0!</v>
      </c>
    </row>
    <row r="195" spans="1:19" x14ac:dyDescent="0.2">
      <c r="A195" s="90" t="s">
        <v>236</v>
      </c>
      <c r="B195" s="91" t="s">
        <v>452</v>
      </c>
      <c r="C195" s="91" t="s">
        <v>294</v>
      </c>
      <c r="D195" s="91" t="s">
        <v>499</v>
      </c>
      <c r="E195" s="92" t="s">
        <v>400</v>
      </c>
      <c r="F195" s="91" t="s">
        <v>247</v>
      </c>
      <c r="G195" s="91" t="s">
        <v>206</v>
      </c>
      <c r="H195" s="91" t="s">
        <v>11</v>
      </c>
      <c r="I195" s="91" t="s">
        <v>186</v>
      </c>
      <c r="J195" s="92" t="s">
        <v>207</v>
      </c>
      <c r="K195" s="93">
        <v>59.5</v>
      </c>
      <c r="L195" s="93">
        <f>K195*VLOOKUP(H195,dagsoorttabel1,2,FALSE)</f>
        <v>45.769230769230774</v>
      </c>
      <c r="M195" s="94">
        <f>prodnorm12</f>
        <v>0</v>
      </c>
      <c r="N195" s="91" t="s">
        <v>103</v>
      </c>
      <c r="O195" s="26">
        <f>uurtarief12</f>
        <v>0</v>
      </c>
      <c r="P195" s="93" t="e">
        <f>IF(ISBLANK(M195),0,L195/ROUND(M195,4))</f>
        <v>#DIV/0!</v>
      </c>
      <c r="Q195" s="26" t="e">
        <f>ROUND(O195,2)*P195</f>
        <v>#DIV/0!</v>
      </c>
      <c r="R195" s="93" t="e">
        <f>P195*dagenperjaar1</f>
        <v>#DIV/0!</v>
      </c>
      <c r="S195" s="27" t="e">
        <f>R195*ROUND(O195,2)</f>
        <v>#DIV/0!</v>
      </c>
    </row>
    <row r="196" spans="1:19" x14ac:dyDescent="0.2">
      <c r="A196" s="90" t="s">
        <v>236</v>
      </c>
      <c r="B196" s="91" t="s">
        <v>452</v>
      </c>
      <c r="C196" s="91" t="s">
        <v>294</v>
      </c>
      <c r="D196" s="91" t="s">
        <v>500</v>
      </c>
      <c r="E196" s="92" t="s">
        <v>400</v>
      </c>
      <c r="F196" s="91" t="s">
        <v>247</v>
      </c>
      <c r="G196" s="91" t="s">
        <v>206</v>
      </c>
      <c r="H196" s="91" t="s">
        <v>11</v>
      </c>
      <c r="I196" s="91" t="s">
        <v>186</v>
      </c>
      <c r="J196" s="92" t="s">
        <v>207</v>
      </c>
      <c r="K196" s="93">
        <v>29.3</v>
      </c>
      <c r="L196" s="93">
        <f>K196*VLOOKUP(H196,dagsoorttabel1,2,FALSE)</f>
        <v>22.53846153846154</v>
      </c>
      <c r="M196" s="94">
        <f>prodnorm12</f>
        <v>0</v>
      </c>
      <c r="N196" s="91" t="s">
        <v>103</v>
      </c>
      <c r="O196" s="26">
        <f>uurtarief12</f>
        <v>0</v>
      </c>
      <c r="P196" s="93" t="e">
        <f>IF(ISBLANK(M196),0,L196/ROUND(M196,4))</f>
        <v>#DIV/0!</v>
      </c>
      <c r="Q196" s="26" t="e">
        <f>ROUND(O196,2)*P196</f>
        <v>#DIV/0!</v>
      </c>
      <c r="R196" s="93" t="e">
        <f>P196*dagenperjaar1</f>
        <v>#DIV/0!</v>
      </c>
      <c r="S196" s="27" t="e">
        <f>R196*ROUND(O196,2)</f>
        <v>#DIV/0!</v>
      </c>
    </row>
    <row r="197" spans="1:19" x14ac:dyDescent="0.2">
      <c r="A197" s="90" t="s">
        <v>236</v>
      </c>
      <c r="B197" s="91" t="s">
        <v>452</v>
      </c>
      <c r="C197" s="91" t="s">
        <v>294</v>
      </c>
      <c r="D197" s="91" t="s">
        <v>501</v>
      </c>
      <c r="E197" s="92" t="s">
        <v>400</v>
      </c>
      <c r="F197" s="91" t="s">
        <v>247</v>
      </c>
      <c r="G197" s="91" t="s">
        <v>206</v>
      </c>
      <c r="H197" s="91" t="s">
        <v>11</v>
      </c>
      <c r="I197" s="91" t="s">
        <v>186</v>
      </c>
      <c r="J197" s="92" t="s">
        <v>207</v>
      </c>
      <c r="K197" s="93">
        <v>29.3</v>
      </c>
      <c r="L197" s="93">
        <f>K197*VLOOKUP(H197,dagsoorttabel1,2,FALSE)</f>
        <v>22.53846153846154</v>
      </c>
      <c r="M197" s="94">
        <f>prodnorm12</f>
        <v>0</v>
      </c>
      <c r="N197" s="91" t="s">
        <v>103</v>
      </c>
      <c r="O197" s="26">
        <f>uurtarief12</f>
        <v>0</v>
      </c>
      <c r="P197" s="93" t="e">
        <f>IF(ISBLANK(M197),0,L197/ROUND(M197,4))</f>
        <v>#DIV/0!</v>
      </c>
      <c r="Q197" s="26" t="e">
        <f>ROUND(O197,2)*P197</f>
        <v>#DIV/0!</v>
      </c>
      <c r="R197" s="93" t="e">
        <f>P197*dagenperjaar1</f>
        <v>#DIV/0!</v>
      </c>
      <c r="S197" s="27" t="e">
        <f>R197*ROUND(O197,2)</f>
        <v>#DIV/0!</v>
      </c>
    </row>
    <row r="198" spans="1:19" x14ac:dyDescent="0.2">
      <c r="A198" s="90" t="s">
        <v>236</v>
      </c>
      <c r="B198" s="91" t="s">
        <v>452</v>
      </c>
      <c r="C198" s="91" t="s">
        <v>294</v>
      </c>
      <c r="D198" s="91" t="s">
        <v>502</v>
      </c>
      <c r="E198" s="92" t="s">
        <v>400</v>
      </c>
      <c r="F198" s="91" t="s">
        <v>247</v>
      </c>
      <c r="G198" s="91" t="s">
        <v>206</v>
      </c>
      <c r="H198" s="91" t="s">
        <v>11</v>
      </c>
      <c r="I198" s="91" t="s">
        <v>186</v>
      </c>
      <c r="J198" s="92" t="s">
        <v>207</v>
      </c>
      <c r="K198" s="93">
        <v>60.7</v>
      </c>
      <c r="L198" s="93">
        <f>K198*VLOOKUP(H198,dagsoorttabel1,2,FALSE)</f>
        <v>46.692307692307701</v>
      </c>
      <c r="M198" s="94">
        <f>prodnorm12</f>
        <v>0</v>
      </c>
      <c r="N198" s="91" t="s">
        <v>103</v>
      </c>
      <c r="O198" s="26">
        <f>uurtarief12</f>
        <v>0</v>
      </c>
      <c r="P198" s="93" t="e">
        <f>IF(ISBLANK(M198),0,L198/ROUND(M198,4))</f>
        <v>#DIV/0!</v>
      </c>
      <c r="Q198" s="26" t="e">
        <f>ROUND(O198,2)*P198</f>
        <v>#DIV/0!</v>
      </c>
      <c r="R198" s="93" t="e">
        <f>P198*dagenperjaar1</f>
        <v>#DIV/0!</v>
      </c>
      <c r="S198" s="27" t="e">
        <f>R198*ROUND(O198,2)</f>
        <v>#DIV/0!</v>
      </c>
    </row>
    <row r="199" spans="1:19" x14ac:dyDescent="0.2">
      <c r="A199" s="90" t="s">
        <v>236</v>
      </c>
      <c r="B199" s="91" t="s">
        <v>452</v>
      </c>
      <c r="C199" s="91" t="s">
        <v>294</v>
      </c>
      <c r="D199" s="91" t="s">
        <v>503</v>
      </c>
      <c r="E199" s="92" t="s">
        <v>262</v>
      </c>
      <c r="F199" s="91" t="s">
        <v>247</v>
      </c>
      <c r="G199" s="91" t="s">
        <v>256</v>
      </c>
      <c r="H199" s="91"/>
      <c r="I199" s="91"/>
      <c r="J199" s="91"/>
      <c r="K199" s="93">
        <v>7.3</v>
      </c>
      <c r="L199" s="93"/>
      <c r="M199" s="94"/>
      <c r="N199" s="91"/>
      <c r="O199" s="26"/>
      <c r="P199" s="93"/>
      <c r="Q199" s="26"/>
      <c r="R199" s="95"/>
      <c r="S199" s="27"/>
    </row>
    <row r="200" spans="1:19" ht="25.5" x14ac:dyDescent="0.2">
      <c r="A200" s="90" t="s">
        <v>236</v>
      </c>
      <c r="B200" s="91" t="s">
        <v>452</v>
      </c>
      <c r="C200" s="91" t="s">
        <v>294</v>
      </c>
      <c r="D200" s="91" t="s">
        <v>504</v>
      </c>
      <c r="E200" s="92" t="s">
        <v>505</v>
      </c>
      <c r="F200" s="91" t="s">
        <v>247</v>
      </c>
      <c r="G200" s="91" t="s">
        <v>188</v>
      </c>
      <c r="H200" s="91" t="s">
        <v>11</v>
      </c>
      <c r="I200" s="91" t="s">
        <v>186</v>
      </c>
      <c r="J200" s="92" t="s">
        <v>189</v>
      </c>
      <c r="K200" s="93">
        <v>22.1</v>
      </c>
      <c r="L200" s="93">
        <f>K200*VLOOKUP(H200,dagsoorttabel1,2,FALSE)</f>
        <v>17.000000000000004</v>
      </c>
      <c r="M200" s="94">
        <f>prodnorm2</f>
        <v>0</v>
      </c>
      <c r="N200" s="91" t="s">
        <v>103</v>
      </c>
      <c r="O200" s="26">
        <f>uurtarief2</f>
        <v>0</v>
      </c>
      <c r="P200" s="93" t="e">
        <f>IF(ISBLANK(M200),0,L200/ROUND(M200,4))</f>
        <v>#DIV/0!</v>
      </c>
      <c r="Q200" s="26" t="e">
        <f>ROUND(O200,2)*P200</f>
        <v>#DIV/0!</v>
      </c>
      <c r="R200" s="93" t="e">
        <f>P200*dagenperjaar1</f>
        <v>#DIV/0!</v>
      </c>
      <c r="S200" s="27" t="e">
        <f>R200*ROUND(O200,2)</f>
        <v>#DIV/0!</v>
      </c>
    </row>
    <row r="201" spans="1:19" ht="25.5" x14ac:dyDescent="0.2">
      <c r="A201" s="90" t="s">
        <v>236</v>
      </c>
      <c r="B201" s="91" t="s">
        <v>452</v>
      </c>
      <c r="C201" s="91" t="s">
        <v>294</v>
      </c>
      <c r="D201" s="91" t="s">
        <v>506</v>
      </c>
      <c r="E201" s="92" t="s">
        <v>507</v>
      </c>
      <c r="F201" s="91" t="s">
        <v>247</v>
      </c>
      <c r="G201" s="91" t="s">
        <v>188</v>
      </c>
      <c r="H201" s="91" t="s">
        <v>11</v>
      </c>
      <c r="I201" s="91" t="s">
        <v>186</v>
      </c>
      <c r="J201" s="92" t="s">
        <v>189</v>
      </c>
      <c r="K201" s="93">
        <v>16.5</v>
      </c>
      <c r="L201" s="93">
        <f>K201*VLOOKUP(H201,dagsoorttabel1,2,FALSE)</f>
        <v>12.692307692307693</v>
      </c>
      <c r="M201" s="94">
        <f>prodnorm2</f>
        <v>0</v>
      </c>
      <c r="N201" s="91" t="s">
        <v>103</v>
      </c>
      <c r="O201" s="26">
        <f>uurtarief2</f>
        <v>0</v>
      </c>
      <c r="P201" s="93" t="e">
        <f>IF(ISBLANK(M201),0,L201/ROUND(M201,4))</f>
        <v>#DIV/0!</v>
      </c>
      <c r="Q201" s="26" t="e">
        <f>ROUND(O201,2)*P201</f>
        <v>#DIV/0!</v>
      </c>
      <c r="R201" s="93" t="e">
        <f>P201*dagenperjaar1</f>
        <v>#DIV/0!</v>
      </c>
      <c r="S201" s="27" t="e">
        <f>R201*ROUND(O201,2)</f>
        <v>#DIV/0!</v>
      </c>
    </row>
    <row r="202" spans="1:19" ht="25.5" x14ac:dyDescent="0.2">
      <c r="A202" s="90" t="s">
        <v>236</v>
      </c>
      <c r="B202" s="91" t="s">
        <v>452</v>
      </c>
      <c r="C202" s="91" t="s">
        <v>294</v>
      </c>
      <c r="D202" s="91" t="s">
        <v>508</v>
      </c>
      <c r="E202" s="92" t="s">
        <v>509</v>
      </c>
      <c r="F202" s="91" t="s">
        <v>247</v>
      </c>
      <c r="G202" s="91" t="s">
        <v>188</v>
      </c>
      <c r="H202" s="91" t="s">
        <v>11</v>
      </c>
      <c r="I202" s="91" t="s">
        <v>186</v>
      </c>
      <c r="J202" s="92" t="s">
        <v>189</v>
      </c>
      <c r="K202" s="93">
        <v>16.5</v>
      </c>
      <c r="L202" s="93">
        <f>K202*VLOOKUP(H202,dagsoorttabel1,2,FALSE)</f>
        <v>12.692307692307693</v>
      </c>
      <c r="M202" s="94">
        <f>prodnorm2</f>
        <v>0</v>
      </c>
      <c r="N202" s="91" t="s">
        <v>103</v>
      </c>
      <c r="O202" s="26">
        <f>uurtarief2</f>
        <v>0</v>
      </c>
      <c r="P202" s="93" t="e">
        <f>IF(ISBLANK(M202),0,L202/ROUND(M202,4))</f>
        <v>#DIV/0!</v>
      </c>
      <c r="Q202" s="26" t="e">
        <f>ROUND(O202,2)*P202</f>
        <v>#DIV/0!</v>
      </c>
      <c r="R202" s="93" t="e">
        <f>P202*dagenperjaar1</f>
        <v>#DIV/0!</v>
      </c>
      <c r="S202" s="27" t="e">
        <f>R202*ROUND(O202,2)</f>
        <v>#DIV/0!</v>
      </c>
    </row>
    <row r="203" spans="1:19" ht="25.5" x14ac:dyDescent="0.2">
      <c r="A203" s="90" t="s">
        <v>236</v>
      </c>
      <c r="B203" s="91" t="s">
        <v>452</v>
      </c>
      <c r="C203" s="91" t="s">
        <v>294</v>
      </c>
      <c r="D203" s="91" t="s">
        <v>510</v>
      </c>
      <c r="E203" s="92" t="s">
        <v>505</v>
      </c>
      <c r="F203" s="91" t="s">
        <v>247</v>
      </c>
      <c r="G203" s="91" t="s">
        <v>188</v>
      </c>
      <c r="H203" s="91" t="s">
        <v>11</v>
      </c>
      <c r="I203" s="91" t="s">
        <v>186</v>
      </c>
      <c r="J203" s="92" t="s">
        <v>189</v>
      </c>
      <c r="K203" s="93">
        <v>23.6</v>
      </c>
      <c r="L203" s="93">
        <f>K203*VLOOKUP(H203,dagsoorttabel1,2,FALSE)</f>
        <v>18.153846153846157</v>
      </c>
      <c r="M203" s="94">
        <f>prodnorm2</f>
        <v>0</v>
      </c>
      <c r="N203" s="91" t="s">
        <v>103</v>
      </c>
      <c r="O203" s="26">
        <f>uurtarief2</f>
        <v>0</v>
      </c>
      <c r="P203" s="93" t="e">
        <f>IF(ISBLANK(M203),0,L203/ROUND(M203,4))</f>
        <v>#DIV/0!</v>
      </c>
      <c r="Q203" s="26" t="e">
        <f>ROUND(O203,2)*P203</f>
        <v>#DIV/0!</v>
      </c>
      <c r="R203" s="93" t="e">
        <f>P203*dagenperjaar1</f>
        <v>#DIV/0!</v>
      </c>
      <c r="S203" s="27" t="e">
        <f>R203*ROUND(O203,2)</f>
        <v>#DIV/0!</v>
      </c>
    </row>
    <row r="204" spans="1:19" ht="25.5" x14ac:dyDescent="0.2">
      <c r="A204" s="90" t="s">
        <v>236</v>
      </c>
      <c r="B204" s="91" t="s">
        <v>452</v>
      </c>
      <c r="C204" s="91" t="s">
        <v>294</v>
      </c>
      <c r="D204" s="91" t="s">
        <v>511</v>
      </c>
      <c r="E204" s="92" t="s">
        <v>512</v>
      </c>
      <c r="F204" s="91" t="s">
        <v>247</v>
      </c>
      <c r="G204" s="91" t="s">
        <v>188</v>
      </c>
      <c r="H204" s="91" t="s">
        <v>11</v>
      </c>
      <c r="I204" s="91" t="s">
        <v>186</v>
      </c>
      <c r="J204" s="92" t="s">
        <v>189</v>
      </c>
      <c r="K204" s="93">
        <v>11.4</v>
      </c>
      <c r="L204" s="93">
        <f>K204*VLOOKUP(H204,dagsoorttabel1,2,FALSE)</f>
        <v>8.7692307692307701</v>
      </c>
      <c r="M204" s="94">
        <f>prodnorm2</f>
        <v>0</v>
      </c>
      <c r="N204" s="91" t="s">
        <v>103</v>
      </c>
      <c r="O204" s="26">
        <f>uurtarief2</f>
        <v>0</v>
      </c>
      <c r="P204" s="93" t="e">
        <f>IF(ISBLANK(M204),0,L204/ROUND(M204,4))</f>
        <v>#DIV/0!</v>
      </c>
      <c r="Q204" s="26" t="e">
        <f>ROUND(O204,2)*P204</f>
        <v>#DIV/0!</v>
      </c>
      <c r="R204" s="93" t="e">
        <f>P204*dagenperjaar1</f>
        <v>#DIV/0!</v>
      </c>
      <c r="S204" s="27" t="e">
        <f>R204*ROUND(O204,2)</f>
        <v>#DIV/0!</v>
      </c>
    </row>
    <row r="205" spans="1:19" ht="25.5" x14ac:dyDescent="0.2">
      <c r="A205" s="90" t="s">
        <v>236</v>
      </c>
      <c r="B205" s="91" t="s">
        <v>452</v>
      </c>
      <c r="C205" s="91" t="s">
        <v>294</v>
      </c>
      <c r="D205" s="91" t="s">
        <v>513</v>
      </c>
      <c r="E205" s="92" t="s">
        <v>514</v>
      </c>
      <c r="F205" s="91" t="s">
        <v>247</v>
      </c>
      <c r="G205" s="91" t="s">
        <v>188</v>
      </c>
      <c r="H205" s="91" t="s">
        <v>11</v>
      </c>
      <c r="I205" s="91" t="s">
        <v>186</v>
      </c>
      <c r="J205" s="92" t="s">
        <v>189</v>
      </c>
      <c r="K205" s="93">
        <v>11.3</v>
      </c>
      <c r="L205" s="93">
        <f>K205*VLOOKUP(H205,dagsoorttabel1,2,FALSE)</f>
        <v>8.6923076923076934</v>
      </c>
      <c r="M205" s="94">
        <f>prodnorm2</f>
        <v>0</v>
      </c>
      <c r="N205" s="91" t="s">
        <v>103</v>
      </c>
      <c r="O205" s="26">
        <f>uurtarief2</f>
        <v>0</v>
      </c>
      <c r="P205" s="93" t="e">
        <f>IF(ISBLANK(M205),0,L205/ROUND(M205,4))</f>
        <v>#DIV/0!</v>
      </c>
      <c r="Q205" s="26" t="e">
        <f>ROUND(O205,2)*P205</f>
        <v>#DIV/0!</v>
      </c>
      <c r="R205" s="93" t="e">
        <f>P205*dagenperjaar1</f>
        <v>#DIV/0!</v>
      </c>
      <c r="S205" s="27" t="e">
        <f>R205*ROUND(O205,2)</f>
        <v>#DIV/0!</v>
      </c>
    </row>
    <row r="206" spans="1:19" ht="25.5" x14ac:dyDescent="0.2">
      <c r="A206" s="90" t="s">
        <v>236</v>
      </c>
      <c r="B206" s="91" t="s">
        <v>452</v>
      </c>
      <c r="C206" s="91" t="s">
        <v>294</v>
      </c>
      <c r="D206" s="91" t="s">
        <v>515</v>
      </c>
      <c r="E206" s="92" t="s">
        <v>516</v>
      </c>
      <c r="F206" s="91" t="s">
        <v>247</v>
      </c>
      <c r="G206" s="91" t="s">
        <v>188</v>
      </c>
      <c r="H206" s="91" t="s">
        <v>11</v>
      </c>
      <c r="I206" s="91" t="s">
        <v>186</v>
      </c>
      <c r="J206" s="92" t="s">
        <v>189</v>
      </c>
      <c r="K206" s="93">
        <v>11.3</v>
      </c>
      <c r="L206" s="93">
        <f>K206*VLOOKUP(H206,dagsoorttabel1,2,FALSE)</f>
        <v>8.6923076923076934</v>
      </c>
      <c r="M206" s="94">
        <f>prodnorm2</f>
        <v>0</v>
      </c>
      <c r="N206" s="91" t="s">
        <v>103</v>
      </c>
      <c r="O206" s="26">
        <f>uurtarief2</f>
        <v>0</v>
      </c>
      <c r="P206" s="93" t="e">
        <f>IF(ISBLANK(M206),0,L206/ROUND(M206,4))</f>
        <v>#DIV/0!</v>
      </c>
      <c r="Q206" s="26" t="e">
        <f>ROUND(O206,2)*P206</f>
        <v>#DIV/0!</v>
      </c>
      <c r="R206" s="93" t="e">
        <f>P206*dagenperjaar1</f>
        <v>#DIV/0!</v>
      </c>
      <c r="S206" s="27" t="e">
        <f>R206*ROUND(O206,2)</f>
        <v>#DIV/0!</v>
      </c>
    </row>
    <row r="207" spans="1:19" ht="25.5" x14ac:dyDescent="0.2">
      <c r="A207" s="90" t="s">
        <v>236</v>
      </c>
      <c r="B207" s="91" t="s">
        <v>452</v>
      </c>
      <c r="C207" s="91" t="s">
        <v>294</v>
      </c>
      <c r="D207" s="91" t="s">
        <v>517</v>
      </c>
      <c r="E207" s="92" t="s">
        <v>518</v>
      </c>
      <c r="F207" s="91" t="s">
        <v>247</v>
      </c>
      <c r="G207" s="91" t="s">
        <v>188</v>
      </c>
      <c r="H207" s="91" t="s">
        <v>11</v>
      </c>
      <c r="I207" s="91" t="s">
        <v>186</v>
      </c>
      <c r="J207" s="92" t="s">
        <v>189</v>
      </c>
      <c r="K207" s="93">
        <v>14.5</v>
      </c>
      <c r="L207" s="93">
        <f>K207*VLOOKUP(H207,dagsoorttabel1,2,FALSE)</f>
        <v>11.153846153846155</v>
      </c>
      <c r="M207" s="94">
        <f>prodnorm2</f>
        <v>0</v>
      </c>
      <c r="N207" s="91" t="s">
        <v>103</v>
      </c>
      <c r="O207" s="26">
        <f>uurtarief2</f>
        <v>0</v>
      </c>
      <c r="P207" s="93" t="e">
        <f>IF(ISBLANK(M207),0,L207/ROUND(M207,4))</f>
        <v>#DIV/0!</v>
      </c>
      <c r="Q207" s="26" t="e">
        <f>ROUND(O207,2)*P207</f>
        <v>#DIV/0!</v>
      </c>
      <c r="R207" s="93" t="e">
        <f>P207*dagenperjaar1</f>
        <v>#DIV/0!</v>
      </c>
      <c r="S207" s="27" t="e">
        <f>R207*ROUND(O207,2)</f>
        <v>#DIV/0!</v>
      </c>
    </row>
    <row r="208" spans="1:19" ht="25.5" x14ac:dyDescent="0.2">
      <c r="A208" s="90" t="s">
        <v>236</v>
      </c>
      <c r="B208" s="91" t="s">
        <v>452</v>
      </c>
      <c r="C208" s="91" t="s">
        <v>294</v>
      </c>
      <c r="D208" s="91" t="s">
        <v>519</v>
      </c>
      <c r="E208" s="92" t="s">
        <v>520</v>
      </c>
      <c r="F208" s="91" t="s">
        <v>247</v>
      </c>
      <c r="G208" s="91" t="s">
        <v>188</v>
      </c>
      <c r="H208" s="91" t="s">
        <v>11</v>
      </c>
      <c r="I208" s="91" t="s">
        <v>186</v>
      </c>
      <c r="J208" s="92" t="s">
        <v>189</v>
      </c>
      <c r="K208" s="93">
        <v>15.9</v>
      </c>
      <c r="L208" s="93">
        <f>K208*VLOOKUP(H208,dagsoorttabel1,2,FALSE)</f>
        <v>12.230769230769232</v>
      </c>
      <c r="M208" s="94">
        <f>prodnorm2</f>
        <v>0</v>
      </c>
      <c r="N208" s="91" t="s">
        <v>103</v>
      </c>
      <c r="O208" s="26">
        <f>uurtarief2</f>
        <v>0</v>
      </c>
      <c r="P208" s="93" t="e">
        <f>IF(ISBLANK(M208),0,L208/ROUND(M208,4))</f>
        <v>#DIV/0!</v>
      </c>
      <c r="Q208" s="26" t="e">
        <f>ROUND(O208,2)*P208</f>
        <v>#DIV/0!</v>
      </c>
      <c r="R208" s="93" t="e">
        <f>P208*dagenperjaar1</f>
        <v>#DIV/0!</v>
      </c>
      <c r="S208" s="27" t="e">
        <f>R208*ROUND(O208,2)</f>
        <v>#DIV/0!</v>
      </c>
    </row>
    <row r="209" spans="1:19" ht="25.5" x14ac:dyDescent="0.2">
      <c r="A209" s="90" t="s">
        <v>236</v>
      </c>
      <c r="B209" s="91" t="s">
        <v>452</v>
      </c>
      <c r="C209" s="91" t="s">
        <v>294</v>
      </c>
      <c r="D209" s="91" t="s">
        <v>521</v>
      </c>
      <c r="E209" s="92" t="s">
        <v>331</v>
      </c>
      <c r="F209" s="91" t="s">
        <v>37</v>
      </c>
      <c r="G209" s="91" t="s">
        <v>222</v>
      </c>
      <c r="H209" s="91" t="s">
        <v>11</v>
      </c>
      <c r="I209" s="91" t="s">
        <v>186</v>
      </c>
      <c r="J209" s="92" t="s">
        <v>223</v>
      </c>
      <c r="K209" s="93">
        <v>47.3</v>
      </c>
      <c r="L209" s="93">
        <f>K209*VLOOKUP(H209,dagsoorttabel1,2,FALSE)</f>
        <v>36.384615384615387</v>
      </c>
      <c r="M209" s="94">
        <f>prodnorm20</f>
        <v>0</v>
      </c>
      <c r="N209" s="91" t="s">
        <v>103</v>
      </c>
      <c r="O209" s="26">
        <f>uurtarief20</f>
        <v>0</v>
      </c>
      <c r="P209" s="93" t="e">
        <f>IF(ISBLANK(M209),0,L209/ROUND(M209,4))</f>
        <v>#DIV/0!</v>
      </c>
      <c r="Q209" s="26" t="e">
        <f>ROUND(O209,2)*P209</f>
        <v>#DIV/0!</v>
      </c>
      <c r="R209" s="93" t="e">
        <f>P209*dagenperjaar1</f>
        <v>#DIV/0!</v>
      </c>
      <c r="S209" s="27" t="e">
        <f>R209*ROUND(O209,2)</f>
        <v>#DIV/0!</v>
      </c>
    </row>
    <row r="210" spans="1:19" x14ac:dyDescent="0.2">
      <c r="A210" s="90" t="s">
        <v>236</v>
      </c>
      <c r="B210" s="91" t="s">
        <v>452</v>
      </c>
      <c r="C210" s="91" t="s">
        <v>294</v>
      </c>
      <c r="D210" s="91" t="s">
        <v>522</v>
      </c>
      <c r="E210" s="92" t="s">
        <v>523</v>
      </c>
      <c r="F210" s="91" t="s">
        <v>247</v>
      </c>
      <c r="G210" s="91" t="s">
        <v>212</v>
      </c>
      <c r="H210" s="91" t="s">
        <v>11</v>
      </c>
      <c r="I210" s="91" t="s">
        <v>186</v>
      </c>
      <c r="J210" s="92" t="s">
        <v>213</v>
      </c>
      <c r="K210" s="93">
        <v>1.5</v>
      </c>
      <c r="L210" s="93">
        <f>K210*VLOOKUP(H210,dagsoorttabel1,2,FALSE)</f>
        <v>1.153846153846154</v>
      </c>
      <c r="M210" s="94">
        <f>prodnorm15</f>
        <v>0</v>
      </c>
      <c r="N210" s="91" t="s">
        <v>103</v>
      </c>
      <c r="O210" s="26">
        <f>uurtarief15</f>
        <v>0</v>
      </c>
      <c r="P210" s="93" t="e">
        <f>IF(ISBLANK(M210),0,L210/ROUND(M210,4))</f>
        <v>#DIV/0!</v>
      </c>
      <c r="Q210" s="26" t="e">
        <f>ROUND(O210,2)*P210</f>
        <v>#DIV/0!</v>
      </c>
      <c r="R210" s="93" t="e">
        <f>P210*dagenperjaar1</f>
        <v>#DIV/0!</v>
      </c>
      <c r="S210" s="27" t="e">
        <f>R210*ROUND(O210,2)</f>
        <v>#DIV/0!</v>
      </c>
    </row>
    <row r="211" spans="1:19" x14ac:dyDescent="0.2">
      <c r="A211" s="90" t="s">
        <v>236</v>
      </c>
      <c r="B211" s="91" t="s">
        <v>452</v>
      </c>
      <c r="C211" s="91" t="s">
        <v>294</v>
      </c>
      <c r="D211" s="91" t="s">
        <v>524</v>
      </c>
      <c r="E211" s="92" t="s">
        <v>279</v>
      </c>
      <c r="F211" s="91" t="s">
        <v>265</v>
      </c>
      <c r="G211" s="91" t="s">
        <v>256</v>
      </c>
      <c r="H211" s="91"/>
      <c r="I211" s="91"/>
      <c r="J211" s="91"/>
      <c r="K211" s="93">
        <v>7.1</v>
      </c>
      <c r="L211" s="93"/>
      <c r="M211" s="94"/>
      <c r="N211" s="91"/>
      <c r="O211" s="26"/>
      <c r="P211" s="93"/>
      <c r="Q211" s="26"/>
      <c r="R211" s="95"/>
      <c r="S211" s="27"/>
    </row>
    <row r="212" spans="1:19" x14ac:dyDescent="0.2">
      <c r="A212" s="90" t="s">
        <v>236</v>
      </c>
      <c r="B212" s="91" t="s">
        <v>452</v>
      </c>
      <c r="C212" s="91" t="s">
        <v>294</v>
      </c>
      <c r="D212" s="91" t="s">
        <v>525</v>
      </c>
      <c r="E212" s="92" t="s">
        <v>526</v>
      </c>
      <c r="F212" s="91" t="s">
        <v>288</v>
      </c>
      <c r="G212" s="91" t="s">
        <v>216</v>
      </c>
      <c r="H212" s="91" t="s">
        <v>11</v>
      </c>
      <c r="I212" s="91" t="s">
        <v>186</v>
      </c>
      <c r="J212" s="92" t="s">
        <v>217</v>
      </c>
      <c r="K212" s="93">
        <v>2.4</v>
      </c>
      <c r="L212" s="93">
        <f>K212*VLOOKUP(H212,dagsoorttabel1,2,FALSE)</f>
        <v>1.8461538461538463</v>
      </c>
      <c r="M212" s="94">
        <f>prodnorm17</f>
        <v>0</v>
      </c>
      <c r="N212" s="91" t="s">
        <v>103</v>
      </c>
      <c r="O212" s="26">
        <f>uurtarief17</f>
        <v>0</v>
      </c>
      <c r="P212" s="93" t="e">
        <f>IF(ISBLANK(M212),0,L212/ROUND(M212,4))</f>
        <v>#DIV/0!</v>
      </c>
      <c r="Q212" s="26" t="e">
        <f>ROUND(O212,2)*P212</f>
        <v>#DIV/0!</v>
      </c>
      <c r="R212" s="93" t="e">
        <f>P212*dagenperjaar1</f>
        <v>#DIV/0!</v>
      </c>
      <c r="S212" s="27" t="e">
        <f>R212*ROUND(O212,2)</f>
        <v>#DIV/0!</v>
      </c>
    </row>
    <row r="213" spans="1:19" x14ac:dyDescent="0.2">
      <c r="A213" s="90" t="s">
        <v>236</v>
      </c>
      <c r="B213" s="91" t="s">
        <v>452</v>
      </c>
      <c r="C213" s="91" t="s">
        <v>294</v>
      </c>
      <c r="D213" s="91" t="s">
        <v>525</v>
      </c>
      <c r="E213" s="92" t="s">
        <v>526</v>
      </c>
      <c r="F213" s="91" t="s">
        <v>288</v>
      </c>
      <c r="G213" s="91" t="s">
        <v>218</v>
      </c>
      <c r="H213" s="91" t="s">
        <v>11</v>
      </c>
      <c r="I213" s="91" t="s">
        <v>186</v>
      </c>
      <c r="J213" s="92" t="s">
        <v>219</v>
      </c>
      <c r="K213" s="93">
        <v>2.4</v>
      </c>
      <c r="L213" s="93">
        <f>K213*VLOOKUP(H213,dagsoorttabel1,2,FALSE)</f>
        <v>1.8461538461538463</v>
      </c>
      <c r="M213" s="94">
        <f>prodnorm18</f>
        <v>0</v>
      </c>
      <c r="N213" s="91" t="s">
        <v>103</v>
      </c>
      <c r="O213" s="26">
        <f>uurtarief18</f>
        <v>0</v>
      </c>
      <c r="P213" s="93" t="e">
        <f>IF(ISBLANK(M213),0,L213/ROUND(M213,4))</f>
        <v>#DIV/0!</v>
      </c>
      <c r="Q213" s="26" t="e">
        <f>ROUND(O213,2)*P213</f>
        <v>#DIV/0!</v>
      </c>
      <c r="R213" s="93" t="e">
        <f>P213*dagenperjaar1</f>
        <v>#DIV/0!</v>
      </c>
      <c r="S213" s="27" t="e">
        <f>R213*ROUND(O213,2)</f>
        <v>#DIV/0!</v>
      </c>
    </row>
    <row r="214" spans="1:19" x14ac:dyDescent="0.2">
      <c r="A214" s="90" t="s">
        <v>236</v>
      </c>
      <c r="B214" s="91" t="s">
        <v>452</v>
      </c>
      <c r="C214" s="91" t="s">
        <v>294</v>
      </c>
      <c r="D214" s="91" t="s">
        <v>527</v>
      </c>
      <c r="E214" s="92" t="s">
        <v>526</v>
      </c>
      <c r="F214" s="91" t="s">
        <v>288</v>
      </c>
      <c r="G214" s="91" t="s">
        <v>216</v>
      </c>
      <c r="H214" s="91" t="s">
        <v>11</v>
      </c>
      <c r="I214" s="91" t="s">
        <v>186</v>
      </c>
      <c r="J214" s="92" t="s">
        <v>217</v>
      </c>
      <c r="K214" s="93">
        <v>1.2</v>
      </c>
      <c r="L214" s="93">
        <f>K214*VLOOKUP(H214,dagsoorttabel1,2,FALSE)</f>
        <v>0.92307692307692313</v>
      </c>
      <c r="M214" s="94">
        <f>prodnorm17</f>
        <v>0</v>
      </c>
      <c r="N214" s="91" t="s">
        <v>103</v>
      </c>
      <c r="O214" s="26">
        <f>uurtarief17</f>
        <v>0</v>
      </c>
      <c r="P214" s="93" t="e">
        <f>IF(ISBLANK(M214),0,L214/ROUND(M214,4))</f>
        <v>#DIV/0!</v>
      </c>
      <c r="Q214" s="26" t="e">
        <f>ROUND(O214,2)*P214</f>
        <v>#DIV/0!</v>
      </c>
      <c r="R214" s="93" t="e">
        <f>P214*dagenperjaar1</f>
        <v>#DIV/0!</v>
      </c>
      <c r="S214" s="27" t="e">
        <f>R214*ROUND(O214,2)</f>
        <v>#DIV/0!</v>
      </c>
    </row>
    <row r="215" spans="1:19" x14ac:dyDescent="0.2">
      <c r="A215" s="90" t="s">
        <v>236</v>
      </c>
      <c r="B215" s="91" t="s">
        <v>452</v>
      </c>
      <c r="C215" s="91" t="s">
        <v>294</v>
      </c>
      <c r="D215" s="91" t="s">
        <v>527</v>
      </c>
      <c r="E215" s="92" t="s">
        <v>526</v>
      </c>
      <c r="F215" s="91" t="s">
        <v>288</v>
      </c>
      <c r="G215" s="91" t="s">
        <v>218</v>
      </c>
      <c r="H215" s="91" t="s">
        <v>11</v>
      </c>
      <c r="I215" s="91" t="s">
        <v>186</v>
      </c>
      <c r="J215" s="92" t="s">
        <v>219</v>
      </c>
      <c r="K215" s="93">
        <v>1.2</v>
      </c>
      <c r="L215" s="93">
        <f>K215*VLOOKUP(H215,dagsoorttabel1,2,FALSE)</f>
        <v>0.92307692307692313</v>
      </c>
      <c r="M215" s="94">
        <f>prodnorm18</f>
        <v>0</v>
      </c>
      <c r="N215" s="91" t="s">
        <v>103</v>
      </c>
      <c r="O215" s="26">
        <f>uurtarief18</f>
        <v>0</v>
      </c>
      <c r="P215" s="93" t="e">
        <f>IF(ISBLANK(M215),0,L215/ROUND(M215,4))</f>
        <v>#DIV/0!</v>
      </c>
      <c r="Q215" s="26" t="e">
        <f>ROUND(O215,2)*P215</f>
        <v>#DIV/0!</v>
      </c>
      <c r="R215" s="93" t="e">
        <f>P215*dagenperjaar1</f>
        <v>#DIV/0!</v>
      </c>
      <c r="S215" s="27" t="e">
        <f>R215*ROUND(O215,2)</f>
        <v>#DIV/0!</v>
      </c>
    </row>
    <row r="216" spans="1:19" x14ac:dyDescent="0.2">
      <c r="A216" s="90" t="s">
        <v>236</v>
      </c>
      <c r="B216" s="91" t="s">
        <v>452</v>
      </c>
      <c r="C216" s="91" t="s">
        <v>294</v>
      </c>
      <c r="D216" s="91" t="s">
        <v>528</v>
      </c>
      <c r="E216" s="92" t="s">
        <v>529</v>
      </c>
      <c r="F216" s="91" t="s">
        <v>247</v>
      </c>
      <c r="G216" s="91" t="s">
        <v>256</v>
      </c>
      <c r="H216" s="91"/>
      <c r="I216" s="91"/>
      <c r="J216" s="91"/>
      <c r="K216" s="93">
        <v>12.8</v>
      </c>
      <c r="L216" s="93"/>
      <c r="M216" s="94"/>
      <c r="N216" s="91"/>
      <c r="O216" s="26"/>
      <c r="P216" s="93"/>
      <c r="Q216" s="26"/>
      <c r="R216" s="95"/>
      <c r="S216" s="27"/>
    </row>
    <row r="217" spans="1:19" ht="25.5" x14ac:dyDescent="0.2">
      <c r="A217" s="90" t="s">
        <v>236</v>
      </c>
      <c r="B217" s="91" t="s">
        <v>452</v>
      </c>
      <c r="C217" s="91" t="s">
        <v>294</v>
      </c>
      <c r="D217" s="91" t="s">
        <v>530</v>
      </c>
      <c r="E217" s="92" t="s">
        <v>410</v>
      </c>
      <c r="F217" s="91" t="s">
        <v>247</v>
      </c>
      <c r="G217" s="91" t="s">
        <v>188</v>
      </c>
      <c r="H217" s="91" t="s">
        <v>11</v>
      </c>
      <c r="I217" s="91" t="s">
        <v>186</v>
      </c>
      <c r="J217" s="92" t="s">
        <v>189</v>
      </c>
      <c r="K217" s="93">
        <v>8.5</v>
      </c>
      <c r="L217" s="93">
        <f>K217*VLOOKUP(H217,dagsoorttabel1,2,FALSE)</f>
        <v>6.5384615384615392</v>
      </c>
      <c r="M217" s="94">
        <f>prodnorm2</f>
        <v>0</v>
      </c>
      <c r="N217" s="91" t="s">
        <v>103</v>
      </c>
      <c r="O217" s="26">
        <f>uurtarief2</f>
        <v>0</v>
      </c>
      <c r="P217" s="93" t="e">
        <f>IF(ISBLANK(M217),0,L217/ROUND(M217,4))</f>
        <v>#DIV/0!</v>
      </c>
      <c r="Q217" s="26" t="e">
        <f>ROUND(O217,2)*P217</f>
        <v>#DIV/0!</v>
      </c>
      <c r="R217" s="93" t="e">
        <f>P217*dagenperjaar1</f>
        <v>#DIV/0!</v>
      </c>
      <c r="S217" s="27" t="e">
        <f>R217*ROUND(O217,2)</f>
        <v>#DIV/0!</v>
      </c>
    </row>
    <row r="218" spans="1:19" x14ac:dyDescent="0.2">
      <c r="A218" s="90" t="s">
        <v>236</v>
      </c>
      <c r="B218" s="91" t="s">
        <v>452</v>
      </c>
      <c r="C218" s="91" t="s">
        <v>294</v>
      </c>
      <c r="D218" s="91" t="s">
        <v>531</v>
      </c>
      <c r="E218" s="92" t="s">
        <v>451</v>
      </c>
      <c r="F218" s="91" t="s">
        <v>37</v>
      </c>
      <c r="G218" s="91" t="s">
        <v>256</v>
      </c>
      <c r="H218" s="91"/>
      <c r="I218" s="91"/>
      <c r="J218" s="91"/>
      <c r="K218" s="93">
        <v>6.3</v>
      </c>
      <c r="L218" s="93"/>
      <c r="M218" s="94"/>
      <c r="N218" s="91"/>
      <c r="O218" s="26"/>
      <c r="P218" s="93"/>
      <c r="Q218" s="26"/>
      <c r="R218" s="95"/>
      <c r="S218" s="27"/>
    </row>
    <row r="219" spans="1:19" x14ac:dyDescent="0.2">
      <c r="A219" s="90" t="s">
        <v>236</v>
      </c>
      <c r="B219" s="91" t="s">
        <v>452</v>
      </c>
      <c r="C219" s="91" t="s">
        <v>335</v>
      </c>
      <c r="D219" s="91" t="s">
        <v>532</v>
      </c>
      <c r="E219" s="92" t="s">
        <v>533</v>
      </c>
      <c r="F219" s="91" t="s">
        <v>247</v>
      </c>
      <c r="G219" s="91" t="s">
        <v>190</v>
      </c>
      <c r="H219" s="91" t="s">
        <v>11</v>
      </c>
      <c r="I219" s="91" t="s">
        <v>186</v>
      </c>
      <c r="J219" s="92" t="s">
        <v>191</v>
      </c>
      <c r="K219" s="93">
        <v>93.3</v>
      </c>
      <c r="L219" s="93">
        <f>K219*VLOOKUP(H219,dagsoorttabel1,2,FALSE)</f>
        <v>71.769230769230774</v>
      </c>
      <c r="M219" s="94">
        <f>prodnorm3</f>
        <v>0</v>
      </c>
      <c r="N219" s="91" t="s">
        <v>103</v>
      </c>
      <c r="O219" s="26">
        <f>uurtarief3</f>
        <v>0</v>
      </c>
      <c r="P219" s="93" t="e">
        <f>IF(ISBLANK(M219),0,L219/ROUND(M219,4))</f>
        <v>#DIV/0!</v>
      </c>
      <c r="Q219" s="26" t="e">
        <f>ROUND(O219,2)*P219</f>
        <v>#DIV/0!</v>
      </c>
      <c r="R219" s="93" t="e">
        <f>P219*dagenperjaar1</f>
        <v>#DIV/0!</v>
      </c>
      <c r="S219" s="27" t="e">
        <f>R219*ROUND(O219,2)</f>
        <v>#DIV/0!</v>
      </c>
    </row>
    <row r="220" spans="1:19" x14ac:dyDescent="0.2">
      <c r="A220" s="90" t="s">
        <v>236</v>
      </c>
      <c r="B220" s="91" t="s">
        <v>452</v>
      </c>
      <c r="C220" s="91" t="s">
        <v>335</v>
      </c>
      <c r="D220" s="91" t="s">
        <v>534</v>
      </c>
      <c r="E220" s="92" t="s">
        <v>456</v>
      </c>
      <c r="F220" s="91" t="s">
        <v>247</v>
      </c>
      <c r="G220" s="91" t="s">
        <v>194</v>
      </c>
      <c r="H220" s="91" t="s">
        <v>11</v>
      </c>
      <c r="I220" s="91" t="s">
        <v>186</v>
      </c>
      <c r="J220" s="92" t="s">
        <v>195</v>
      </c>
      <c r="K220" s="93">
        <v>12.5</v>
      </c>
      <c r="L220" s="93">
        <f>K220*VLOOKUP(H220,dagsoorttabel1,2,FALSE)</f>
        <v>9.6153846153846168</v>
      </c>
      <c r="M220" s="94">
        <f>prodnorm5</f>
        <v>0</v>
      </c>
      <c r="N220" s="91" t="s">
        <v>103</v>
      </c>
      <c r="O220" s="26">
        <f>uurtarief5</f>
        <v>0</v>
      </c>
      <c r="P220" s="93" t="e">
        <f>IF(ISBLANK(M220),0,L220/ROUND(M220,4))</f>
        <v>#DIV/0!</v>
      </c>
      <c r="Q220" s="26" t="e">
        <f>ROUND(O220,2)*P220</f>
        <v>#DIV/0!</v>
      </c>
      <c r="R220" s="93" t="e">
        <f>P220*dagenperjaar1</f>
        <v>#DIV/0!</v>
      </c>
      <c r="S220" s="27" t="e">
        <f>R220*ROUND(O220,2)</f>
        <v>#DIV/0!</v>
      </c>
    </row>
    <row r="221" spans="1:19" x14ac:dyDescent="0.2">
      <c r="A221" s="90" t="s">
        <v>236</v>
      </c>
      <c r="B221" s="91" t="s">
        <v>452</v>
      </c>
      <c r="C221" s="91" t="s">
        <v>335</v>
      </c>
      <c r="D221" s="91" t="s">
        <v>535</v>
      </c>
      <c r="E221" s="92" t="s">
        <v>456</v>
      </c>
      <c r="F221" s="91" t="s">
        <v>247</v>
      </c>
      <c r="G221" s="91" t="s">
        <v>194</v>
      </c>
      <c r="H221" s="91" t="s">
        <v>11</v>
      </c>
      <c r="I221" s="91" t="s">
        <v>186</v>
      </c>
      <c r="J221" s="92" t="s">
        <v>195</v>
      </c>
      <c r="K221" s="93">
        <v>12.4</v>
      </c>
      <c r="L221" s="93">
        <f>K221*VLOOKUP(H221,dagsoorttabel1,2,FALSE)</f>
        <v>9.5384615384615401</v>
      </c>
      <c r="M221" s="94">
        <f>prodnorm5</f>
        <v>0</v>
      </c>
      <c r="N221" s="91" t="s">
        <v>103</v>
      </c>
      <c r="O221" s="26">
        <f>uurtarief5</f>
        <v>0</v>
      </c>
      <c r="P221" s="93" t="e">
        <f>IF(ISBLANK(M221),0,L221/ROUND(M221,4))</f>
        <v>#DIV/0!</v>
      </c>
      <c r="Q221" s="26" t="e">
        <f>ROUND(O221,2)*P221</f>
        <v>#DIV/0!</v>
      </c>
      <c r="R221" s="93" t="e">
        <f>P221*dagenperjaar1</f>
        <v>#DIV/0!</v>
      </c>
      <c r="S221" s="27" t="e">
        <f>R221*ROUND(O221,2)</f>
        <v>#DIV/0!</v>
      </c>
    </row>
    <row r="222" spans="1:19" x14ac:dyDescent="0.2">
      <c r="A222" s="90" t="s">
        <v>236</v>
      </c>
      <c r="B222" s="91" t="s">
        <v>452</v>
      </c>
      <c r="C222" s="91" t="s">
        <v>335</v>
      </c>
      <c r="D222" s="91" t="s">
        <v>536</v>
      </c>
      <c r="E222" s="92" t="s">
        <v>461</v>
      </c>
      <c r="F222" s="91" t="s">
        <v>37</v>
      </c>
      <c r="G222" s="91" t="s">
        <v>256</v>
      </c>
      <c r="H222" s="91"/>
      <c r="I222" s="91"/>
      <c r="J222" s="91"/>
      <c r="K222" s="93">
        <v>3.1</v>
      </c>
      <c r="L222" s="93"/>
      <c r="M222" s="94"/>
      <c r="N222" s="91"/>
      <c r="O222" s="26"/>
      <c r="P222" s="93"/>
      <c r="Q222" s="26"/>
      <c r="R222" s="95"/>
      <c r="S222" s="27"/>
    </row>
    <row r="223" spans="1:19" x14ac:dyDescent="0.2">
      <c r="A223" s="90" t="s">
        <v>236</v>
      </c>
      <c r="B223" s="91" t="s">
        <v>452</v>
      </c>
      <c r="C223" s="91" t="s">
        <v>335</v>
      </c>
      <c r="D223" s="91" t="s">
        <v>537</v>
      </c>
      <c r="E223" s="92" t="s">
        <v>287</v>
      </c>
      <c r="F223" s="91" t="s">
        <v>288</v>
      </c>
      <c r="G223" s="91" t="s">
        <v>216</v>
      </c>
      <c r="H223" s="91" t="s">
        <v>11</v>
      </c>
      <c r="I223" s="91" t="s">
        <v>186</v>
      </c>
      <c r="J223" s="92" t="s">
        <v>217</v>
      </c>
      <c r="K223" s="93">
        <v>8.6</v>
      </c>
      <c r="L223" s="93">
        <f>K223*VLOOKUP(H223,dagsoorttabel1,2,FALSE)</f>
        <v>6.6153846153846159</v>
      </c>
      <c r="M223" s="94">
        <f>prodnorm17</f>
        <v>0</v>
      </c>
      <c r="N223" s="91" t="s">
        <v>103</v>
      </c>
      <c r="O223" s="26">
        <f>uurtarief17</f>
        <v>0</v>
      </c>
      <c r="P223" s="93" t="e">
        <f>IF(ISBLANK(M223),0,L223/ROUND(M223,4))</f>
        <v>#DIV/0!</v>
      </c>
      <c r="Q223" s="26" t="e">
        <f>ROUND(O223,2)*P223</f>
        <v>#DIV/0!</v>
      </c>
      <c r="R223" s="93" t="e">
        <f>P223*dagenperjaar1</f>
        <v>#DIV/0!</v>
      </c>
      <c r="S223" s="27" t="e">
        <f>R223*ROUND(O223,2)</f>
        <v>#DIV/0!</v>
      </c>
    </row>
    <row r="224" spans="1:19" x14ac:dyDescent="0.2">
      <c r="A224" s="90" t="s">
        <v>236</v>
      </c>
      <c r="B224" s="91" t="s">
        <v>452</v>
      </c>
      <c r="C224" s="91" t="s">
        <v>335</v>
      </c>
      <c r="D224" s="91" t="s">
        <v>537</v>
      </c>
      <c r="E224" s="92" t="s">
        <v>287</v>
      </c>
      <c r="F224" s="91" t="s">
        <v>288</v>
      </c>
      <c r="G224" s="91" t="s">
        <v>218</v>
      </c>
      <c r="H224" s="91" t="s">
        <v>11</v>
      </c>
      <c r="I224" s="91" t="s">
        <v>186</v>
      </c>
      <c r="J224" s="92" t="s">
        <v>219</v>
      </c>
      <c r="K224" s="93">
        <v>8.6</v>
      </c>
      <c r="L224" s="93">
        <f>K224*VLOOKUP(H224,dagsoorttabel1,2,FALSE)</f>
        <v>6.6153846153846159</v>
      </c>
      <c r="M224" s="94">
        <f>prodnorm18</f>
        <v>0</v>
      </c>
      <c r="N224" s="91" t="s">
        <v>103</v>
      </c>
      <c r="O224" s="26">
        <f>uurtarief18</f>
        <v>0</v>
      </c>
      <c r="P224" s="93" t="e">
        <f>IF(ISBLANK(M224),0,L224/ROUND(M224,4))</f>
        <v>#DIV/0!</v>
      </c>
      <c r="Q224" s="26" t="e">
        <f>ROUND(O224,2)*P224</f>
        <v>#DIV/0!</v>
      </c>
      <c r="R224" s="93" t="e">
        <f>P224*dagenperjaar1</f>
        <v>#DIV/0!</v>
      </c>
      <c r="S224" s="27" t="e">
        <f>R224*ROUND(O224,2)</f>
        <v>#DIV/0!</v>
      </c>
    </row>
    <row r="225" spans="1:19" x14ac:dyDescent="0.2">
      <c r="A225" s="90" t="s">
        <v>236</v>
      </c>
      <c r="B225" s="91" t="s">
        <v>452</v>
      </c>
      <c r="C225" s="91" t="s">
        <v>335</v>
      </c>
      <c r="D225" s="91" t="s">
        <v>538</v>
      </c>
      <c r="E225" s="92" t="s">
        <v>287</v>
      </c>
      <c r="F225" s="91" t="s">
        <v>288</v>
      </c>
      <c r="G225" s="91" t="s">
        <v>216</v>
      </c>
      <c r="H225" s="91" t="s">
        <v>11</v>
      </c>
      <c r="I225" s="91" t="s">
        <v>186</v>
      </c>
      <c r="J225" s="92" t="s">
        <v>217</v>
      </c>
      <c r="K225" s="93">
        <v>8.6</v>
      </c>
      <c r="L225" s="93">
        <f>K225*VLOOKUP(H225,dagsoorttabel1,2,FALSE)</f>
        <v>6.6153846153846159</v>
      </c>
      <c r="M225" s="94">
        <f>prodnorm17</f>
        <v>0</v>
      </c>
      <c r="N225" s="91" t="s">
        <v>103</v>
      </c>
      <c r="O225" s="26">
        <f>uurtarief17</f>
        <v>0</v>
      </c>
      <c r="P225" s="93" t="e">
        <f>IF(ISBLANK(M225),0,L225/ROUND(M225,4))</f>
        <v>#DIV/0!</v>
      </c>
      <c r="Q225" s="26" t="e">
        <f>ROUND(O225,2)*P225</f>
        <v>#DIV/0!</v>
      </c>
      <c r="R225" s="93" t="e">
        <f>P225*dagenperjaar1</f>
        <v>#DIV/0!</v>
      </c>
      <c r="S225" s="27" t="e">
        <f>R225*ROUND(O225,2)</f>
        <v>#DIV/0!</v>
      </c>
    </row>
    <row r="226" spans="1:19" x14ac:dyDescent="0.2">
      <c r="A226" s="90" t="s">
        <v>236</v>
      </c>
      <c r="B226" s="91" t="s">
        <v>452</v>
      </c>
      <c r="C226" s="91" t="s">
        <v>335</v>
      </c>
      <c r="D226" s="91" t="s">
        <v>538</v>
      </c>
      <c r="E226" s="92" t="s">
        <v>287</v>
      </c>
      <c r="F226" s="91" t="s">
        <v>288</v>
      </c>
      <c r="G226" s="91" t="s">
        <v>218</v>
      </c>
      <c r="H226" s="91" t="s">
        <v>11</v>
      </c>
      <c r="I226" s="91" t="s">
        <v>186</v>
      </c>
      <c r="J226" s="92" t="s">
        <v>219</v>
      </c>
      <c r="K226" s="93">
        <v>8.6</v>
      </c>
      <c r="L226" s="93">
        <f>K226*VLOOKUP(H226,dagsoorttabel1,2,FALSE)</f>
        <v>6.6153846153846159</v>
      </c>
      <c r="M226" s="94">
        <f>prodnorm18</f>
        <v>0</v>
      </c>
      <c r="N226" s="91" t="s">
        <v>103</v>
      </c>
      <c r="O226" s="26">
        <f>uurtarief18</f>
        <v>0</v>
      </c>
      <c r="P226" s="93" t="e">
        <f>IF(ISBLANK(M226),0,L226/ROUND(M226,4))</f>
        <v>#DIV/0!</v>
      </c>
      <c r="Q226" s="26" t="e">
        <f>ROUND(O226,2)*P226</f>
        <v>#DIV/0!</v>
      </c>
      <c r="R226" s="93" t="e">
        <f>P226*dagenperjaar1</f>
        <v>#DIV/0!</v>
      </c>
      <c r="S226" s="27" t="e">
        <f>R226*ROUND(O226,2)</f>
        <v>#DIV/0!</v>
      </c>
    </row>
    <row r="227" spans="1:19" x14ac:dyDescent="0.2">
      <c r="A227" s="90" t="s">
        <v>236</v>
      </c>
      <c r="B227" s="91" t="s">
        <v>452</v>
      </c>
      <c r="C227" s="91" t="s">
        <v>335</v>
      </c>
      <c r="D227" s="91" t="s">
        <v>539</v>
      </c>
      <c r="E227" s="92" t="s">
        <v>443</v>
      </c>
      <c r="F227" s="91" t="s">
        <v>265</v>
      </c>
      <c r="G227" s="91" t="s">
        <v>256</v>
      </c>
      <c r="H227" s="91"/>
      <c r="I227" s="91"/>
      <c r="J227" s="91"/>
      <c r="K227" s="93">
        <v>1.4</v>
      </c>
      <c r="L227" s="93"/>
      <c r="M227" s="94"/>
      <c r="N227" s="91"/>
      <c r="O227" s="26"/>
      <c r="P227" s="93"/>
      <c r="Q227" s="26"/>
      <c r="R227" s="95"/>
      <c r="S227" s="27"/>
    </row>
    <row r="228" spans="1:19" x14ac:dyDescent="0.2">
      <c r="A228" s="90" t="s">
        <v>236</v>
      </c>
      <c r="B228" s="91" t="s">
        <v>452</v>
      </c>
      <c r="C228" s="91" t="s">
        <v>335</v>
      </c>
      <c r="D228" s="91" t="s">
        <v>540</v>
      </c>
      <c r="E228" s="92" t="s">
        <v>262</v>
      </c>
      <c r="F228" s="91" t="s">
        <v>247</v>
      </c>
      <c r="G228" s="91" t="s">
        <v>256</v>
      </c>
      <c r="H228" s="91"/>
      <c r="I228" s="91"/>
      <c r="J228" s="91"/>
      <c r="K228" s="93">
        <v>13.3</v>
      </c>
      <c r="L228" s="93"/>
      <c r="M228" s="94"/>
      <c r="N228" s="91"/>
      <c r="O228" s="26"/>
      <c r="P228" s="93"/>
      <c r="Q228" s="26"/>
      <c r="R228" s="95"/>
      <c r="S228" s="27"/>
    </row>
    <row r="229" spans="1:19" ht="25.5" x14ac:dyDescent="0.2">
      <c r="A229" s="90" t="s">
        <v>236</v>
      </c>
      <c r="B229" s="91" t="s">
        <v>452</v>
      </c>
      <c r="C229" s="91" t="s">
        <v>335</v>
      </c>
      <c r="D229" s="91" t="s">
        <v>541</v>
      </c>
      <c r="E229" s="92" t="s">
        <v>410</v>
      </c>
      <c r="F229" s="91" t="s">
        <v>247</v>
      </c>
      <c r="G229" s="91" t="s">
        <v>188</v>
      </c>
      <c r="H229" s="91" t="s">
        <v>11</v>
      </c>
      <c r="I229" s="91" t="s">
        <v>186</v>
      </c>
      <c r="J229" s="92" t="s">
        <v>189</v>
      </c>
      <c r="K229" s="93">
        <v>11.7</v>
      </c>
      <c r="L229" s="93">
        <f>K229*VLOOKUP(H229,dagsoorttabel1,2,FALSE)</f>
        <v>9</v>
      </c>
      <c r="M229" s="94">
        <f>prodnorm2</f>
        <v>0</v>
      </c>
      <c r="N229" s="91" t="s">
        <v>103</v>
      </c>
      <c r="O229" s="26">
        <f>uurtarief2</f>
        <v>0</v>
      </c>
      <c r="P229" s="93" t="e">
        <f>IF(ISBLANK(M229),0,L229/ROUND(M229,4))</f>
        <v>#DIV/0!</v>
      </c>
      <c r="Q229" s="26" t="e">
        <f>ROUND(O229,2)*P229</f>
        <v>#DIV/0!</v>
      </c>
      <c r="R229" s="93" t="e">
        <f>P229*dagenperjaar1</f>
        <v>#DIV/0!</v>
      </c>
      <c r="S229" s="27" t="e">
        <f>R229*ROUND(O229,2)</f>
        <v>#DIV/0!</v>
      </c>
    </row>
    <row r="230" spans="1:19" x14ac:dyDescent="0.2">
      <c r="A230" s="90" t="s">
        <v>236</v>
      </c>
      <c r="B230" s="91" t="s">
        <v>452</v>
      </c>
      <c r="C230" s="91" t="s">
        <v>335</v>
      </c>
      <c r="D230" s="91" t="s">
        <v>542</v>
      </c>
      <c r="E230" s="92" t="s">
        <v>400</v>
      </c>
      <c r="F230" s="91" t="s">
        <v>247</v>
      </c>
      <c r="G230" s="91" t="s">
        <v>206</v>
      </c>
      <c r="H230" s="91" t="s">
        <v>11</v>
      </c>
      <c r="I230" s="91" t="s">
        <v>186</v>
      </c>
      <c r="J230" s="92" t="s">
        <v>207</v>
      </c>
      <c r="K230" s="93">
        <v>58.4</v>
      </c>
      <c r="L230" s="93">
        <f>K230*VLOOKUP(H230,dagsoorttabel1,2,FALSE)</f>
        <v>44.923076923076927</v>
      </c>
      <c r="M230" s="94">
        <f>prodnorm12</f>
        <v>0</v>
      </c>
      <c r="N230" s="91" t="s">
        <v>103</v>
      </c>
      <c r="O230" s="26">
        <f>uurtarief12</f>
        <v>0</v>
      </c>
      <c r="P230" s="93" t="e">
        <f>IF(ISBLANK(M230),0,L230/ROUND(M230,4))</f>
        <v>#DIV/0!</v>
      </c>
      <c r="Q230" s="26" t="e">
        <f>ROUND(O230,2)*P230</f>
        <v>#DIV/0!</v>
      </c>
      <c r="R230" s="93" t="e">
        <f>P230*dagenperjaar1</f>
        <v>#DIV/0!</v>
      </c>
      <c r="S230" s="27" t="e">
        <f>R230*ROUND(O230,2)</f>
        <v>#DIV/0!</v>
      </c>
    </row>
    <row r="231" spans="1:19" x14ac:dyDescent="0.2">
      <c r="A231" s="90" t="s">
        <v>236</v>
      </c>
      <c r="B231" s="91" t="s">
        <v>452</v>
      </c>
      <c r="C231" s="91" t="s">
        <v>335</v>
      </c>
      <c r="D231" s="91" t="s">
        <v>543</v>
      </c>
      <c r="E231" s="92" t="s">
        <v>424</v>
      </c>
      <c r="F231" s="91" t="s">
        <v>247</v>
      </c>
      <c r="G231" s="91" t="s">
        <v>210</v>
      </c>
      <c r="H231" s="91" t="s">
        <v>11</v>
      </c>
      <c r="I231" s="91" t="s">
        <v>186</v>
      </c>
      <c r="J231" s="92" t="s">
        <v>211</v>
      </c>
      <c r="K231" s="93">
        <v>119.1</v>
      </c>
      <c r="L231" s="93">
        <f>K231*VLOOKUP(H231,dagsoorttabel1,2,FALSE)</f>
        <v>91.615384615384613</v>
      </c>
      <c r="M231" s="94">
        <f>prodnorm14</f>
        <v>0</v>
      </c>
      <c r="N231" s="91" t="s">
        <v>103</v>
      </c>
      <c r="O231" s="26">
        <f>uurtarief14</f>
        <v>0</v>
      </c>
      <c r="P231" s="93" t="e">
        <f>IF(ISBLANK(M231),0,L231/ROUND(M231,4))</f>
        <v>#DIV/0!</v>
      </c>
      <c r="Q231" s="26" t="e">
        <f>ROUND(O231,2)*P231</f>
        <v>#DIV/0!</v>
      </c>
      <c r="R231" s="93" t="e">
        <f>P231*dagenperjaar1</f>
        <v>#DIV/0!</v>
      </c>
      <c r="S231" s="27" t="e">
        <f>R231*ROUND(O231,2)</f>
        <v>#DIV/0!</v>
      </c>
    </row>
    <row r="232" spans="1:19" x14ac:dyDescent="0.2">
      <c r="A232" s="90" t="s">
        <v>236</v>
      </c>
      <c r="B232" s="91" t="s">
        <v>452</v>
      </c>
      <c r="C232" s="91" t="s">
        <v>335</v>
      </c>
      <c r="D232" s="91" t="s">
        <v>544</v>
      </c>
      <c r="E232" s="92" t="s">
        <v>400</v>
      </c>
      <c r="F232" s="91" t="s">
        <v>247</v>
      </c>
      <c r="G232" s="91" t="s">
        <v>206</v>
      </c>
      <c r="H232" s="91" t="s">
        <v>11</v>
      </c>
      <c r="I232" s="91" t="s">
        <v>186</v>
      </c>
      <c r="J232" s="92" t="s">
        <v>207</v>
      </c>
      <c r="K232" s="93">
        <v>60.3</v>
      </c>
      <c r="L232" s="93">
        <f>K232*VLOOKUP(H232,dagsoorttabel1,2,FALSE)</f>
        <v>46.384615384615387</v>
      </c>
      <c r="M232" s="94">
        <f>prodnorm12</f>
        <v>0</v>
      </c>
      <c r="N232" s="91" t="s">
        <v>103</v>
      </c>
      <c r="O232" s="26">
        <f>uurtarief12</f>
        <v>0</v>
      </c>
      <c r="P232" s="93" t="e">
        <f>IF(ISBLANK(M232),0,L232/ROUND(M232,4))</f>
        <v>#DIV/0!</v>
      </c>
      <c r="Q232" s="26" t="e">
        <f>ROUND(O232,2)*P232</f>
        <v>#DIV/0!</v>
      </c>
      <c r="R232" s="93" t="e">
        <f>P232*dagenperjaar1</f>
        <v>#DIV/0!</v>
      </c>
      <c r="S232" s="27" t="e">
        <f>R232*ROUND(O232,2)</f>
        <v>#DIV/0!</v>
      </c>
    </row>
    <row r="233" spans="1:19" x14ac:dyDescent="0.2">
      <c r="A233" s="90" t="s">
        <v>236</v>
      </c>
      <c r="B233" s="91" t="s">
        <v>452</v>
      </c>
      <c r="C233" s="91" t="s">
        <v>335</v>
      </c>
      <c r="D233" s="91" t="s">
        <v>545</v>
      </c>
      <c r="E233" s="92" t="s">
        <v>400</v>
      </c>
      <c r="F233" s="91" t="s">
        <v>247</v>
      </c>
      <c r="G233" s="91" t="s">
        <v>206</v>
      </c>
      <c r="H233" s="91" t="s">
        <v>11</v>
      </c>
      <c r="I233" s="91" t="s">
        <v>186</v>
      </c>
      <c r="J233" s="92" t="s">
        <v>207</v>
      </c>
      <c r="K233" s="93">
        <v>59.8</v>
      </c>
      <c r="L233" s="93">
        <f>K233*VLOOKUP(H233,dagsoorttabel1,2,FALSE)</f>
        <v>46</v>
      </c>
      <c r="M233" s="94">
        <f>prodnorm12</f>
        <v>0</v>
      </c>
      <c r="N233" s="91" t="s">
        <v>103</v>
      </c>
      <c r="O233" s="26">
        <f>uurtarief12</f>
        <v>0</v>
      </c>
      <c r="P233" s="93" t="e">
        <f>IF(ISBLANK(M233),0,L233/ROUND(M233,4))</f>
        <v>#DIV/0!</v>
      </c>
      <c r="Q233" s="26" t="e">
        <f>ROUND(O233,2)*P233</f>
        <v>#DIV/0!</v>
      </c>
      <c r="R233" s="93" t="e">
        <f>P233*dagenperjaar1</f>
        <v>#DIV/0!</v>
      </c>
      <c r="S233" s="27" t="e">
        <f>R233*ROUND(O233,2)</f>
        <v>#DIV/0!</v>
      </c>
    </row>
    <row r="234" spans="1:19" ht="25.5" x14ac:dyDescent="0.2">
      <c r="A234" s="90" t="s">
        <v>236</v>
      </c>
      <c r="B234" s="91" t="s">
        <v>452</v>
      </c>
      <c r="C234" s="91" t="s">
        <v>335</v>
      </c>
      <c r="D234" s="91" t="s">
        <v>546</v>
      </c>
      <c r="E234" s="92" t="s">
        <v>272</v>
      </c>
      <c r="F234" s="91" t="s">
        <v>247</v>
      </c>
      <c r="G234" s="91" t="s">
        <v>188</v>
      </c>
      <c r="H234" s="91" t="s">
        <v>11</v>
      </c>
      <c r="I234" s="91" t="s">
        <v>186</v>
      </c>
      <c r="J234" s="92" t="s">
        <v>189</v>
      </c>
      <c r="K234" s="93">
        <v>29.3</v>
      </c>
      <c r="L234" s="93">
        <f>K234*VLOOKUP(H234,dagsoorttabel1,2,FALSE)</f>
        <v>22.53846153846154</v>
      </c>
      <c r="M234" s="94">
        <f>prodnorm2</f>
        <v>0</v>
      </c>
      <c r="N234" s="91" t="s">
        <v>103</v>
      </c>
      <c r="O234" s="26">
        <f>uurtarief2</f>
        <v>0</v>
      </c>
      <c r="P234" s="93" t="e">
        <f>IF(ISBLANK(M234),0,L234/ROUND(M234,4))</f>
        <v>#DIV/0!</v>
      </c>
      <c r="Q234" s="26" t="e">
        <f>ROUND(O234,2)*P234</f>
        <v>#DIV/0!</v>
      </c>
      <c r="R234" s="93" t="e">
        <f>P234*dagenperjaar1</f>
        <v>#DIV/0!</v>
      </c>
      <c r="S234" s="27" t="e">
        <f>R234*ROUND(O234,2)</f>
        <v>#DIV/0!</v>
      </c>
    </row>
    <row r="235" spans="1:19" x14ac:dyDescent="0.2">
      <c r="A235" s="90" t="s">
        <v>236</v>
      </c>
      <c r="B235" s="91" t="s">
        <v>452</v>
      </c>
      <c r="C235" s="91" t="s">
        <v>335</v>
      </c>
      <c r="D235" s="91" t="s">
        <v>547</v>
      </c>
      <c r="E235" s="92" t="s">
        <v>548</v>
      </c>
      <c r="F235" s="91" t="s">
        <v>247</v>
      </c>
      <c r="G235" s="91" t="s">
        <v>208</v>
      </c>
      <c r="H235" s="91" t="s">
        <v>11</v>
      </c>
      <c r="I235" s="91" t="s">
        <v>186</v>
      </c>
      <c r="J235" s="92" t="s">
        <v>209</v>
      </c>
      <c r="K235" s="93">
        <v>104.4</v>
      </c>
      <c r="L235" s="93">
        <f>K235*VLOOKUP(H235,dagsoorttabel1,2,FALSE)</f>
        <v>80.307692307692321</v>
      </c>
      <c r="M235" s="94">
        <f>prodnorm13</f>
        <v>0</v>
      </c>
      <c r="N235" s="91" t="s">
        <v>103</v>
      </c>
      <c r="O235" s="26">
        <f>uurtarief13</f>
        <v>0</v>
      </c>
      <c r="P235" s="93" t="e">
        <f>IF(ISBLANK(M235),0,L235/ROUND(M235,4))</f>
        <v>#DIV/0!</v>
      </c>
      <c r="Q235" s="26" t="e">
        <f>ROUND(O235,2)*P235</f>
        <v>#DIV/0!</v>
      </c>
      <c r="R235" s="93" t="e">
        <f>P235*dagenperjaar1</f>
        <v>#DIV/0!</v>
      </c>
      <c r="S235" s="27" t="e">
        <f>R235*ROUND(O235,2)</f>
        <v>#DIV/0!</v>
      </c>
    </row>
    <row r="236" spans="1:19" x14ac:dyDescent="0.2">
      <c r="A236" s="90" t="s">
        <v>236</v>
      </c>
      <c r="B236" s="91" t="s">
        <v>452</v>
      </c>
      <c r="C236" s="91" t="s">
        <v>335</v>
      </c>
      <c r="D236" s="91" t="s">
        <v>549</v>
      </c>
      <c r="E236" s="92" t="s">
        <v>550</v>
      </c>
      <c r="F236" s="91" t="s">
        <v>247</v>
      </c>
      <c r="G236" s="91" t="s">
        <v>206</v>
      </c>
      <c r="H236" s="91" t="s">
        <v>11</v>
      </c>
      <c r="I236" s="91" t="s">
        <v>186</v>
      </c>
      <c r="J236" s="92" t="s">
        <v>207</v>
      </c>
      <c r="K236" s="93">
        <v>81.8</v>
      </c>
      <c r="L236" s="93">
        <f>K236*VLOOKUP(H236,dagsoorttabel1,2,FALSE)</f>
        <v>62.923076923076927</v>
      </c>
      <c r="M236" s="94">
        <f>prodnorm12</f>
        <v>0</v>
      </c>
      <c r="N236" s="91" t="s">
        <v>103</v>
      </c>
      <c r="O236" s="26">
        <f>uurtarief12</f>
        <v>0</v>
      </c>
      <c r="P236" s="93" t="e">
        <f>IF(ISBLANK(M236),0,L236/ROUND(M236,4))</f>
        <v>#DIV/0!</v>
      </c>
      <c r="Q236" s="26" t="e">
        <f>ROUND(O236,2)*P236</f>
        <v>#DIV/0!</v>
      </c>
      <c r="R236" s="93" t="e">
        <f>P236*dagenperjaar1</f>
        <v>#DIV/0!</v>
      </c>
      <c r="S236" s="27" t="e">
        <f>R236*ROUND(O236,2)</f>
        <v>#DIV/0!</v>
      </c>
    </row>
    <row r="237" spans="1:19" x14ac:dyDescent="0.2">
      <c r="A237" s="90" t="s">
        <v>236</v>
      </c>
      <c r="B237" s="91" t="s">
        <v>452</v>
      </c>
      <c r="C237" s="91" t="s">
        <v>335</v>
      </c>
      <c r="D237" s="91" t="s">
        <v>551</v>
      </c>
      <c r="E237" s="92" t="s">
        <v>451</v>
      </c>
      <c r="F237" s="91" t="s">
        <v>37</v>
      </c>
      <c r="G237" s="91" t="s">
        <v>256</v>
      </c>
      <c r="H237" s="91"/>
      <c r="I237" s="91"/>
      <c r="J237" s="91"/>
      <c r="K237" s="93">
        <v>6.2</v>
      </c>
      <c r="L237" s="93"/>
      <c r="M237" s="94"/>
      <c r="N237" s="91"/>
      <c r="O237" s="26"/>
      <c r="P237" s="93"/>
      <c r="Q237" s="26"/>
      <c r="R237" s="95"/>
      <c r="S237" s="27"/>
    </row>
    <row r="238" spans="1:19" ht="25.5" x14ac:dyDescent="0.2">
      <c r="A238" s="90" t="s">
        <v>236</v>
      </c>
      <c r="B238" s="91" t="s">
        <v>452</v>
      </c>
      <c r="C238" s="91" t="s">
        <v>335</v>
      </c>
      <c r="D238" s="91" t="s">
        <v>552</v>
      </c>
      <c r="E238" s="92" t="s">
        <v>375</v>
      </c>
      <c r="F238" s="91" t="s">
        <v>247</v>
      </c>
      <c r="G238" s="91" t="s">
        <v>188</v>
      </c>
      <c r="H238" s="91" t="s">
        <v>11</v>
      </c>
      <c r="I238" s="91" t="s">
        <v>186</v>
      </c>
      <c r="J238" s="92" t="s">
        <v>189</v>
      </c>
      <c r="K238" s="93">
        <v>7.1</v>
      </c>
      <c r="L238" s="93">
        <f>K238*VLOOKUP(H238,dagsoorttabel1,2,FALSE)</f>
        <v>5.4615384615384617</v>
      </c>
      <c r="M238" s="94">
        <f>prodnorm2</f>
        <v>0</v>
      </c>
      <c r="N238" s="91" t="s">
        <v>103</v>
      </c>
      <c r="O238" s="26">
        <f>uurtarief2</f>
        <v>0</v>
      </c>
      <c r="P238" s="93" t="e">
        <f>IF(ISBLANK(M238),0,L238/ROUND(M238,4))</f>
        <v>#DIV/0!</v>
      </c>
      <c r="Q238" s="26" t="e">
        <f>ROUND(O238,2)*P238</f>
        <v>#DIV/0!</v>
      </c>
      <c r="R238" s="93" t="e">
        <f>P238*dagenperjaar1</f>
        <v>#DIV/0!</v>
      </c>
      <c r="S238" s="27" t="e">
        <f>R238*ROUND(O238,2)</f>
        <v>#DIV/0!</v>
      </c>
    </row>
    <row r="239" spans="1:19" ht="25.5" x14ac:dyDescent="0.2">
      <c r="A239" s="90" t="s">
        <v>236</v>
      </c>
      <c r="B239" s="91" t="s">
        <v>452</v>
      </c>
      <c r="C239" s="91" t="s">
        <v>335</v>
      </c>
      <c r="D239" s="91" t="s">
        <v>553</v>
      </c>
      <c r="E239" s="92" t="s">
        <v>375</v>
      </c>
      <c r="F239" s="91" t="s">
        <v>247</v>
      </c>
      <c r="G239" s="91" t="s">
        <v>188</v>
      </c>
      <c r="H239" s="91" t="s">
        <v>11</v>
      </c>
      <c r="I239" s="91" t="s">
        <v>186</v>
      </c>
      <c r="J239" s="92" t="s">
        <v>189</v>
      </c>
      <c r="K239" s="93">
        <v>7</v>
      </c>
      <c r="L239" s="93">
        <f>K239*VLOOKUP(H239,dagsoorttabel1,2,FALSE)</f>
        <v>5.384615384615385</v>
      </c>
      <c r="M239" s="94">
        <f>prodnorm2</f>
        <v>0</v>
      </c>
      <c r="N239" s="91" t="s">
        <v>103</v>
      </c>
      <c r="O239" s="26">
        <f>uurtarief2</f>
        <v>0</v>
      </c>
      <c r="P239" s="93" t="e">
        <f>IF(ISBLANK(M239),0,L239/ROUND(M239,4))</f>
        <v>#DIV/0!</v>
      </c>
      <c r="Q239" s="26" t="e">
        <f>ROUND(O239,2)*P239</f>
        <v>#DIV/0!</v>
      </c>
      <c r="R239" s="93" t="e">
        <f>P239*dagenperjaar1</f>
        <v>#DIV/0!</v>
      </c>
      <c r="S239" s="27" t="e">
        <f>R239*ROUND(O239,2)</f>
        <v>#DIV/0!</v>
      </c>
    </row>
    <row r="240" spans="1:19" ht="25.5" x14ac:dyDescent="0.2">
      <c r="A240" s="90" t="s">
        <v>236</v>
      </c>
      <c r="B240" s="91" t="s">
        <v>452</v>
      </c>
      <c r="C240" s="91" t="s">
        <v>335</v>
      </c>
      <c r="D240" s="91" t="s">
        <v>554</v>
      </c>
      <c r="E240" s="92" t="s">
        <v>331</v>
      </c>
      <c r="F240" s="91" t="s">
        <v>247</v>
      </c>
      <c r="G240" s="91" t="s">
        <v>222</v>
      </c>
      <c r="H240" s="91" t="s">
        <v>11</v>
      </c>
      <c r="I240" s="91" t="s">
        <v>186</v>
      </c>
      <c r="J240" s="92" t="s">
        <v>223</v>
      </c>
      <c r="K240" s="93">
        <v>31.9</v>
      </c>
      <c r="L240" s="93">
        <f>K240*VLOOKUP(H240,dagsoorttabel1,2,FALSE)</f>
        <v>24.53846153846154</v>
      </c>
      <c r="M240" s="94">
        <f>prodnorm20</f>
        <v>0</v>
      </c>
      <c r="N240" s="91" t="s">
        <v>103</v>
      </c>
      <c r="O240" s="26">
        <f>uurtarief20</f>
        <v>0</v>
      </c>
      <c r="P240" s="93" t="e">
        <f>IF(ISBLANK(M240),0,L240/ROUND(M240,4))</f>
        <v>#DIV/0!</v>
      </c>
      <c r="Q240" s="26" t="e">
        <f>ROUND(O240,2)*P240</f>
        <v>#DIV/0!</v>
      </c>
      <c r="R240" s="93" t="e">
        <f>P240*dagenperjaar1</f>
        <v>#DIV/0!</v>
      </c>
      <c r="S240" s="27" t="e">
        <f>R240*ROUND(O240,2)</f>
        <v>#DIV/0!</v>
      </c>
    </row>
    <row r="241" spans="1:19" x14ac:dyDescent="0.2">
      <c r="A241" s="90" t="s">
        <v>236</v>
      </c>
      <c r="B241" s="91" t="s">
        <v>555</v>
      </c>
      <c r="C241" s="91" t="s">
        <v>238</v>
      </c>
      <c r="D241" s="91" t="s">
        <v>556</v>
      </c>
      <c r="E241" s="92" t="s">
        <v>557</v>
      </c>
      <c r="F241" s="91" t="s">
        <v>247</v>
      </c>
      <c r="G241" s="91" t="s">
        <v>185</v>
      </c>
      <c r="H241" s="91" t="s">
        <v>11</v>
      </c>
      <c r="I241" s="91" t="s">
        <v>186</v>
      </c>
      <c r="J241" s="92" t="s">
        <v>187</v>
      </c>
      <c r="K241" s="93">
        <v>157.1</v>
      </c>
      <c r="L241" s="93">
        <f>K241*VLOOKUP(H241,dagsoorttabel1,2,FALSE)</f>
        <v>120.84615384615385</v>
      </c>
      <c r="M241" s="94">
        <f>prodnorm1</f>
        <v>0</v>
      </c>
      <c r="N241" s="91" t="s">
        <v>103</v>
      </c>
      <c r="O241" s="26">
        <f>uurtarief1</f>
        <v>0</v>
      </c>
      <c r="P241" s="93" t="e">
        <f>IF(ISBLANK(M241),0,L241/ROUND(M241,4))</f>
        <v>#DIV/0!</v>
      </c>
      <c r="Q241" s="26" t="e">
        <f>ROUND(O241,2)*P241</f>
        <v>#DIV/0!</v>
      </c>
      <c r="R241" s="93" t="e">
        <f>P241*dagenperjaar1</f>
        <v>#DIV/0!</v>
      </c>
      <c r="S241" s="27" t="e">
        <f>R241*ROUND(O241,2)</f>
        <v>#DIV/0!</v>
      </c>
    </row>
    <row r="242" spans="1:19" x14ac:dyDescent="0.2">
      <c r="A242" s="90" t="s">
        <v>236</v>
      </c>
      <c r="B242" s="91" t="s">
        <v>555</v>
      </c>
      <c r="C242" s="91" t="s">
        <v>238</v>
      </c>
      <c r="D242" s="91" t="s">
        <v>558</v>
      </c>
      <c r="E242" s="92" t="s">
        <v>559</v>
      </c>
      <c r="F242" s="91" t="s">
        <v>247</v>
      </c>
      <c r="G242" s="91" t="s">
        <v>185</v>
      </c>
      <c r="H242" s="91" t="s">
        <v>11</v>
      </c>
      <c r="I242" s="91" t="s">
        <v>186</v>
      </c>
      <c r="J242" s="92" t="s">
        <v>187</v>
      </c>
      <c r="K242" s="93">
        <v>114.8</v>
      </c>
      <c r="L242" s="93">
        <f>K242*VLOOKUP(H242,dagsoorttabel1,2,FALSE)</f>
        <v>88.307692307692307</v>
      </c>
      <c r="M242" s="94">
        <f>prodnorm1</f>
        <v>0</v>
      </c>
      <c r="N242" s="91" t="s">
        <v>103</v>
      </c>
      <c r="O242" s="26">
        <f>uurtarief1</f>
        <v>0</v>
      </c>
      <c r="P242" s="93" t="e">
        <f>IF(ISBLANK(M242),0,L242/ROUND(M242,4))</f>
        <v>#DIV/0!</v>
      </c>
      <c r="Q242" s="26" t="e">
        <f>ROUND(O242,2)*P242</f>
        <v>#DIV/0!</v>
      </c>
      <c r="R242" s="93" t="e">
        <f>P242*dagenperjaar1</f>
        <v>#DIV/0!</v>
      </c>
      <c r="S242" s="27" t="e">
        <f>R242*ROUND(O242,2)</f>
        <v>#DIV/0!</v>
      </c>
    </row>
    <row r="243" spans="1:19" x14ac:dyDescent="0.2">
      <c r="A243" s="90" t="s">
        <v>236</v>
      </c>
      <c r="B243" s="91" t="s">
        <v>555</v>
      </c>
      <c r="C243" s="91" t="s">
        <v>238</v>
      </c>
      <c r="D243" s="91" t="s">
        <v>560</v>
      </c>
      <c r="E243" s="92" t="s">
        <v>561</v>
      </c>
      <c r="F243" s="91" t="s">
        <v>247</v>
      </c>
      <c r="G243" s="91" t="s">
        <v>185</v>
      </c>
      <c r="H243" s="91" t="s">
        <v>11</v>
      </c>
      <c r="I243" s="91" t="s">
        <v>186</v>
      </c>
      <c r="J243" s="92" t="s">
        <v>187</v>
      </c>
      <c r="K243" s="93">
        <v>86.5</v>
      </c>
      <c r="L243" s="93">
        <f>K243*VLOOKUP(H243,dagsoorttabel1,2,FALSE)</f>
        <v>66.538461538461547</v>
      </c>
      <c r="M243" s="94">
        <f>prodnorm1</f>
        <v>0</v>
      </c>
      <c r="N243" s="91" t="s">
        <v>103</v>
      </c>
      <c r="O243" s="26">
        <f>uurtarief1</f>
        <v>0</v>
      </c>
      <c r="P243" s="93" t="e">
        <f>IF(ISBLANK(M243),0,L243/ROUND(M243,4))</f>
        <v>#DIV/0!</v>
      </c>
      <c r="Q243" s="26" t="e">
        <f>ROUND(O243,2)*P243</f>
        <v>#DIV/0!</v>
      </c>
      <c r="R243" s="93" t="e">
        <f>P243*dagenperjaar1</f>
        <v>#DIV/0!</v>
      </c>
      <c r="S243" s="27" t="e">
        <f>R243*ROUND(O243,2)</f>
        <v>#DIV/0!</v>
      </c>
    </row>
    <row r="244" spans="1:19" x14ac:dyDescent="0.2">
      <c r="A244" s="90" t="s">
        <v>236</v>
      </c>
      <c r="B244" s="91" t="s">
        <v>555</v>
      </c>
      <c r="C244" s="91" t="s">
        <v>238</v>
      </c>
      <c r="D244" s="91" t="s">
        <v>562</v>
      </c>
      <c r="E244" s="92" t="s">
        <v>563</v>
      </c>
      <c r="F244" s="91" t="s">
        <v>247</v>
      </c>
      <c r="G244" s="91" t="s">
        <v>256</v>
      </c>
      <c r="H244" s="91"/>
      <c r="I244" s="91"/>
      <c r="J244" s="91"/>
      <c r="K244" s="93">
        <v>27.4</v>
      </c>
      <c r="L244" s="93"/>
      <c r="M244" s="94"/>
      <c r="N244" s="91"/>
      <c r="O244" s="26"/>
      <c r="P244" s="93"/>
      <c r="Q244" s="26"/>
      <c r="R244" s="95"/>
      <c r="S244" s="27"/>
    </row>
    <row r="245" spans="1:19" ht="25.5" x14ac:dyDescent="0.2">
      <c r="A245" s="90" t="s">
        <v>236</v>
      </c>
      <c r="B245" s="91" t="s">
        <v>555</v>
      </c>
      <c r="C245" s="91" t="s">
        <v>238</v>
      </c>
      <c r="D245" s="91" t="s">
        <v>564</v>
      </c>
      <c r="E245" s="92" t="s">
        <v>565</v>
      </c>
      <c r="F245" s="91" t="s">
        <v>247</v>
      </c>
      <c r="G245" s="91" t="s">
        <v>222</v>
      </c>
      <c r="H245" s="91" t="s">
        <v>11</v>
      </c>
      <c r="I245" s="91" t="s">
        <v>186</v>
      </c>
      <c r="J245" s="92" t="s">
        <v>223</v>
      </c>
      <c r="K245" s="93">
        <v>75.400000000000006</v>
      </c>
      <c r="L245" s="93">
        <f>K245*VLOOKUP(H245,dagsoorttabel1,2,FALSE)</f>
        <v>58.000000000000007</v>
      </c>
      <c r="M245" s="94">
        <f>prodnorm20</f>
        <v>0</v>
      </c>
      <c r="N245" s="91" t="s">
        <v>103</v>
      </c>
      <c r="O245" s="26">
        <f>uurtarief20</f>
        <v>0</v>
      </c>
      <c r="P245" s="93" t="e">
        <f>IF(ISBLANK(M245),0,L245/ROUND(M245,4))</f>
        <v>#DIV/0!</v>
      </c>
      <c r="Q245" s="26" t="e">
        <f>ROUND(O245,2)*P245</f>
        <v>#DIV/0!</v>
      </c>
      <c r="R245" s="93" t="e">
        <f>P245*dagenperjaar1</f>
        <v>#DIV/0!</v>
      </c>
      <c r="S245" s="27" t="e">
        <f>R245*ROUND(O245,2)</f>
        <v>#DIV/0!</v>
      </c>
    </row>
    <row r="246" spans="1:19" x14ac:dyDescent="0.2">
      <c r="A246" s="90" t="s">
        <v>236</v>
      </c>
      <c r="B246" s="91" t="s">
        <v>555</v>
      </c>
      <c r="C246" s="91" t="s">
        <v>294</v>
      </c>
      <c r="D246" s="91" t="s">
        <v>566</v>
      </c>
      <c r="E246" s="92" t="s">
        <v>567</v>
      </c>
      <c r="F246" s="91" t="s">
        <v>37</v>
      </c>
      <c r="G246" s="91" t="s">
        <v>256</v>
      </c>
      <c r="H246" s="91"/>
      <c r="I246" s="91"/>
      <c r="J246" s="91"/>
      <c r="K246" s="93">
        <v>180.6</v>
      </c>
      <c r="L246" s="93"/>
      <c r="M246" s="94"/>
      <c r="N246" s="91"/>
      <c r="O246" s="26"/>
      <c r="P246" s="93"/>
      <c r="Q246" s="26"/>
      <c r="R246" s="95"/>
      <c r="S246" s="27"/>
    </row>
    <row r="247" spans="1:19" x14ac:dyDescent="0.2">
      <c r="A247" s="90" t="s">
        <v>236</v>
      </c>
      <c r="B247" s="91" t="s">
        <v>568</v>
      </c>
      <c r="C247" s="91" t="s">
        <v>238</v>
      </c>
      <c r="D247" s="91" t="s">
        <v>569</v>
      </c>
      <c r="E247" s="92" t="s">
        <v>570</v>
      </c>
      <c r="F247" s="91" t="s">
        <v>244</v>
      </c>
      <c r="G247" s="91" t="s">
        <v>196</v>
      </c>
      <c r="H247" s="91" t="s">
        <v>11</v>
      </c>
      <c r="I247" s="91" t="s">
        <v>186</v>
      </c>
      <c r="J247" s="92" t="s">
        <v>197</v>
      </c>
      <c r="K247" s="93">
        <v>22.4</v>
      </c>
      <c r="L247" s="93">
        <f>K247*VLOOKUP(H247,dagsoorttabel1,2,FALSE)</f>
        <v>17.23076923076923</v>
      </c>
      <c r="M247" s="94">
        <f>prodnorm6</f>
        <v>0</v>
      </c>
      <c r="N247" s="91" t="s">
        <v>103</v>
      </c>
      <c r="O247" s="26">
        <f>uurtarief6</f>
        <v>0</v>
      </c>
      <c r="P247" s="93" t="e">
        <f>IF(ISBLANK(M247),0,L247/ROUND(M247,4))</f>
        <v>#DIV/0!</v>
      </c>
      <c r="Q247" s="26" t="e">
        <f>ROUND(O247,2)*P247</f>
        <v>#DIV/0!</v>
      </c>
      <c r="R247" s="93" t="e">
        <f>P247*dagenperjaar1</f>
        <v>#DIV/0!</v>
      </c>
      <c r="S247" s="27" t="e">
        <f>R247*ROUND(O247,2)</f>
        <v>#DIV/0!</v>
      </c>
    </row>
    <row r="248" spans="1:19" ht="25.5" x14ac:dyDescent="0.2">
      <c r="A248" s="90" t="s">
        <v>236</v>
      </c>
      <c r="B248" s="91" t="s">
        <v>568</v>
      </c>
      <c r="C248" s="91" t="s">
        <v>238</v>
      </c>
      <c r="D248" s="91" t="s">
        <v>571</v>
      </c>
      <c r="E248" s="92" t="s">
        <v>572</v>
      </c>
      <c r="F248" s="91" t="s">
        <v>241</v>
      </c>
      <c r="G248" s="91" t="s">
        <v>222</v>
      </c>
      <c r="H248" s="91" t="s">
        <v>11</v>
      </c>
      <c r="I248" s="91" t="s">
        <v>186</v>
      </c>
      <c r="J248" s="92" t="s">
        <v>223</v>
      </c>
      <c r="K248" s="93">
        <v>507.2</v>
      </c>
      <c r="L248" s="93">
        <f>K248*VLOOKUP(H248,dagsoorttabel1,2,FALSE)</f>
        <v>390.15384615384619</v>
      </c>
      <c r="M248" s="94">
        <f>prodnorm20</f>
        <v>0</v>
      </c>
      <c r="N248" s="91" t="s">
        <v>103</v>
      </c>
      <c r="O248" s="26">
        <f>uurtarief20</f>
        <v>0</v>
      </c>
      <c r="P248" s="93" t="e">
        <f>IF(ISBLANK(M248),0,L248/ROUND(M248,4))</f>
        <v>#DIV/0!</v>
      </c>
      <c r="Q248" s="26" t="e">
        <f>ROUND(O248,2)*P248</f>
        <v>#DIV/0!</v>
      </c>
      <c r="R248" s="93" t="e">
        <f>P248*dagenperjaar1</f>
        <v>#DIV/0!</v>
      </c>
      <c r="S248" s="27" t="e">
        <f>R248*ROUND(O248,2)</f>
        <v>#DIV/0!</v>
      </c>
    </row>
    <row r="249" spans="1:19" x14ac:dyDescent="0.2">
      <c r="A249" s="90" t="s">
        <v>236</v>
      </c>
      <c r="B249" s="91" t="s">
        <v>568</v>
      </c>
      <c r="C249" s="91" t="s">
        <v>238</v>
      </c>
      <c r="D249" s="91" t="s">
        <v>573</v>
      </c>
      <c r="E249" s="92" t="s">
        <v>264</v>
      </c>
      <c r="F249" s="91" t="s">
        <v>574</v>
      </c>
      <c r="G249" s="91" t="s">
        <v>220</v>
      </c>
      <c r="H249" s="91" t="s">
        <v>11</v>
      </c>
      <c r="I249" s="91" t="s">
        <v>186</v>
      </c>
      <c r="J249" s="92" t="s">
        <v>221</v>
      </c>
      <c r="K249" s="93">
        <v>10</v>
      </c>
      <c r="L249" s="93">
        <f>K249*VLOOKUP(H249,dagsoorttabel1,2,FALSE)</f>
        <v>7.6923076923076925</v>
      </c>
      <c r="M249" s="94">
        <f>prodnorm19</f>
        <v>0</v>
      </c>
      <c r="N249" s="91" t="s">
        <v>103</v>
      </c>
      <c r="O249" s="26">
        <f>uurtarief19</f>
        <v>0</v>
      </c>
      <c r="P249" s="93" t="e">
        <f>IF(ISBLANK(M249),0,L249/ROUND(M249,4))</f>
        <v>#DIV/0!</v>
      </c>
      <c r="Q249" s="26" t="e">
        <f>ROUND(O249,2)*P249</f>
        <v>#DIV/0!</v>
      </c>
      <c r="R249" s="93" t="e">
        <f>P249*dagenperjaar1</f>
        <v>#DIV/0!</v>
      </c>
      <c r="S249" s="27" t="e">
        <f>R249*ROUND(O249,2)</f>
        <v>#DIV/0!</v>
      </c>
    </row>
    <row r="250" spans="1:19" x14ac:dyDescent="0.2">
      <c r="A250" s="90" t="s">
        <v>236</v>
      </c>
      <c r="B250" s="91" t="s">
        <v>568</v>
      </c>
      <c r="C250" s="91" t="s">
        <v>238</v>
      </c>
      <c r="D250" s="91" t="s">
        <v>575</v>
      </c>
      <c r="E250" s="92" t="s">
        <v>264</v>
      </c>
      <c r="F250" s="91" t="s">
        <v>574</v>
      </c>
      <c r="G250" s="91" t="s">
        <v>220</v>
      </c>
      <c r="H250" s="91" t="s">
        <v>11</v>
      </c>
      <c r="I250" s="91" t="s">
        <v>186</v>
      </c>
      <c r="J250" s="92" t="s">
        <v>221</v>
      </c>
      <c r="K250" s="93">
        <v>10</v>
      </c>
      <c r="L250" s="93">
        <f>K250*VLOOKUP(H250,dagsoorttabel1,2,FALSE)</f>
        <v>7.6923076923076925</v>
      </c>
      <c r="M250" s="94">
        <f>prodnorm19</f>
        <v>0</v>
      </c>
      <c r="N250" s="91" t="s">
        <v>103</v>
      </c>
      <c r="O250" s="26">
        <f>uurtarief19</f>
        <v>0</v>
      </c>
      <c r="P250" s="93" t="e">
        <f>IF(ISBLANK(M250),0,L250/ROUND(M250,4))</f>
        <v>#DIV/0!</v>
      </c>
      <c r="Q250" s="26" t="e">
        <f>ROUND(O250,2)*P250</f>
        <v>#DIV/0!</v>
      </c>
      <c r="R250" s="93" t="e">
        <f>P250*dagenperjaar1</f>
        <v>#DIV/0!</v>
      </c>
      <c r="S250" s="27" t="e">
        <f>R250*ROUND(O250,2)</f>
        <v>#DIV/0!</v>
      </c>
    </row>
    <row r="251" spans="1:19" x14ac:dyDescent="0.2">
      <c r="A251" s="90" t="s">
        <v>236</v>
      </c>
      <c r="B251" s="91" t="s">
        <v>568</v>
      </c>
      <c r="C251" s="91" t="s">
        <v>238</v>
      </c>
      <c r="D251" s="91" t="s">
        <v>576</v>
      </c>
      <c r="E251" s="92" t="s">
        <v>264</v>
      </c>
      <c r="F251" s="91" t="s">
        <v>574</v>
      </c>
      <c r="G251" s="91" t="s">
        <v>220</v>
      </c>
      <c r="H251" s="91" t="s">
        <v>11</v>
      </c>
      <c r="I251" s="91" t="s">
        <v>186</v>
      </c>
      <c r="J251" s="92" t="s">
        <v>221</v>
      </c>
      <c r="K251" s="93">
        <v>30</v>
      </c>
      <c r="L251" s="93">
        <f>K251*VLOOKUP(H251,dagsoorttabel1,2,FALSE)</f>
        <v>23.076923076923077</v>
      </c>
      <c r="M251" s="94">
        <f>prodnorm19</f>
        <v>0</v>
      </c>
      <c r="N251" s="91" t="s">
        <v>103</v>
      </c>
      <c r="O251" s="26">
        <f>uurtarief19</f>
        <v>0</v>
      </c>
      <c r="P251" s="93" t="e">
        <f>IF(ISBLANK(M251),0,L251/ROUND(M251,4))</f>
        <v>#DIV/0!</v>
      </c>
      <c r="Q251" s="26" t="e">
        <f>ROUND(O251,2)*P251</f>
        <v>#DIV/0!</v>
      </c>
      <c r="R251" s="93" t="e">
        <f>P251*dagenperjaar1</f>
        <v>#DIV/0!</v>
      </c>
      <c r="S251" s="27" t="e">
        <f>R251*ROUND(O251,2)</f>
        <v>#DIV/0!</v>
      </c>
    </row>
    <row r="252" spans="1:19" ht="25.5" x14ac:dyDescent="0.2">
      <c r="A252" s="90" t="s">
        <v>236</v>
      </c>
      <c r="B252" s="91" t="s">
        <v>568</v>
      </c>
      <c r="C252" s="91" t="s">
        <v>238</v>
      </c>
      <c r="D252" s="91" t="s">
        <v>577</v>
      </c>
      <c r="E252" s="92" t="s">
        <v>578</v>
      </c>
      <c r="F252" s="91" t="s">
        <v>288</v>
      </c>
      <c r="G252" s="91" t="s">
        <v>256</v>
      </c>
      <c r="H252" s="91"/>
      <c r="I252" s="91"/>
      <c r="J252" s="91"/>
      <c r="K252" s="93">
        <v>23</v>
      </c>
      <c r="L252" s="93"/>
      <c r="M252" s="94"/>
      <c r="N252" s="91"/>
      <c r="O252" s="26"/>
      <c r="P252" s="93"/>
      <c r="Q252" s="26"/>
      <c r="R252" s="95"/>
      <c r="S252" s="27"/>
    </row>
    <row r="253" spans="1:19" ht="25.5" x14ac:dyDescent="0.2">
      <c r="A253" s="90" t="s">
        <v>236</v>
      </c>
      <c r="B253" s="91" t="s">
        <v>568</v>
      </c>
      <c r="C253" s="91" t="s">
        <v>238</v>
      </c>
      <c r="D253" s="91" t="s">
        <v>579</v>
      </c>
      <c r="E253" s="92" t="s">
        <v>331</v>
      </c>
      <c r="F253" s="91" t="s">
        <v>241</v>
      </c>
      <c r="G253" s="91" t="s">
        <v>222</v>
      </c>
      <c r="H253" s="91" t="s">
        <v>11</v>
      </c>
      <c r="I253" s="91" t="s">
        <v>186</v>
      </c>
      <c r="J253" s="92" t="s">
        <v>223</v>
      </c>
      <c r="K253" s="93">
        <v>215</v>
      </c>
      <c r="L253" s="93">
        <f>K253*VLOOKUP(H253,dagsoorttabel1,2,FALSE)</f>
        <v>165.38461538461539</v>
      </c>
      <c r="M253" s="94">
        <f>prodnorm20</f>
        <v>0</v>
      </c>
      <c r="N253" s="91" t="s">
        <v>103</v>
      </c>
      <c r="O253" s="26">
        <f>uurtarief20</f>
        <v>0</v>
      </c>
      <c r="P253" s="93" t="e">
        <f>IF(ISBLANK(M253),0,L253/ROUND(M253,4))</f>
        <v>#DIV/0!</v>
      </c>
      <c r="Q253" s="26" t="e">
        <f>ROUND(O253,2)*P253</f>
        <v>#DIV/0!</v>
      </c>
      <c r="R253" s="93" t="e">
        <f>P253*dagenperjaar1</f>
        <v>#DIV/0!</v>
      </c>
      <c r="S253" s="27" t="e">
        <f>R253*ROUND(O253,2)</f>
        <v>#DIV/0!</v>
      </c>
    </row>
    <row r="254" spans="1:19" ht="25.5" x14ac:dyDescent="0.2">
      <c r="A254" s="90" t="s">
        <v>236</v>
      </c>
      <c r="B254" s="91" t="s">
        <v>568</v>
      </c>
      <c r="C254" s="91" t="s">
        <v>238</v>
      </c>
      <c r="D254" s="91" t="s">
        <v>580</v>
      </c>
      <c r="E254" s="92" t="s">
        <v>581</v>
      </c>
      <c r="F254" s="91" t="s">
        <v>247</v>
      </c>
      <c r="G254" s="91" t="s">
        <v>222</v>
      </c>
      <c r="H254" s="91" t="s">
        <v>11</v>
      </c>
      <c r="I254" s="91" t="s">
        <v>186</v>
      </c>
      <c r="J254" s="92" t="s">
        <v>223</v>
      </c>
      <c r="K254" s="93">
        <v>40.200000000000003</v>
      </c>
      <c r="L254" s="93">
        <f>K254*VLOOKUP(H254,dagsoorttabel1,2,FALSE)</f>
        <v>30.923076923076927</v>
      </c>
      <c r="M254" s="94">
        <f>prodnorm20</f>
        <v>0</v>
      </c>
      <c r="N254" s="91" t="s">
        <v>103</v>
      </c>
      <c r="O254" s="26">
        <f>uurtarief20</f>
        <v>0</v>
      </c>
      <c r="P254" s="93" t="e">
        <f>IF(ISBLANK(M254),0,L254/ROUND(M254,4))</f>
        <v>#DIV/0!</v>
      </c>
      <c r="Q254" s="26" t="e">
        <f>ROUND(O254,2)*P254</f>
        <v>#DIV/0!</v>
      </c>
      <c r="R254" s="93" t="e">
        <f>P254*dagenperjaar1</f>
        <v>#DIV/0!</v>
      </c>
      <c r="S254" s="27" t="e">
        <f>R254*ROUND(O254,2)</f>
        <v>#DIV/0!</v>
      </c>
    </row>
    <row r="255" spans="1:19" ht="25.5" x14ac:dyDescent="0.2">
      <c r="A255" s="90" t="s">
        <v>236</v>
      </c>
      <c r="B255" s="91" t="s">
        <v>568</v>
      </c>
      <c r="C255" s="91" t="s">
        <v>294</v>
      </c>
      <c r="D255" s="91" t="s">
        <v>582</v>
      </c>
      <c r="E255" s="92" t="s">
        <v>572</v>
      </c>
      <c r="F255" s="91" t="s">
        <v>247</v>
      </c>
      <c r="G255" s="91" t="s">
        <v>222</v>
      </c>
      <c r="H255" s="91" t="s">
        <v>11</v>
      </c>
      <c r="I255" s="91" t="s">
        <v>186</v>
      </c>
      <c r="J255" s="92" t="s">
        <v>223</v>
      </c>
      <c r="K255" s="93">
        <v>424.3</v>
      </c>
      <c r="L255" s="93">
        <f>K255*VLOOKUP(H255,dagsoorttabel1,2,FALSE)</f>
        <v>326.38461538461542</v>
      </c>
      <c r="M255" s="94">
        <f>prodnorm20</f>
        <v>0</v>
      </c>
      <c r="N255" s="91" t="s">
        <v>103</v>
      </c>
      <c r="O255" s="26">
        <f>uurtarief20</f>
        <v>0</v>
      </c>
      <c r="P255" s="93" t="e">
        <f>IF(ISBLANK(M255),0,L255/ROUND(M255,4))</f>
        <v>#DIV/0!</v>
      </c>
      <c r="Q255" s="26" t="e">
        <f>ROUND(O255,2)*P255</f>
        <v>#DIV/0!</v>
      </c>
      <c r="R255" s="93" t="e">
        <f>P255*dagenperjaar1</f>
        <v>#DIV/0!</v>
      </c>
      <c r="S255" s="27" t="e">
        <f>R255*ROUND(O255,2)</f>
        <v>#DIV/0!</v>
      </c>
    </row>
    <row r="256" spans="1:19" x14ac:dyDescent="0.2">
      <c r="A256" s="90" t="s">
        <v>236</v>
      </c>
      <c r="B256" s="91" t="s">
        <v>568</v>
      </c>
      <c r="C256" s="91" t="s">
        <v>294</v>
      </c>
      <c r="D256" s="91" t="s">
        <v>583</v>
      </c>
      <c r="E256" s="92" t="s">
        <v>264</v>
      </c>
      <c r="F256" s="91" t="s">
        <v>247</v>
      </c>
      <c r="G256" s="91" t="s">
        <v>220</v>
      </c>
      <c r="H256" s="91" t="s">
        <v>11</v>
      </c>
      <c r="I256" s="91" t="s">
        <v>186</v>
      </c>
      <c r="J256" s="92" t="s">
        <v>221</v>
      </c>
      <c r="K256" s="93">
        <v>30</v>
      </c>
      <c r="L256" s="93">
        <f>K256*VLOOKUP(H256,dagsoorttabel1,2,FALSE)</f>
        <v>23.076923076923077</v>
      </c>
      <c r="M256" s="94">
        <f>prodnorm19</f>
        <v>0</v>
      </c>
      <c r="N256" s="91" t="s">
        <v>103</v>
      </c>
      <c r="O256" s="26">
        <f>uurtarief19</f>
        <v>0</v>
      </c>
      <c r="P256" s="93" t="e">
        <f>IF(ISBLANK(M256),0,L256/ROUND(M256,4))</f>
        <v>#DIV/0!</v>
      </c>
      <c r="Q256" s="26" t="e">
        <f>ROUND(O256,2)*P256</f>
        <v>#DIV/0!</v>
      </c>
      <c r="R256" s="93" t="e">
        <f>P256*dagenperjaar1</f>
        <v>#DIV/0!</v>
      </c>
      <c r="S256" s="27" t="e">
        <f>R256*ROUND(O256,2)</f>
        <v>#DIV/0!</v>
      </c>
    </row>
    <row r="257" spans="1:19" ht="25.5" x14ac:dyDescent="0.2">
      <c r="A257" s="90" t="s">
        <v>236</v>
      </c>
      <c r="B257" s="91" t="s">
        <v>568</v>
      </c>
      <c r="C257" s="91" t="s">
        <v>294</v>
      </c>
      <c r="D257" s="91" t="s">
        <v>584</v>
      </c>
      <c r="E257" s="92" t="s">
        <v>331</v>
      </c>
      <c r="F257" s="91" t="s">
        <v>247</v>
      </c>
      <c r="G257" s="91" t="s">
        <v>222</v>
      </c>
      <c r="H257" s="91" t="s">
        <v>11</v>
      </c>
      <c r="I257" s="91" t="s">
        <v>186</v>
      </c>
      <c r="J257" s="92" t="s">
        <v>223</v>
      </c>
      <c r="K257" s="93">
        <v>77.5</v>
      </c>
      <c r="L257" s="93">
        <f>K257*VLOOKUP(H257,dagsoorttabel1,2,FALSE)</f>
        <v>59.61538461538462</v>
      </c>
      <c r="M257" s="94">
        <f>prodnorm20</f>
        <v>0</v>
      </c>
      <c r="N257" s="91" t="s">
        <v>103</v>
      </c>
      <c r="O257" s="26">
        <f>uurtarief20</f>
        <v>0</v>
      </c>
      <c r="P257" s="93" t="e">
        <f>IF(ISBLANK(M257),0,L257/ROUND(M257,4))</f>
        <v>#DIV/0!</v>
      </c>
      <c r="Q257" s="26" t="e">
        <f>ROUND(O257,2)*P257</f>
        <v>#DIV/0!</v>
      </c>
      <c r="R257" s="93" t="e">
        <f>P257*dagenperjaar1</f>
        <v>#DIV/0!</v>
      </c>
      <c r="S257" s="27" t="e">
        <f>R257*ROUND(O257,2)</f>
        <v>#DIV/0!</v>
      </c>
    </row>
    <row r="258" spans="1:19" x14ac:dyDescent="0.2">
      <c r="A258" s="90" t="s">
        <v>236</v>
      </c>
      <c r="B258" s="91" t="s">
        <v>568</v>
      </c>
      <c r="C258" s="91" t="s">
        <v>294</v>
      </c>
      <c r="D258" s="91" t="s">
        <v>585</v>
      </c>
      <c r="E258" s="92" t="s">
        <v>264</v>
      </c>
      <c r="F258" s="91" t="s">
        <v>247</v>
      </c>
      <c r="G258" s="91" t="s">
        <v>220</v>
      </c>
      <c r="H258" s="91" t="s">
        <v>11</v>
      </c>
      <c r="I258" s="91" t="s">
        <v>186</v>
      </c>
      <c r="J258" s="92" t="s">
        <v>221</v>
      </c>
      <c r="K258" s="93">
        <v>20</v>
      </c>
      <c r="L258" s="93">
        <f>K258*VLOOKUP(H258,dagsoorttabel1,2,FALSE)</f>
        <v>15.384615384615385</v>
      </c>
      <c r="M258" s="94">
        <f>prodnorm19</f>
        <v>0</v>
      </c>
      <c r="N258" s="91" t="s">
        <v>103</v>
      </c>
      <c r="O258" s="26">
        <f>uurtarief19</f>
        <v>0</v>
      </c>
      <c r="P258" s="93" t="e">
        <f>IF(ISBLANK(M258),0,L258/ROUND(M258,4))</f>
        <v>#DIV/0!</v>
      </c>
      <c r="Q258" s="26" t="e">
        <f>ROUND(O258,2)*P258</f>
        <v>#DIV/0!</v>
      </c>
      <c r="R258" s="93" t="e">
        <f>P258*dagenperjaar1</f>
        <v>#DIV/0!</v>
      </c>
      <c r="S258" s="27" t="e">
        <f>R258*ROUND(O258,2)</f>
        <v>#DIV/0!</v>
      </c>
    </row>
    <row r="259" spans="1:19" x14ac:dyDescent="0.2">
      <c r="A259" s="90" t="s">
        <v>236</v>
      </c>
      <c r="B259" s="91" t="s">
        <v>568</v>
      </c>
      <c r="C259" s="91" t="s">
        <v>294</v>
      </c>
      <c r="D259" s="91" t="s">
        <v>586</v>
      </c>
      <c r="E259" s="92" t="s">
        <v>262</v>
      </c>
      <c r="F259" s="91" t="s">
        <v>247</v>
      </c>
      <c r="G259" s="91" t="s">
        <v>256</v>
      </c>
      <c r="H259" s="91"/>
      <c r="I259" s="91"/>
      <c r="J259" s="91"/>
      <c r="K259" s="93">
        <v>10.199999999999999</v>
      </c>
      <c r="L259" s="93"/>
      <c r="M259" s="94"/>
      <c r="N259" s="91"/>
      <c r="O259" s="26"/>
      <c r="P259" s="93"/>
      <c r="Q259" s="26"/>
      <c r="R259" s="95"/>
      <c r="S259" s="27"/>
    </row>
    <row r="260" spans="1:19" ht="25.5" x14ac:dyDescent="0.2">
      <c r="A260" s="90" t="s">
        <v>236</v>
      </c>
      <c r="B260" s="91" t="s">
        <v>568</v>
      </c>
      <c r="C260" s="91" t="s">
        <v>335</v>
      </c>
      <c r="D260" s="91" t="s">
        <v>587</v>
      </c>
      <c r="E260" s="92" t="s">
        <v>572</v>
      </c>
      <c r="F260" s="91" t="s">
        <v>247</v>
      </c>
      <c r="G260" s="91" t="s">
        <v>222</v>
      </c>
      <c r="H260" s="91" t="s">
        <v>11</v>
      </c>
      <c r="I260" s="91" t="s">
        <v>186</v>
      </c>
      <c r="J260" s="92" t="s">
        <v>223</v>
      </c>
      <c r="K260" s="93">
        <v>52.8</v>
      </c>
      <c r="L260" s="93">
        <f>K260*VLOOKUP(H260,dagsoorttabel1,2,FALSE)</f>
        <v>40.615384615384613</v>
      </c>
      <c r="M260" s="94">
        <f>prodnorm20</f>
        <v>0</v>
      </c>
      <c r="N260" s="91" t="s">
        <v>103</v>
      </c>
      <c r="O260" s="26">
        <f>uurtarief20</f>
        <v>0</v>
      </c>
      <c r="P260" s="93" t="e">
        <f>IF(ISBLANK(M260),0,L260/ROUND(M260,4))</f>
        <v>#DIV/0!</v>
      </c>
      <c r="Q260" s="26" t="e">
        <f>ROUND(O260,2)*P260</f>
        <v>#DIV/0!</v>
      </c>
      <c r="R260" s="93" t="e">
        <f>P260*dagenperjaar1</f>
        <v>#DIV/0!</v>
      </c>
      <c r="S260" s="27" t="e">
        <f>R260*ROUND(O260,2)</f>
        <v>#DIV/0!</v>
      </c>
    </row>
    <row r="261" spans="1:19" ht="25.5" x14ac:dyDescent="0.2">
      <c r="A261" s="90" t="s">
        <v>236</v>
      </c>
      <c r="B261" s="91" t="s">
        <v>568</v>
      </c>
      <c r="C261" s="91" t="s">
        <v>335</v>
      </c>
      <c r="D261" s="91" t="s">
        <v>588</v>
      </c>
      <c r="E261" s="92" t="s">
        <v>331</v>
      </c>
      <c r="F261" s="91" t="s">
        <v>247</v>
      </c>
      <c r="G261" s="91" t="s">
        <v>222</v>
      </c>
      <c r="H261" s="91" t="s">
        <v>11</v>
      </c>
      <c r="I261" s="91" t="s">
        <v>186</v>
      </c>
      <c r="J261" s="92" t="s">
        <v>223</v>
      </c>
      <c r="K261" s="93">
        <v>64.7</v>
      </c>
      <c r="L261" s="93">
        <f>K261*VLOOKUP(H261,dagsoorttabel1,2,FALSE)</f>
        <v>49.769230769230774</v>
      </c>
      <c r="M261" s="94">
        <f>prodnorm20</f>
        <v>0</v>
      </c>
      <c r="N261" s="91" t="s">
        <v>103</v>
      </c>
      <c r="O261" s="26">
        <f>uurtarief20</f>
        <v>0</v>
      </c>
      <c r="P261" s="93" t="e">
        <f>IF(ISBLANK(M261),0,L261/ROUND(M261,4))</f>
        <v>#DIV/0!</v>
      </c>
      <c r="Q261" s="26" t="e">
        <f>ROUND(O261,2)*P261</f>
        <v>#DIV/0!</v>
      </c>
      <c r="R261" s="93" t="e">
        <f>P261*dagenperjaar1</f>
        <v>#DIV/0!</v>
      </c>
      <c r="S261" s="27" t="e">
        <f>R261*ROUND(O261,2)</f>
        <v>#DIV/0!</v>
      </c>
    </row>
    <row r="262" spans="1:19" ht="25.5" x14ac:dyDescent="0.2">
      <c r="A262" s="90" t="s">
        <v>236</v>
      </c>
      <c r="B262" s="91" t="s">
        <v>589</v>
      </c>
      <c r="C262" s="91" t="s">
        <v>238</v>
      </c>
      <c r="D262" s="91" t="s">
        <v>590</v>
      </c>
      <c r="E262" s="92" t="s">
        <v>591</v>
      </c>
      <c r="F262" s="91" t="s">
        <v>592</v>
      </c>
      <c r="G262" s="91" t="s">
        <v>198</v>
      </c>
      <c r="H262" s="91" t="s">
        <v>11</v>
      </c>
      <c r="I262" s="91" t="s">
        <v>186</v>
      </c>
      <c r="J262" s="92" t="s">
        <v>199</v>
      </c>
      <c r="K262" s="93">
        <v>309.39999999999998</v>
      </c>
      <c r="L262" s="93">
        <f>K262*VLOOKUP(H262,dagsoorttabel1,2,FALSE)</f>
        <v>238</v>
      </c>
      <c r="M262" s="94">
        <f>prodnorm7</f>
        <v>0</v>
      </c>
      <c r="N262" s="91" t="s">
        <v>103</v>
      </c>
      <c r="O262" s="26">
        <f>uurtarief7</f>
        <v>0</v>
      </c>
      <c r="P262" s="93" t="e">
        <f>IF(ISBLANK(M262),0,L262/ROUND(M262,4))</f>
        <v>#DIV/0!</v>
      </c>
      <c r="Q262" s="26" t="e">
        <f>ROUND(O262,2)*P262</f>
        <v>#DIV/0!</v>
      </c>
      <c r="R262" s="93" t="e">
        <f>P262*dagenperjaar1</f>
        <v>#DIV/0!</v>
      </c>
      <c r="S262" s="27" t="e">
        <f>R262*ROUND(O262,2)</f>
        <v>#DIV/0!</v>
      </c>
    </row>
    <row r="263" spans="1:19" x14ac:dyDescent="0.2">
      <c r="A263" s="90" t="s">
        <v>236</v>
      </c>
      <c r="B263" s="91" t="s">
        <v>589</v>
      </c>
      <c r="C263" s="91" t="s">
        <v>238</v>
      </c>
      <c r="D263" s="91" t="s">
        <v>593</v>
      </c>
      <c r="E263" s="92" t="s">
        <v>594</v>
      </c>
      <c r="F263" s="91" t="s">
        <v>265</v>
      </c>
      <c r="G263" s="91" t="s">
        <v>256</v>
      </c>
      <c r="H263" s="91"/>
      <c r="I263" s="91"/>
      <c r="J263" s="91"/>
      <c r="K263" s="93">
        <v>59.2</v>
      </c>
      <c r="L263" s="93"/>
      <c r="M263" s="94"/>
      <c r="N263" s="91"/>
      <c r="O263" s="26"/>
      <c r="P263" s="93"/>
      <c r="Q263" s="26"/>
      <c r="R263" s="95"/>
      <c r="S263" s="27"/>
    </row>
    <row r="264" spans="1:19" ht="25.5" x14ac:dyDescent="0.2">
      <c r="A264" s="90" t="s">
        <v>236</v>
      </c>
      <c r="B264" s="91" t="s">
        <v>589</v>
      </c>
      <c r="C264" s="91" t="s">
        <v>238</v>
      </c>
      <c r="D264" s="91" t="s">
        <v>595</v>
      </c>
      <c r="E264" s="92" t="s">
        <v>596</v>
      </c>
      <c r="F264" s="91" t="s">
        <v>265</v>
      </c>
      <c r="G264" s="91" t="s">
        <v>222</v>
      </c>
      <c r="H264" s="91" t="s">
        <v>11</v>
      </c>
      <c r="I264" s="91" t="s">
        <v>186</v>
      </c>
      <c r="J264" s="92" t="s">
        <v>223</v>
      </c>
      <c r="K264" s="93">
        <v>19.5</v>
      </c>
      <c r="L264" s="93">
        <f>K264*VLOOKUP(H264,dagsoorttabel1,2,FALSE)</f>
        <v>15</v>
      </c>
      <c r="M264" s="94">
        <f>prodnorm20</f>
        <v>0</v>
      </c>
      <c r="N264" s="91" t="s">
        <v>103</v>
      </c>
      <c r="O264" s="26">
        <f>uurtarief20</f>
        <v>0</v>
      </c>
      <c r="P264" s="93" t="e">
        <f>IF(ISBLANK(M264),0,L264/ROUND(M264,4))</f>
        <v>#DIV/0!</v>
      </c>
      <c r="Q264" s="26" t="e">
        <f>ROUND(O264,2)*P264</f>
        <v>#DIV/0!</v>
      </c>
      <c r="R264" s="93" t="e">
        <f>P264*dagenperjaar1</f>
        <v>#DIV/0!</v>
      </c>
      <c r="S264" s="27" t="e">
        <f>R264*ROUND(O264,2)</f>
        <v>#DIV/0!</v>
      </c>
    </row>
    <row r="265" spans="1:19" x14ac:dyDescent="0.2">
      <c r="A265" s="90" t="s">
        <v>236</v>
      </c>
      <c r="B265" s="91" t="s">
        <v>589</v>
      </c>
      <c r="C265" s="91" t="s">
        <v>294</v>
      </c>
      <c r="D265" s="91" t="s">
        <v>597</v>
      </c>
      <c r="E265" s="92" t="s">
        <v>598</v>
      </c>
      <c r="F265" s="91" t="s">
        <v>265</v>
      </c>
      <c r="G265" s="91" t="s">
        <v>256</v>
      </c>
      <c r="H265" s="91"/>
      <c r="I265" s="91"/>
      <c r="J265" s="91"/>
      <c r="K265" s="93">
        <v>81.8</v>
      </c>
      <c r="L265" s="93"/>
      <c r="M265" s="94"/>
      <c r="N265" s="91"/>
      <c r="O265" s="26"/>
      <c r="P265" s="93"/>
      <c r="Q265" s="26"/>
      <c r="R265" s="95"/>
      <c r="S265" s="27"/>
    </row>
    <row r="266" spans="1:19" x14ac:dyDescent="0.2">
      <c r="A266" s="90" t="s">
        <v>236</v>
      </c>
      <c r="B266" s="91" t="s">
        <v>599</v>
      </c>
      <c r="C266" s="91" t="s">
        <v>238</v>
      </c>
      <c r="D266" s="91" t="s">
        <v>600</v>
      </c>
      <c r="E266" s="92" t="s">
        <v>526</v>
      </c>
      <c r="F266" s="91" t="s">
        <v>288</v>
      </c>
      <c r="G266" s="91" t="s">
        <v>216</v>
      </c>
      <c r="H266" s="91" t="s">
        <v>11</v>
      </c>
      <c r="I266" s="91" t="s">
        <v>186</v>
      </c>
      <c r="J266" s="92" t="s">
        <v>217</v>
      </c>
      <c r="K266" s="93">
        <v>2.2000000000000002</v>
      </c>
      <c r="L266" s="93">
        <f>K266*VLOOKUP(H266,dagsoorttabel1,2,FALSE)</f>
        <v>1.6923076923076925</v>
      </c>
      <c r="M266" s="94">
        <f>prodnorm17</f>
        <v>0</v>
      </c>
      <c r="N266" s="91" t="s">
        <v>103</v>
      </c>
      <c r="O266" s="26">
        <f>uurtarief17</f>
        <v>0</v>
      </c>
      <c r="P266" s="93" t="e">
        <f>IF(ISBLANK(M266),0,L266/ROUND(M266,4))</f>
        <v>#DIV/0!</v>
      </c>
      <c r="Q266" s="26" t="e">
        <f>ROUND(O266,2)*P266</f>
        <v>#DIV/0!</v>
      </c>
      <c r="R266" s="93" t="e">
        <f>P266*dagenperjaar1</f>
        <v>#DIV/0!</v>
      </c>
      <c r="S266" s="27" t="e">
        <f>R266*ROUND(O266,2)</f>
        <v>#DIV/0!</v>
      </c>
    </row>
    <row r="267" spans="1:19" x14ac:dyDescent="0.2">
      <c r="A267" s="90" t="s">
        <v>236</v>
      </c>
      <c r="B267" s="91" t="s">
        <v>599</v>
      </c>
      <c r="C267" s="91" t="s">
        <v>238</v>
      </c>
      <c r="D267" s="91" t="s">
        <v>600</v>
      </c>
      <c r="E267" s="92" t="s">
        <v>526</v>
      </c>
      <c r="F267" s="91" t="s">
        <v>288</v>
      </c>
      <c r="G267" s="91" t="s">
        <v>218</v>
      </c>
      <c r="H267" s="91" t="s">
        <v>11</v>
      </c>
      <c r="I267" s="91" t="s">
        <v>186</v>
      </c>
      <c r="J267" s="92" t="s">
        <v>219</v>
      </c>
      <c r="K267" s="93">
        <v>2.2000000000000002</v>
      </c>
      <c r="L267" s="93">
        <f>K267*VLOOKUP(H267,dagsoorttabel1,2,FALSE)</f>
        <v>1.6923076923076925</v>
      </c>
      <c r="M267" s="94">
        <f>prodnorm18</f>
        <v>0</v>
      </c>
      <c r="N267" s="91" t="s">
        <v>103</v>
      </c>
      <c r="O267" s="26">
        <f>uurtarief18</f>
        <v>0</v>
      </c>
      <c r="P267" s="93" t="e">
        <f>IF(ISBLANK(M267),0,L267/ROUND(M267,4))</f>
        <v>#DIV/0!</v>
      </c>
      <c r="Q267" s="26" t="e">
        <f>ROUND(O267,2)*P267</f>
        <v>#DIV/0!</v>
      </c>
      <c r="R267" s="93" t="e">
        <f>P267*dagenperjaar1</f>
        <v>#DIV/0!</v>
      </c>
      <c r="S267" s="27" t="e">
        <f>R267*ROUND(O267,2)</f>
        <v>#DIV/0!</v>
      </c>
    </row>
    <row r="268" spans="1:19" x14ac:dyDescent="0.2">
      <c r="A268" s="90" t="s">
        <v>236</v>
      </c>
      <c r="B268" s="91" t="s">
        <v>599</v>
      </c>
      <c r="C268" s="91" t="s">
        <v>238</v>
      </c>
      <c r="D268" s="91" t="s">
        <v>601</v>
      </c>
      <c r="E268" s="92" t="s">
        <v>602</v>
      </c>
      <c r="F268" s="91" t="s">
        <v>288</v>
      </c>
      <c r="G268" s="91" t="s">
        <v>204</v>
      </c>
      <c r="H268" s="91" t="s">
        <v>11</v>
      </c>
      <c r="I268" s="91" t="s">
        <v>186</v>
      </c>
      <c r="J268" s="92" t="s">
        <v>205</v>
      </c>
      <c r="K268" s="93">
        <v>27.2</v>
      </c>
      <c r="L268" s="93">
        <f>K268*VLOOKUP(H268,dagsoorttabel1,2,FALSE)</f>
        <v>20.923076923076923</v>
      </c>
      <c r="M268" s="94">
        <f>prodnorm11</f>
        <v>0</v>
      </c>
      <c r="N268" s="91" t="s">
        <v>103</v>
      </c>
      <c r="O268" s="26">
        <f>uurtarief11</f>
        <v>0</v>
      </c>
      <c r="P268" s="93" t="e">
        <f>IF(ISBLANK(M268),0,L268/ROUND(M268,4))</f>
        <v>#DIV/0!</v>
      </c>
      <c r="Q268" s="26" t="e">
        <f>ROUND(O268,2)*P268</f>
        <v>#DIV/0!</v>
      </c>
      <c r="R268" s="93" t="e">
        <f>P268*dagenperjaar1</f>
        <v>#DIV/0!</v>
      </c>
      <c r="S268" s="27" t="e">
        <f>R268*ROUND(O268,2)</f>
        <v>#DIV/0!</v>
      </c>
    </row>
    <row r="269" spans="1:19" x14ac:dyDescent="0.2">
      <c r="A269" s="90" t="s">
        <v>236</v>
      </c>
      <c r="B269" s="91" t="s">
        <v>599</v>
      </c>
      <c r="C269" s="91" t="s">
        <v>238</v>
      </c>
      <c r="D269" s="91" t="s">
        <v>603</v>
      </c>
      <c r="E269" s="92" t="s">
        <v>604</v>
      </c>
      <c r="F269" s="91" t="s">
        <v>288</v>
      </c>
      <c r="G269" s="91" t="s">
        <v>216</v>
      </c>
      <c r="H269" s="91" t="s">
        <v>11</v>
      </c>
      <c r="I269" s="91" t="s">
        <v>186</v>
      </c>
      <c r="J269" s="92" t="s">
        <v>217</v>
      </c>
      <c r="K269" s="93">
        <v>4</v>
      </c>
      <c r="L269" s="93">
        <f>K269*VLOOKUP(H269,dagsoorttabel1,2,FALSE)</f>
        <v>3.0769230769230771</v>
      </c>
      <c r="M269" s="94">
        <f>prodnorm17</f>
        <v>0</v>
      </c>
      <c r="N269" s="91" t="s">
        <v>103</v>
      </c>
      <c r="O269" s="26">
        <f>uurtarief17</f>
        <v>0</v>
      </c>
      <c r="P269" s="93" t="e">
        <f>IF(ISBLANK(M269),0,L269/ROUND(M269,4))</f>
        <v>#DIV/0!</v>
      </c>
      <c r="Q269" s="26" t="e">
        <f>ROUND(O269,2)*P269</f>
        <v>#DIV/0!</v>
      </c>
      <c r="R269" s="93" t="e">
        <f>P269*dagenperjaar1</f>
        <v>#DIV/0!</v>
      </c>
      <c r="S269" s="27" t="e">
        <f>R269*ROUND(O269,2)</f>
        <v>#DIV/0!</v>
      </c>
    </row>
    <row r="270" spans="1:19" x14ac:dyDescent="0.2">
      <c r="A270" s="90" t="s">
        <v>236</v>
      </c>
      <c r="B270" s="91" t="s">
        <v>599</v>
      </c>
      <c r="C270" s="91" t="s">
        <v>238</v>
      </c>
      <c r="D270" s="91" t="s">
        <v>605</v>
      </c>
      <c r="E270" s="92" t="s">
        <v>602</v>
      </c>
      <c r="F270" s="91" t="s">
        <v>288</v>
      </c>
      <c r="G270" s="91" t="s">
        <v>204</v>
      </c>
      <c r="H270" s="91" t="s">
        <v>11</v>
      </c>
      <c r="I270" s="91" t="s">
        <v>186</v>
      </c>
      <c r="J270" s="92" t="s">
        <v>205</v>
      </c>
      <c r="K270" s="93">
        <v>27.2</v>
      </c>
      <c r="L270" s="93">
        <f>K270*VLOOKUP(H270,dagsoorttabel1,2,FALSE)</f>
        <v>20.923076923076923</v>
      </c>
      <c r="M270" s="94">
        <f>prodnorm11</f>
        <v>0</v>
      </c>
      <c r="N270" s="91" t="s">
        <v>103</v>
      </c>
      <c r="O270" s="26">
        <f>uurtarief11</f>
        <v>0</v>
      </c>
      <c r="P270" s="93" t="e">
        <f>IF(ISBLANK(M270),0,L270/ROUND(M270,4))</f>
        <v>#DIV/0!</v>
      </c>
      <c r="Q270" s="26" t="e">
        <f>ROUND(O270,2)*P270</f>
        <v>#DIV/0!</v>
      </c>
      <c r="R270" s="93" t="e">
        <f>P270*dagenperjaar1</f>
        <v>#DIV/0!</v>
      </c>
      <c r="S270" s="27" t="e">
        <f>R270*ROUND(O270,2)</f>
        <v>#DIV/0!</v>
      </c>
    </row>
    <row r="271" spans="1:19" x14ac:dyDescent="0.2">
      <c r="A271" s="90" t="s">
        <v>236</v>
      </c>
      <c r="B271" s="91" t="s">
        <v>599</v>
      </c>
      <c r="C271" s="91" t="s">
        <v>238</v>
      </c>
      <c r="D271" s="91" t="s">
        <v>606</v>
      </c>
      <c r="E271" s="92" t="s">
        <v>602</v>
      </c>
      <c r="F271" s="91" t="s">
        <v>288</v>
      </c>
      <c r="G271" s="91" t="s">
        <v>204</v>
      </c>
      <c r="H271" s="91" t="s">
        <v>11</v>
      </c>
      <c r="I271" s="91" t="s">
        <v>186</v>
      </c>
      <c r="J271" s="92" t="s">
        <v>205</v>
      </c>
      <c r="K271" s="93">
        <v>22.7</v>
      </c>
      <c r="L271" s="93">
        <f>K271*VLOOKUP(H271,dagsoorttabel1,2,FALSE)</f>
        <v>17.461538461538463</v>
      </c>
      <c r="M271" s="94">
        <f>prodnorm11</f>
        <v>0</v>
      </c>
      <c r="N271" s="91" t="s">
        <v>103</v>
      </c>
      <c r="O271" s="26">
        <f>uurtarief11</f>
        <v>0</v>
      </c>
      <c r="P271" s="93" t="e">
        <f>IF(ISBLANK(M271),0,L271/ROUND(M271,4))</f>
        <v>#DIV/0!</v>
      </c>
      <c r="Q271" s="26" t="e">
        <f>ROUND(O271,2)*P271</f>
        <v>#DIV/0!</v>
      </c>
      <c r="R271" s="93" t="e">
        <f>P271*dagenperjaar1</f>
        <v>#DIV/0!</v>
      </c>
      <c r="S271" s="27" t="e">
        <f>R271*ROUND(O271,2)</f>
        <v>#DIV/0!</v>
      </c>
    </row>
    <row r="272" spans="1:19" x14ac:dyDescent="0.2">
      <c r="A272" s="90" t="s">
        <v>236</v>
      </c>
      <c r="B272" s="91" t="s">
        <v>599</v>
      </c>
      <c r="C272" s="91" t="s">
        <v>238</v>
      </c>
      <c r="D272" s="91" t="s">
        <v>607</v>
      </c>
      <c r="E272" s="92" t="s">
        <v>262</v>
      </c>
      <c r="F272" s="91" t="s">
        <v>592</v>
      </c>
      <c r="G272" s="91" t="s">
        <v>256</v>
      </c>
      <c r="H272" s="91"/>
      <c r="I272" s="91"/>
      <c r="J272" s="91"/>
      <c r="K272" s="93">
        <v>45.1</v>
      </c>
      <c r="L272" s="93"/>
      <c r="M272" s="94"/>
      <c r="N272" s="91"/>
      <c r="O272" s="26"/>
      <c r="P272" s="93"/>
      <c r="Q272" s="26"/>
      <c r="R272" s="95"/>
      <c r="S272" s="27"/>
    </row>
    <row r="273" spans="1:19" ht="25.5" x14ac:dyDescent="0.2">
      <c r="A273" s="90" t="s">
        <v>236</v>
      </c>
      <c r="B273" s="91" t="s">
        <v>599</v>
      </c>
      <c r="C273" s="91" t="s">
        <v>238</v>
      </c>
      <c r="D273" s="91" t="s">
        <v>608</v>
      </c>
      <c r="E273" s="92" t="s">
        <v>609</v>
      </c>
      <c r="F273" s="91" t="s">
        <v>288</v>
      </c>
      <c r="G273" s="91" t="s">
        <v>188</v>
      </c>
      <c r="H273" s="91" t="s">
        <v>11</v>
      </c>
      <c r="I273" s="91" t="s">
        <v>186</v>
      </c>
      <c r="J273" s="92" t="s">
        <v>189</v>
      </c>
      <c r="K273" s="93">
        <v>8.5</v>
      </c>
      <c r="L273" s="93">
        <f>K273*VLOOKUP(H273,dagsoorttabel1,2,FALSE)</f>
        <v>6.5384615384615392</v>
      </c>
      <c r="M273" s="94">
        <f>prodnorm2</f>
        <v>0</v>
      </c>
      <c r="N273" s="91" t="s">
        <v>103</v>
      </c>
      <c r="O273" s="26">
        <f>uurtarief2</f>
        <v>0</v>
      </c>
      <c r="P273" s="93" t="e">
        <f>IF(ISBLANK(M273),0,L273/ROUND(M273,4))</f>
        <v>#DIV/0!</v>
      </c>
      <c r="Q273" s="26" t="e">
        <f>ROUND(O273,2)*P273</f>
        <v>#DIV/0!</v>
      </c>
      <c r="R273" s="93" t="e">
        <f>P273*dagenperjaar1</f>
        <v>#DIV/0!</v>
      </c>
      <c r="S273" s="27" t="e">
        <f>R273*ROUND(O273,2)</f>
        <v>#DIV/0!</v>
      </c>
    </row>
    <row r="274" spans="1:19" x14ac:dyDescent="0.2">
      <c r="A274" s="90" t="s">
        <v>236</v>
      </c>
      <c r="B274" s="91" t="s">
        <v>599</v>
      </c>
      <c r="C274" s="91" t="s">
        <v>238</v>
      </c>
      <c r="D274" s="91" t="s">
        <v>610</v>
      </c>
      <c r="E274" s="92" t="s">
        <v>443</v>
      </c>
      <c r="F274" s="91" t="s">
        <v>265</v>
      </c>
      <c r="G274" s="91" t="s">
        <v>256</v>
      </c>
      <c r="H274" s="91"/>
      <c r="I274" s="91"/>
      <c r="J274" s="91"/>
      <c r="K274" s="93">
        <v>0.4</v>
      </c>
      <c r="L274" s="93"/>
      <c r="M274" s="94"/>
      <c r="N274" s="91"/>
      <c r="O274" s="26"/>
      <c r="P274" s="93"/>
      <c r="Q274" s="26"/>
      <c r="R274" s="95"/>
      <c r="S274" s="27"/>
    </row>
    <row r="275" spans="1:19" x14ac:dyDescent="0.2">
      <c r="A275" s="90" t="s">
        <v>236</v>
      </c>
      <c r="B275" s="91" t="s">
        <v>599</v>
      </c>
      <c r="C275" s="91" t="s">
        <v>238</v>
      </c>
      <c r="D275" s="91" t="s">
        <v>611</v>
      </c>
      <c r="E275" s="92" t="s">
        <v>602</v>
      </c>
      <c r="F275" s="91" t="s">
        <v>288</v>
      </c>
      <c r="G275" s="91" t="s">
        <v>204</v>
      </c>
      <c r="H275" s="91" t="s">
        <v>11</v>
      </c>
      <c r="I275" s="91" t="s">
        <v>186</v>
      </c>
      <c r="J275" s="92" t="s">
        <v>205</v>
      </c>
      <c r="K275" s="93">
        <v>24.2</v>
      </c>
      <c r="L275" s="93">
        <f>K275*VLOOKUP(H275,dagsoorttabel1,2,FALSE)</f>
        <v>18.615384615384617</v>
      </c>
      <c r="M275" s="94">
        <f>prodnorm11</f>
        <v>0</v>
      </c>
      <c r="N275" s="91" t="s">
        <v>103</v>
      </c>
      <c r="O275" s="26">
        <f>uurtarief11</f>
        <v>0</v>
      </c>
      <c r="P275" s="93" t="e">
        <f>IF(ISBLANK(M275),0,L275/ROUND(M275,4))</f>
        <v>#DIV/0!</v>
      </c>
      <c r="Q275" s="26" t="e">
        <f>ROUND(O275,2)*P275</f>
        <v>#DIV/0!</v>
      </c>
      <c r="R275" s="93" t="e">
        <f>P275*dagenperjaar1</f>
        <v>#DIV/0!</v>
      </c>
      <c r="S275" s="27" t="e">
        <f>R275*ROUND(O275,2)</f>
        <v>#DIV/0!</v>
      </c>
    </row>
    <row r="276" spans="1:19" x14ac:dyDescent="0.2">
      <c r="A276" s="90" t="s">
        <v>236</v>
      </c>
      <c r="B276" s="91" t="s">
        <v>599</v>
      </c>
      <c r="C276" s="91" t="s">
        <v>238</v>
      </c>
      <c r="D276" s="91" t="s">
        <v>612</v>
      </c>
      <c r="E276" s="92" t="s">
        <v>526</v>
      </c>
      <c r="F276" s="91" t="s">
        <v>288</v>
      </c>
      <c r="G276" s="91" t="s">
        <v>216</v>
      </c>
      <c r="H276" s="91" t="s">
        <v>11</v>
      </c>
      <c r="I276" s="91" t="s">
        <v>186</v>
      </c>
      <c r="J276" s="92" t="s">
        <v>217</v>
      </c>
      <c r="K276" s="93">
        <v>1.1000000000000001</v>
      </c>
      <c r="L276" s="93">
        <f>K276*VLOOKUP(H276,dagsoorttabel1,2,FALSE)</f>
        <v>0.84615384615384626</v>
      </c>
      <c r="M276" s="94">
        <f>prodnorm17</f>
        <v>0</v>
      </c>
      <c r="N276" s="91" t="s">
        <v>103</v>
      </c>
      <c r="O276" s="26">
        <f>uurtarief17</f>
        <v>0</v>
      </c>
      <c r="P276" s="93" t="e">
        <f>IF(ISBLANK(M276),0,L276/ROUND(M276,4))</f>
        <v>#DIV/0!</v>
      </c>
      <c r="Q276" s="26" t="e">
        <f>ROUND(O276,2)*P276</f>
        <v>#DIV/0!</v>
      </c>
      <c r="R276" s="93" t="e">
        <f>P276*dagenperjaar1</f>
        <v>#DIV/0!</v>
      </c>
      <c r="S276" s="27" t="e">
        <f>R276*ROUND(O276,2)</f>
        <v>#DIV/0!</v>
      </c>
    </row>
    <row r="277" spans="1:19" x14ac:dyDescent="0.2">
      <c r="A277" s="90" t="s">
        <v>236</v>
      </c>
      <c r="B277" s="91" t="s">
        <v>599</v>
      </c>
      <c r="C277" s="91" t="s">
        <v>238</v>
      </c>
      <c r="D277" s="91" t="s">
        <v>612</v>
      </c>
      <c r="E277" s="92" t="s">
        <v>526</v>
      </c>
      <c r="F277" s="91" t="s">
        <v>288</v>
      </c>
      <c r="G277" s="91" t="s">
        <v>218</v>
      </c>
      <c r="H277" s="91" t="s">
        <v>11</v>
      </c>
      <c r="I277" s="91" t="s">
        <v>186</v>
      </c>
      <c r="J277" s="92" t="s">
        <v>219</v>
      </c>
      <c r="K277" s="93">
        <v>1.1000000000000001</v>
      </c>
      <c r="L277" s="93">
        <f>K277*VLOOKUP(H277,dagsoorttabel1,2,FALSE)</f>
        <v>0.84615384615384626</v>
      </c>
      <c r="M277" s="94">
        <f>prodnorm18</f>
        <v>0</v>
      </c>
      <c r="N277" s="91" t="s">
        <v>103</v>
      </c>
      <c r="O277" s="26">
        <f>uurtarief18</f>
        <v>0</v>
      </c>
      <c r="P277" s="93" t="e">
        <f>IF(ISBLANK(M277),0,L277/ROUND(M277,4))</f>
        <v>#DIV/0!</v>
      </c>
      <c r="Q277" s="26" t="e">
        <f>ROUND(O277,2)*P277</f>
        <v>#DIV/0!</v>
      </c>
      <c r="R277" s="93" t="e">
        <f>P277*dagenperjaar1</f>
        <v>#DIV/0!</v>
      </c>
      <c r="S277" s="27" t="e">
        <f>R277*ROUND(O277,2)</f>
        <v>#DIV/0!</v>
      </c>
    </row>
    <row r="278" spans="1:19" x14ac:dyDescent="0.2">
      <c r="A278" s="90" t="s">
        <v>236</v>
      </c>
      <c r="B278" s="91" t="s">
        <v>599</v>
      </c>
      <c r="C278" s="91" t="s">
        <v>238</v>
      </c>
      <c r="D278" s="91" t="s">
        <v>613</v>
      </c>
      <c r="E278" s="92" t="s">
        <v>526</v>
      </c>
      <c r="F278" s="91" t="s">
        <v>288</v>
      </c>
      <c r="G278" s="91" t="s">
        <v>216</v>
      </c>
      <c r="H278" s="91" t="s">
        <v>11</v>
      </c>
      <c r="I278" s="91" t="s">
        <v>186</v>
      </c>
      <c r="J278" s="92" t="s">
        <v>217</v>
      </c>
      <c r="K278" s="93">
        <v>1.2</v>
      </c>
      <c r="L278" s="93">
        <f>K278*VLOOKUP(H278,dagsoorttabel1,2,FALSE)</f>
        <v>0.92307692307692313</v>
      </c>
      <c r="M278" s="94">
        <f>prodnorm17</f>
        <v>0</v>
      </c>
      <c r="N278" s="91" t="s">
        <v>103</v>
      </c>
      <c r="O278" s="26">
        <f>uurtarief17</f>
        <v>0</v>
      </c>
      <c r="P278" s="93" t="e">
        <f>IF(ISBLANK(M278),0,L278/ROUND(M278,4))</f>
        <v>#DIV/0!</v>
      </c>
      <c r="Q278" s="26" t="e">
        <f>ROUND(O278,2)*P278</f>
        <v>#DIV/0!</v>
      </c>
      <c r="R278" s="93" t="e">
        <f>P278*dagenperjaar1</f>
        <v>#DIV/0!</v>
      </c>
      <c r="S278" s="27" t="e">
        <f>R278*ROUND(O278,2)</f>
        <v>#DIV/0!</v>
      </c>
    </row>
    <row r="279" spans="1:19" x14ac:dyDescent="0.2">
      <c r="A279" s="90" t="s">
        <v>236</v>
      </c>
      <c r="B279" s="91" t="s">
        <v>599</v>
      </c>
      <c r="C279" s="91" t="s">
        <v>238</v>
      </c>
      <c r="D279" s="91" t="s">
        <v>613</v>
      </c>
      <c r="E279" s="92" t="s">
        <v>526</v>
      </c>
      <c r="F279" s="91" t="s">
        <v>288</v>
      </c>
      <c r="G279" s="91" t="s">
        <v>218</v>
      </c>
      <c r="H279" s="91" t="s">
        <v>11</v>
      </c>
      <c r="I279" s="91" t="s">
        <v>186</v>
      </c>
      <c r="J279" s="92" t="s">
        <v>219</v>
      </c>
      <c r="K279" s="93">
        <v>1.2</v>
      </c>
      <c r="L279" s="93">
        <f>K279*VLOOKUP(H279,dagsoorttabel1,2,FALSE)</f>
        <v>0.92307692307692313</v>
      </c>
      <c r="M279" s="94">
        <f>prodnorm18</f>
        <v>0</v>
      </c>
      <c r="N279" s="91" t="s">
        <v>103</v>
      </c>
      <c r="O279" s="26">
        <f>uurtarief18</f>
        <v>0</v>
      </c>
      <c r="P279" s="93" t="e">
        <f>IF(ISBLANK(M279),0,L279/ROUND(M279,4))</f>
        <v>#DIV/0!</v>
      </c>
      <c r="Q279" s="26" t="e">
        <f>ROUND(O279,2)*P279</f>
        <v>#DIV/0!</v>
      </c>
      <c r="R279" s="93" t="e">
        <f>P279*dagenperjaar1</f>
        <v>#DIV/0!</v>
      </c>
      <c r="S279" s="27" t="e">
        <f>R279*ROUND(O279,2)</f>
        <v>#DIV/0!</v>
      </c>
    </row>
    <row r="280" spans="1:19" x14ac:dyDescent="0.2">
      <c r="A280" s="90" t="s">
        <v>236</v>
      </c>
      <c r="B280" s="91" t="s">
        <v>599</v>
      </c>
      <c r="C280" s="91" t="s">
        <v>238</v>
      </c>
      <c r="D280" s="91" t="s">
        <v>614</v>
      </c>
      <c r="E280" s="92" t="s">
        <v>602</v>
      </c>
      <c r="F280" s="91" t="s">
        <v>288</v>
      </c>
      <c r="G280" s="91" t="s">
        <v>204</v>
      </c>
      <c r="H280" s="91" t="s">
        <v>11</v>
      </c>
      <c r="I280" s="91" t="s">
        <v>186</v>
      </c>
      <c r="J280" s="92" t="s">
        <v>205</v>
      </c>
      <c r="K280" s="93">
        <v>27.2</v>
      </c>
      <c r="L280" s="93">
        <f>K280*VLOOKUP(H280,dagsoorttabel1,2,FALSE)</f>
        <v>20.923076923076923</v>
      </c>
      <c r="M280" s="94">
        <f>prodnorm11</f>
        <v>0</v>
      </c>
      <c r="N280" s="91" t="s">
        <v>103</v>
      </c>
      <c r="O280" s="26">
        <f>uurtarief11</f>
        <v>0</v>
      </c>
      <c r="P280" s="93" t="e">
        <f>IF(ISBLANK(M280),0,L280/ROUND(M280,4))</f>
        <v>#DIV/0!</v>
      </c>
      <c r="Q280" s="26" t="e">
        <f>ROUND(O280,2)*P280</f>
        <v>#DIV/0!</v>
      </c>
      <c r="R280" s="93" t="e">
        <f>P280*dagenperjaar1</f>
        <v>#DIV/0!</v>
      </c>
      <c r="S280" s="27" t="e">
        <f>R280*ROUND(O280,2)</f>
        <v>#DIV/0!</v>
      </c>
    </row>
    <row r="281" spans="1:19" ht="25.5" x14ac:dyDescent="0.2">
      <c r="A281" s="90" t="s">
        <v>236</v>
      </c>
      <c r="B281" s="91" t="s">
        <v>599</v>
      </c>
      <c r="C281" s="91" t="s">
        <v>238</v>
      </c>
      <c r="D281" s="91" t="s">
        <v>615</v>
      </c>
      <c r="E281" s="92" t="s">
        <v>262</v>
      </c>
      <c r="F281" s="91" t="s">
        <v>592</v>
      </c>
      <c r="G281" s="91" t="s">
        <v>198</v>
      </c>
      <c r="H281" s="91" t="s">
        <v>15</v>
      </c>
      <c r="I281" s="91" t="s">
        <v>186</v>
      </c>
      <c r="J281" s="92" t="s">
        <v>199</v>
      </c>
      <c r="K281" s="93">
        <v>44.9</v>
      </c>
      <c r="L281" s="93">
        <f>K281*VLOOKUP(H281,dagsoorttabel1,2,FALSE)</f>
        <v>6.907692307692308</v>
      </c>
      <c r="M281" s="94">
        <f>prodnorm8</f>
        <v>0</v>
      </c>
      <c r="N281" s="91" t="s">
        <v>103</v>
      </c>
      <c r="O281" s="26">
        <f>uurtarief8</f>
        <v>0</v>
      </c>
      <c r="P281" s="93" t="e">
        <f>IF(ISBLANK(M281),0,L281/ROUND(M281,4))</f>
        <v>#DIV/0!</v>
      </c>
      <c r="Q281" s="26" t="e">
        <f>ROUND(O281,2)*P281</f>
        <v>#DIV/0!</v>
      </c>
      <c r="R281" s="93" t="e">
        <f>P281*dagenperjaar1</f>
        <v>#DIV/0!</v>
      </c>
      <c r="S281" s="27" t="e">
        <f>R281*ROUND(O281,2)</f>
        <v>#DIV/0!</v>
      </c>
    </row>
    <row r="282" spans="1:19" x14ac:dyDescent="0.2">
      <c r="A282" s="90" t="s">
        <v>236</v>
      </c>
      <c r="B282" s="91" t="s">
        <v>599</v>
      </c>
      <c r="C282" s="91" t="s">
        <v>238</v>
      </c>
      <c r="D282" s="91" t="s">
        <v>616</v>
      </c>
      <c r="E282" s="92" t="s">
        <v>390</v>
      </c>
      <c r="F282" s="91" t="s">
        <v>288</v>
      </c>
      <c r="G282" s="91" t="s">
        <v>256</v>
      </c>
      <c r="H282" s="91"/>
      <c r="I282" s="91"/>
      <c r="J282" s="91"/>
      <c r="K282" s="93">
        <v>5.2</v>
      </c>
      <c r="L282" s="93"/>
      <c r="M282" s="94"/>
      <c r="N282" s="91"/>
      <c r="O282" s="26"/>
      <c r="P282" s="93"/>
      <c r="Q282" s="26"/>
      <c r="R282" s="95"/>
      <c r="S282" s="27"/>
    </row>
    <row r="283" spans="1:19" x14ac:dyDescent="0.2">
      <c r="A283" s="90" t="s">
        <v>236</v>
      </c>
      <c r="B283" s="91" t="s">
        <v>599</v>
      </c>
      <c r="C283" s="91" t="s">
        <v>238</v>
      </c>
      <c r="D283" s="91" t="s">
        <v>617</v>
      </c>
      <c r="E283" s="92" t="s">
        <v>602</v>
      </c>
      <c r="F283" s="91" t="s">
        <v>288</v>
      </c>
      <c r="G283" s="91" t="s">
        <v>204</v>
      </c>
      <c r="H283" s="91" t="s">
        <v>11</v>
      </c>
      <c r="I283" s="91" t="s">
        <v>186</v>
      </c>
      <c r="J283" s="92" t="s">
        <v>205</v>
      </c>
      <c r="K283" s="93">
        <v>27.2</v>
      </c>
      <c r="L283" s="93">
        <f>K283*VLOOKUP(H283,dagsoorttabel1,2,FALSE)</f>
        <v>20.923076923076923</v>
      </c>
      <c r="M283" s="94">
        <f>prodnorm11</f>
        <v>0</v>
      </c>
      <c r="N283" s="91" t="s">
        <v>103</v>
      </c>
      <c r="O283" s="26">
        <f>uurtarief11</f>
        <v>0</v>
      </c>
      <c r="P283" s="93" t="e">
        <f>IF(ISBLANK(M283),0,L283/ROUND(M283,4))</f>
        <v>#DIV/0!</v>
      </c>
      <c r="Q283" s="26" t="e">
        <f>ROUND(O283,2)*P283</f>
        <v>#DIV/0!</v>
      </c>
      <c r="R283" s="93" t="e">
        <f>P283*dagenperjaar1</f>
        <v>#DIV/0!</v>
      </c>
      <c r="S283" s="27" t="e">
        <f>R283*ROUND(O283,2)</f>
        <v>#DIV/0!</v>
      </c>
    </row>
    <row r="284" spans="1:19" ht="25.5" x14ac:dyDescent="0.2">
      <c r="A284" s="90" t="s">
        <v>236</v>
      </c>
      <c r="B284" s="91" t="s">
        <v>599</v>
      </c>
      <c r="C284" s="91" t="s">
        <v>238</v>
      </c>
      <c r="D284" s="91" t="s">
        <v>618</v>
      </c>
      <c r="E284" s="92" t="s">
        <v>331</v>
      </c>
      <c r="F284" s="91" t="s">
        <v>241</v>
      </c>
      <c r="G284" s="91" t="s">
        <v>222</v>
      </c>
      <c r="H284" s="91" t="s">
        <v>11</v>
      </c>
      <c r="I284" s="91" t="s">
        <v>186</v>
      </c>
      <c r="J284" s="92" t="s">
        <v>223</v>
      </c>
      <c r="K284" s="93">
        <v>87</v>
      </c>
      <c r="L284" s="93">
        <f>K284*VLOOKUP(H284,dagsoorttabel1,2,FALSE)</f>
        <v>66.92307692307692</v>
      </c>
      <c r="M284" s="94">
        <f>prodnorm20</f>
        <v>0</v>
      </c>
      <c r="N284" s="91" t="s">
        <v>103</v>
      </c>
      <c r="O284" s="26">
        <f>uurtarief20</f>
        <v>0</v>
      </c>
      <c r="P284" s="93" t="e">
        <f>IF(ISBLANK(M284),0,L284/ROUND(M284,4))</f>
        <v>#DIV/0!</v>
      </c>
      <c r="Q284" s="26" t="e">
        <f>ROUND(O284,2)*P284</f>
        <v>#DIV/0!</v>
      </c>
      <c r="R284" s="93" t="e">
        <f>P284*dagenperjaar1</f>
        <v>#DIV/0!</v>
      </c>
      <c r="S284" s="27" t="e">
        <f>R284*ROUND(O284,2)</f>
        <v>#DIV/0!</v>
      </c>
    </row>
    <row r="285" spans="1:19" x14ac:dyDescent="0.2">
      <c r="A285" s="90" t="s">
        <v>236</v>
      </c>
      <c r="B285" s="91" t="s">
        <v>599</v>
      </c>
      <c r="C285" s="91" t="s">
        <v>238</v>
      </c>
      <c r="D285" s="91" t="s">
        <v>619</v>
      </c>
      <c r="E285" s="92" t="s">
        <v>620</v>
      </c>
      <c r="F285" s="91" t="s">
        <v>244</v>
      </c>
      <c r="G285" s="91" t="s">
        <v>196</v>
      </c>
      <c r="H285" s="91" t="s">
        <v>11</v>
      </c>
      <c r="I285" s="91" t="s">
        <v>186</v>
      </c>
      <c r="J285" s="92" t="s">
        <v>197</v>
      </c>
      <c r="K285" s="93">
        <v>15.9</v>
      </c>
      <c r="L285" s="93">
        <f>K285*VLOOKUP(H285,dagsoorttabel1,2,FALSE)</f>
        <v>12.230769230769232</v>
      </c>
      <c r="M285" s="94">
        <f>prodnorm6</f>
        <v>0</v>
      </c>
      <c r="N285" s="91" t="s">
        <v>103</v>
      </c>
      <c r="O285" s="26">
        <f>uurtarief6</f>
        <v>0</v>
      </c>
      <c r="P285" s="93" t="e">
        <f>IF(ISBLANK(M285),0,L285/ROUND(M285,4))</f>
        <v>#DIV/0!</v>
      </c>
      <c r="Q285" s="26" t="e">
        <f>ROUND(O285,2)*P285</f>
        <v>#DIV/0!</v>
      </c>
      <c r="R285" s="93" t="e">
        <f>P285*dagenperjaar1</f>
        <v>#DIV/0!</v>
      </c>
      <c r="S285" s="27" t="e">
        <f>R285*ROUND(O285,2)</f>
        <v>#DIV/0!</v>
      </c>
    </row>
    <row r="286" spans="1:19" x14ac:dyDescent="0.2">
      <c r="A286" s="90" t="s">
        <v>236</v>
      </c>
      <c r="B286" s="91" t="s">
        <v>599</v>
      </c>
      <c r="C286" s="91" t="s">
        <v>238</v>
      </c>
      <c r="D286" s="91" t="s">
        <v>621</v>
      </c>
      <c r="E286" s="92" t="s">
        <v>329</v>
      </c>
      <c r="F286" s="91" t="s">
        <v>265</v>
      </c>
      <c r="G286" s="91" t="s">
        <v>256</v>
      </c>
      <c r="H286" s="91"/>
      <c r="I286" s="91"/>
      <c r="J286" s="91"/>
      <c r="K286" s="93">
        <v>3</v>
      </c>
      <c r="L286" s="93"/>
      <c r="M286" s="94"/>
      <c r="N286" s="91"/>
      <c r="O286" s="26"/>
      <c r="P286" s="93"/>
      <c r="Q286" s="26"/>
      <c r="R286" s="95"/>
      <c r="S286" s="27"/>
    </row>
    <row r="287" spans="1:19" x14ac:dyDescent="0.2">
      <c r="A287" s="90" t="s">
        <v>236</v>
      </c>
      <c r="B287" s="91" t="s">
        <v>599</v>
      </c>
      <c r="C287" s="91" t="s">
        <v>238</v>
      </c>
      <c r="D287" s="91" t="s">
        <v>622</v>
      </c>
      <c r="E287" s="92" t="s">
        <v>623</v>
      </c>
      <c r="F287" s="91" t="s">
        <v>265</v>
      </c>
      <c r="G287" s="91" t="s">
        <v>256</v>
      </c>
      <c r="H287" s="91"/>
      <c r="I287" s="91"/>
      <c r="J287" s="91"/>
      <c r="K287" s="93">
        <v>2</v>
      </c>
      <c r="L287" s="93"/>
      <c r="M287" s="94"/>
      <c r="N287" s="91"/>
      <c r="O287" s="26"/>
      <c r="P287" s="93"/>
      <c r="Q287" s="26"/>
      <c r="R287" s="95"/>
      <c r="S287" s="27"/>
    </row>
    <row r="288" spans="1:19" x14ac:dyDescent="0.2">
      <c r="A288" s="90" t="s">
        <v>236</v>
      </c>
      <c r="B288" s="91" t="s">
        <v>599</v>
      </c>
      <c r="C288" s="91" t="s">
        <v>238</v>
      </c>
      <c r="D288" s="91" t="s">
        <v>624</v>
      </c>
      <c r="E288" s="92" t="s">
        <v>625</v>
      </c>
      <c r="F288" s="91" t="s">
        <v>288</v>
      </c>
      <c r="G288" s="91" t="s">
        <v>204</v>
      </c>
      <c r="H288" s="91" t="s">
        <v>11</v>
      </c>
      <c r="I288" s="91" t="s">
        <v>186</v>
      </c>
      <c r="J288" s="92" t="s">
        <v>205</v>
      </c>
      <c r="K288" s="93">
        <v>10.9</v>
      </c>
      <c r="L288" s="93">
        <f>K288*VLOOKUP(H288,dagsoorttabel1,2,FALSE)</f>
        <v>8.384615384615385</v>
      </c>
      <c r="M288" s="94">
        <f>prodnorm11</f>
        <v>0</v>
      </c>
      <c r="N288" s="91" t="s">
        <v>103</v>
      </c>
      <c r="O288" s="26">
        <f>uurtarief11</f>
        <v>0</v>
      </c>
      <c r="P288" s="93" t="e">
        <f>IF(ISBLANK(M288),0,L288/ROUND(M288,4))</f>
        <v>#DIV/0!</v>
      </c>
      <c r="Q288" s="26" t="e">
        <f>ROUND(O288,2)*P288</f>
        <v>#DIV/0!</v>
      </c>
      <c r="R288" s="93" t="e">
        <f>P288*dagenperjaar1</f>
        <v>#DIV/0!</v>
      </c>
      <c r="S288" s="27" t="e">
        <f>R288*ROUND(O288,2)</f>
        <v>#DIV/0!</v>
      </c>
    </row>
    <row r="289" spans="1:19" x14ac:dyDescent="0.2">
      <c r="A289" s="90" t="s">
        <v>236</v>
      </c>
      <c r="B289" s="91" t="s">
        <v>599</v>
      </c>
      <c r="C289" s="91" t="s">
        <v>238</v>
      </c>
      <c r="D289" s="91" t="s">
        <v>626</v>
      </c>
      <c r="E289" s="92" t="s">
        <v>627</v>
      </c>
      <c r="F289" s="91" t="s">
        <v>288</v>
      </c>
      <c r="G289" s="91" t="s">
        <v>192</v>
      </c>
      <c r="H289" s="91" t="s">
        <v>11</v>
      </c>
      <c r="I289" s="91" t="s">
        <v>186</v>
      </c>
      <c r="J289" s="92" t="s">
        <v>193</v>
      </c>
      <c r="K289" s="93">
        <v>4</v>
      </c>
      <c r="L289" s="93">
        <f>K289*VLOOKUP(H289,dagsoorttabel1,2,FALSE)</f>
        <v>3.0769230769230771</v>
      </c>
      <c r="M289" s="94">
        <f>prodnorm4</f>
        <v>0</v>
      </c>
      <c r="N289" s="91" t="s">
        <v>103</v>
      </c>
      <c r="O289" s="26">
        <f>uurtarief4</f>
        <v>0</v>
      </c>
      <c r="P289" s="93" t="e">
        <f>IF(ISBLANK(M289),0,L289/ROUND(M289,4))</f>
        <v>#DIV/0!</v>
      </c>
      <c r="Q289" s="26" t="e">
        <f>ROUND(O289,2)*P289</f>
        <v>#DIV/0!</v>
      </c>
      <c r="R289" s="93" t="e">
        <f>P289*dagenperjaar1</f>
        <v>#DIV/0!</v>
      </c>
      <c r="S289" s="27" t="e">
        <f>R289*ROUND(O289,2)</f>
        <v>#DIV/0!</v>
      </c>
    </row>
    <row r="290" spans="1:19" x14ac:dyDescent="0.2">
      <c r="A290" s="90" t="s">
        <v>236</v>
      </c>
      <c r="B290" s="91" t="s">
        <v>599</v>
      </c>
      <c r="C290" s="91" t="s">
        <v>238</v>
      </c>
      <c r="D290" s="91" t="s">
        <v>628</v>
      </c>
      <c r="E290" s="92" t="s">
        <v>602</v>
      </c>
      <c r="F290" s="91" t="s">
        <v>288</v>
      </c>
      <c r="G290" s="91" t="s">
        <v>204</v>
      </c>
      <c r="H290" s="91" t="s">
        <v>11</v>
      </c>
      <c r="I290" s="91" t="s">
        <v>186</v>
      </c>
      <c r="J290" s="92" t="s">
        <v>205</v>
      </c>
      <c r="K290" s="93">
        <v>23</v>
      </c>
      <c r="L290" s="93">
        <f>K290*VLOOKUP(H290,dagsoorttabel1,2,FALSE)</f>
        <v>17.692307692307693</v>
      </c>
      <c r="M290" s="94">
        <f>prodnorm11</f>
        <v>0</v>
      </c>
      <c r="N290" s="91" t="s">
        <v>103</v>
      </c>
      <c r="O290" s="26">
        <f>uurtarief11</f>
        <v>0</v>
      </c>
      <c r="P290" s="93" t="e">
        <f>IF(ISBLANK(M290),0,L290/ROUND(M290,4))</f>
        <v>#DIV/0!</v>
      </c>
      <c r="Q290" s="26" t="e">
        <f>ROUND(O290,2)*P290</f>
        <v>#DIV/0!</v>
      </c>
      <c r="R290" s="93" t="e">
        <f>P290*dagenperjaar1</f>
        <v>#DIV/0!</v>
      </c>
      <c r="S290" s="27" t="e">
        <f>R290*ROUND(O290,2)</f>
        <v>#DIV/0!</v>
      </c>
    </row>
    <row r="291" spans="1:19" x14ac:dyDescent="0.2">
      <c r="A291" s="90" t="s">
        <v>236</v>
      </c>
      <c r="B291" s="91" t="s">
        <v>599</v>
      </c>
      <c r="C291" s="91" t="s">
        <v>238</v>
      </c>
      <c r="D291" s="91" t="s">
        <v>629</v>
      </c>
      <c r="E291" s="92" t="s">
        <v>602</v>
      </c>
      <c r="F291" s="91" t="s">
        <v>288</v>
      </c>
      <c r="G291" s="91" t="s">
        <v>204</v>
      </c>
      <c r="H291" s="91" t="s">
        <v>11</v>
      </c>
      <c r="I291" s="91" t="s">
        <v>186</v>
      </c>
      <c r="J291" s="92" t="s">
        <v>205</v>
      </c>
      <c r="K291" s="93">
        <v>23.3</v>
      </c>
      <c r="L291" s="93">
        <f>K291*VLOOKUP(H291,dagsoorttabel1,2,FALSE)</f>
        <v>17.923076923076923</v>
      </c>
      <c r="M291" s="94">
        <f>prodnorm11</f>
        <v>0</v>
      </c>
      <c r="N291" s="91" t="s">
        <v>103</v>
      </c>
      <c r="O291" s="26">
        <f>uurtarief11</f>
        <v>0</v>
      </c>
      <c r="P291" s="93" t="e">
        <f>IF(ISBLANK(M291),0,L291/ROUND(M291,4))</f>
        <v>#DIV/0!</v>
      </c>
      <c r="Q291" s="26" t="e">
        <f>ROUND(O291,2)*P291</f>
        <v>#DIV/0!</v>
      </c>
      <c r="R291" s="93" t="e">
        <f>P291*dagenperjaar1</f>
        <v>#DIV/0!</v>
      </c>
      <c r="S291" s="27" t="e">
        <f>R291*ROUND(O291,2)</f>
        <v>#DIV/0!</v>
      </c>
    </row>
    <row r="292" spans="1:19" x14ac:dyDescent="0.2">
      <c r="A292" s="90" t="s">
        <v>236</v>
      </c>
      <c r="B292" s="91" t="s">
        <v>599</v>
      </c>
      <c r="C292" s="91" t="s">
        <v>238</v>
      </c>
      <c r="D292" s="91" t="s">
        <v>630</v>
      </c>
      <c r="E292" s="92" t="s">
        <v>526</v>
      </c>
      <c r="F292" s="91" t="s">
        <v>288</v>
      </c>
      <c r="G292" s="91" t="s">
        <v>216</v>
      </c>
      <c r="H292" s="91" t="s">
        <v>11</v>
      </c>
      <c r="I292" s="91" t="s">
        <v>186</v>
      </c>
      <c r="J292" s="92" t="s">
        <v>217</v>
      </c>
      <c r="K292" s="93">
        <v>1</v>
      </c>
      <c r="L292" s="93">
        <f>K292*VLOOKUP(H292,dagsoorttabel1,2,FALSE)</f>
        <v>0.76923076923076927</v>
      </c>
      <c r="M292" s="94">
        <f>prodnorm17</f>
        <v>0</v>
      </c>
      <c r="N292" s="91" t="s">
        <v>103</v>
      </c>
      <c r="O292" s="26">
        <f>uurtarief17</f>
        <v>0</v>
      </c>
      <c r="P292" s="93" t="e">
        <f>IF(ISBLANK(M292),0,L292/ROUND(M292,4))</f>
        <v>#DIV/0!</v>
      </c>
      <c r="Q292" s="26" t="e">
        <f>ROUND(O292,2)*P292</f>
        <v>#DIV/0!</v>
      </c>
      <c r="R292" s="93" t="e">
        <f>P292*dagenperjaar1</f>
        <v>#DIV/0!</v>
      </c>
      <c r="S292" s="27" t="e">
        <f>R292*ROUND(O292,2)</f>
        <v>#DIV/0!</v>
      </c>
    </row>
    <row r="293" spans="1:19" x14ac:dyDescent="0.2">
      <c r="A293" s="90" t="s">
        <v>236</v>
      </c>
      <c r="B293" s="91" t="s">
        <v>599</v>
      </c>
      <c r="C293" s="91" t="s">
        <v>238</v>
      </c>
      <c r="D293" s="91" t="s">
        <v>630</v>
      </c>
      <c r="E293" s="92" t="s">
        <v>526</v>
      </c>
      <c r="F293" s="91" t="s">
        <v>288</v>
      </c>
      <c r="G293" s="91" t="s">
        <v>218</v>
      </c>
      <c r="H293" s="91" t="s">
        <v>11</v>
      </c>
      <c r="I293" s="91" t="s">
        <v>186</v>
      </c>
      <c r="J293" s="92" t="s">
        <v>219</v>
      </c>
      <c r="K293" s="93">
        <v>1</v>
      </c>
      <c r="L293" s="93">
        <f>K293*VLOOKUP(H293,dagsoorttabel1,2,FALSE)</f>
        <v>0.76923076923076927</v>
      </c>
      <c r="M293" s="94">
        <f>prodnorm18</f>
        <v>0</v>
      </c>
      <c r="N293" s="91" t="s">
        <v>103</v>
      </c>
      <c r="O293" s="26">
        <f>uurtarief18</f>
        <v>0</v>
      </c>
      <c r="P293" s="93" t="e">
        <f>IF(ISBLANK(M293),0,L293/ROUND(M293,4))</f>
        <v>#DIV/0!</v>
      </c>
      <c r="Q293" s="26" t="e">
        <f>ROUND(O293,2)*P293</f>
        <v>#DIV/0!</v>
      </c>
      <c r="R293" s="93" t="e">
        <f>P293*dagenperjaar1</f>
        <v>#DIV/0!</v>
      </c>
      <c r="S293" s="27" t="e">
        <f>R293*ROUND(O293,2)</f>
        <v>#DIV/0!</v>
      </c>
    </row>
    <row r="294" spans="1:19" x14ac:dyDescent="0.2">
      <c r="A294" s="90" t="s">
        <v>236</v>
      </c>
      <c r="B294" s="91" t="s">
        <v>599</v>
      </c>
      <c r="C294" s="91" t="s">
        <v>238</v>
      </c>
      <c r="D294" s="91" t="s">
        <v>631</v>
      </c>
      <c r="E294" s="92" t="s">
        <v>526</v>
      </c>
      <c r="F294" s="91" t="s">
        <v>288</v>
      </c>
      <c r="G294" s="91" t="s">
        <v>216</v>
      </c>
      <c r="H294" s="91" t="s">
        <v>11</v>
      </c>
      <c r="I294" s="91" t="s">
        <v>186</v>
      </c>
      <c r="J294" s="92" t="s">
        <v>217</v>
      </c>
      <c r="K294" s="93">
        <v>1.1000000000000001</v>
      </c>
      <c r="L294" s="93">
        <f>K294*VLOOKUP(H294,dagsoorttabel1,2,FALSE)</f>
        <v>0.84615384615384626</v>
      </c>
      <c r="M294" s="94">
        <f>prodnorm17</f>
        <v>0</v>
      </c>
      <c r="N294" s="91" t="s">
        <v>103</v>
      </c>
      <c r="O294" s="26">
        <f>uurtarief17</f>
        <v>0</v>
      </c>
      <c r="P294" s="93" t="e">
        <f>IF(ISBLANK(M294),0,L294/ROUND(M294,4))</f>
        <v>#DIV/0!</v>
      </c>
      <c r="Q294" s="26" t="e">
        <f>ROUND(O294,2)*P294</f>
        <v>#DIV/0!</v>
      </c>
      <c r="R294" s="93" t="e">
        <f>P294*dagenperjaar1</f>
        <v>#DIV/0!</v>
      </c>
      <c r="S294" s="27" t="e">
        <f>R294*ROUND(O294,2)</f>
        <v>#DIV/0!</v>
      </c>
    </row>
    <row r="295" spans="1:19" x14ac:dyDescent="0.2">
      <c r="A295" s="90" t="s">
        <v>236</v>
      </c>
      <c r="B295" s="91" t="s">
        <v>599</v>
      </c>
      <c r="C295" s="91" t="s">
        <v>238</v>
      </c>
      <c r="D295" s="91" t="s">
        <v>631</v>
      </c>
      <c r="E295" s="92" t="s">
        <v>526</v>
      </c>
      <c r="F295" s="91" t="s">
        <v>288</v>
      </c>
      <c r="G295" s="91" t="s">
        <v>218</v>
      </c>
      <c r="H295" s="91" t="s">
        <v>11</v>
      </c>
      <c r="I295" s="91" t="s">
        <v>186</v>
      </c>
      <c r="J295" s="92" t="s">
        <v>219</v>
      </c>
      <c r="K295" s="93">
        <v>1.1000000000000001</v>
      </c>
      <c r="L295" s="93">
        <f>K295*VLOOKUP(H295,dagsoorttabel1,2,FALSE)</f>
        <v>0.84615384615384626</v>
      </c>
      <c r="M295" s="94">
        <f>prodnorm18</f>
        <v>0</v>
      </c>
      <c r="N295" s="91" t="s">
        <v>103</v>
      </c>
      <c r="O295" s="26">
        <f>uurtarief18</f>
        <v>0</v>
      </c>
      <c r="P295" s="93" t="e">
        <f>IF(ISBLANK(M295),0,L295/ROUND(M295,4))</f>
        <v>#DIV/0!</v>
      </c>
      <c r="Q295" s="26" t="e">
        <f>ROUND(O295,2)*P295</f>
        <v>#DIV/0!</v>
      </c>
      <c r="R295" s="93" t="e">
        <f>P295*dagenperjaar1</f>
        <v>#DIV/0!</v>
      </c>
      <c r="S295" s="27" t="e">
        <f>R295*ROUND(O295,2)</f>
        <v>#DIV/0!</v>
      </c>
    </row>
    <row r="296" spans="1:19" ht="25.5" x14ac:dyDescent="0.2">
      <c r="A296" s="90" t="s">
        <v>236</v>
      </c>
      <c r="B296" s="91" t="s">
        <v>599</v>
      </c>
      <c r="C296" s="91" t="s">
        <v>238</v>
      </c>
      <c r="D296" s="91" t="s">
        <v>632</v>
      </c>
      <c r="E296" s="92" t="s">
        <v>262</v>
      </c>
      <c r="F296" s="91" t="s">
        <v>592</v>
      </c>
      <c r="G296" s="91" t="s">
        <v>198</v>
      </c>
      <c r="H296" s="91" t="s">
        <v>15</v>
      </c>
      <c r="I296" s="91" t="s">
        <v>186</v>
      </c>
      <c r="J296" s="92" t="s">
        <v>199</v>
      </c>
      <c r="K296" s="93">
        <v>26</v>
      </c>
      <c r="L296" s="93">
        <f>K296*VLOOKUP(H296,dagsoorttabel1,2,FALSE)</f>
        <v>4</v>
      </c>
      <c r="M296" s="94">
        <f>prodnorm8</f>
        <v>0</v>
      </c>
      <c r="N296" s="91" t="s">
        <v>103</v>
      </c>
      <c r="O296" s="26">
        <f>uurtarief8</f>
        <v>0</v>
      </c>
      <c r="P296" s="93" t="e">
        <f>IF(ISBLANK(M296),0,L296/ROUND(M296,4))</f>
        <v>#DIV/0!</v>
      </c>
      <c r="Q296" s="26" t="e">
        <f>ROUND(O296,2)*P296</f>
        <v>#DIV/0!</v>
      </c>
      <c r="R296" s="93" t="e">
        <f>P296*dagenperjaar1</f>
        <v>#DIV/0!</v>
      </c>
      <c r="S296" s="27" t="e">
        <f>R296*ROUND(O296,2)</f>
        <v>#DIV/0!</v>
      </c>
    </row>
    <row r="297" spans="1:19" x14ac:dyDescent="0.2">
      <c r="A297" s="90" t="s">
        <v>236</v>
      </c>
      <c r="B297" s="91" t="s">
        <v>599</v>
      </c>
      <c r="C297" s="91" t="s">
        <v>238</v>
      </c>
      <c r="D297" s="91" t="s">
        <v>633</v>
      </c>
      <c r="E297" s="92" t="s">
        <v>634</v>
      </c>
      <c r="F297" s="91" t="s">
        <v>265</v>
      </c>
      <c r="G297" s="91" t="s">
        <v>256</v>
      </c>
      <c r="H297" s="91"/>
      <c r="I297" s="91"/>
      <c r="J297" s="91"/>
      <c r="K297" s="93">
        <v>30.4</v>
      </c>
      <c r="L297" s="93"/>
      <c r="M297" s="94"/>
      <c r="N297" s="91"/>
      <c r="O297" s="26"/>
      <c r="P297" s="93"/>
      <c r="Q297" s="26"/>
      <c r="R297" s="95"/>
      <c r="S297" s="27"/>
    </row>
    <row r="298" spans="1:19" x14ac:dyDescent="0.2">
      <c r="A298" s="90" t="s">
        <v>236</v>
      </c>
      <c r="B298" s="91" t="s">
        <v>599</v>
      </c>
      <c r="C298" s="91" t="s">
        <v>238</v>
      </c>
      <c r="D298" s="91" t="s">
        <v>635</v>
      </c>
      <c r="E298" s="92" t="s">
        <v>636</v>
      </c>
      <c r="F298" s="91" t="s">
        <v>244</v>
      </c>
      <c r="G298" s="91" t="s">
        <v>196</v>
      </c>
      <c r="H298" s="91" t="s">
        <v>11</v>
      </c>
      <c r="I298" s="91" t="s">
        <v>186</v>
      </c>
      <c r="J298" s="92" t="s">
        <v>197</v>
      </c>
      <c r="K298" s="93">
        <v>10.1</v>
      </c>
      <c r="L298" s="93">
        <f>K298*VLOOKUP(H298,dagsoorttabel1,2,FALSE)</f>
        <v>7.7692307692307692</v>
      </c>
      <c r="M298" s="94">
        <f>prodnorm6</f>
        <v>0</v>
      </c>
      <c r="N298" s="91" t="s">
        <v>103</v>
      </c>
      <c r="O298" s="26">
        <f>uurtarief6</f>
        <v>0</v>
      </c>
      <c r="P298" s="93" t="e">
        <f>IF(ISBLANK(M298),0,L298/ROUND(M298,4))</f>
        <v>#DIV/0!</v>
      </c>
      <c r="Q298" s="26" t="e">
        <f>ROUND(O298,2)*P298</f>
        <v>#DIV/0!</v>
      </c>
      <c r="R298" s="93" t="e">
        <f>P298*dagenperjaar1</f>
        <v>#DIV/0!</v>
      </c>
      <c r="S298" s="27" t="e">
        <f>R298*ROUND(O298,2)</f>
        <v>#DIV/0!</v>
      </c>
    </row>
    <row r="299" spans="1:19" ht="25.5" x14ac:dyDescent="0.2">
      <c r="A299" s="90" t="s">
        <v>236</v>
      </c>
      <c r="B299" s="91" t="s">
        <v>599</v>
      </c>
      <c r="C299" s="91" t="s">
        <v>238</v>
      </c>
      <c r="D299" s="91" t="s">
        <v>637</v>
      </c>
      <c r="E299" s="92" t="s">
        <v>638</v>
      </c>
      <c r="F299" s="91" t="s">
        <v>241</v>
      </c>
      <c r="G299" s="91" t="s">
        <v>222</v>
      </c>
      <c r="H299" s="91" t="s">
        <v>11</v>
      </c>
      <c r="I299" s="91" t="s">
        <v>186</v>
      </c>
      <c r="J299" s="92" t="s">
        <v>223</v>
      </c>
      <c r="K299" s="93">
        <v>57.3</v>
      </c>
      <c r="L299" s="93">
        <f>K299*VLOOKUP(H299,dagsoorttabel1,2,FALSE)</f>
        <v>44.07692307692308</v>
      </c>
      <c r="M299" s="94">
        <f>prodnorm20</f>
        <v>0</v>
      </c>
      <c r="N299" s="91" t="s">
        <v>103</v>
      </c>
      <c r="O299" s="26">
        <f>uurtarief20</f>
        <v>0</v>
      </c>
      <c r="P299" s="93" t="e">
        <f>IF(ISBLANK(M299),0,L299/ROUND(M299,4))</f>
        <v>#DIV/0!</v>
      </c>
      <c r="Q299" s="26" t="e">
        <f>ROUND(O299,2)*P299</f>
        <v>#DIV/0!</v>
      </c>
      <c r="R299" s="93" t="e">
        <f>P299*dagenperjaar1</f>
        <v>#DIV/0!</v>
      </c>
      <c r="S299" s="27" t="e">
        <f>R299*ROUND(O299,2)</f>
        <v>#DIV/0!</v>
      </c>
    </row>
    <row r="300" spans="1:19" ht="25.5" x14ac:dyDescent="0.2">
      <c r="A300" s="90" t="s">
        <v>236</v>
      </c>
      <c r="B300" s="91" t="s">
        <v>599</v>
      </c>
      <c r="C300" s="91" t="s">
        <v>238</v>
      </c>
      <c r="D300" s="91" t="s">
        <v>639</v>
      </c>
      <c r="E300" s="92" t="s">
        <v>640</v>
      </c>
      <c r="F300" s="91" t="s">
        <v>592</v>
      </c>
      <c r="G300" s="91" t="s">
        <v>198</v>
      </c>
      <c r="H300" s="91" t="s">
        <v>11</v>
      </c>
      <c r="I300" s="91" t="s">
        <v>186</v>
      </c>
      <c r="J300" s="92" t="s">
        <v>199</v>
      </c>
      <c r="K300" s="93">
        <v>73.3</v>
      </c>
      <c r="L300" s="93">
        <f>K300*VLOOKUP(H300,dagsoorttabel1,2,FALSE)</f>
        <v>56.384615384615387</v>
      </c>
      <c r="M300" s="94">
        <f>prodnorm7</f>
        <v>0</v>
      </c>
      <c r="N300" s="91" t="s">
        <v>103</v>
      </c>
      <c r="O300" s="26">
        <f>uurtarief7</f>
        <v>0</v>
      </c>
      <c r="P300" s="93" t="e">
        <f>IF(ISBLANK(M300),0,L300/ROUND(M300,4))</f>
        <v>#DIV/0!</v>
      </c>
      <c r="Q300" s="26" t="e">
        <f>ROUND(O300,2)*P300</f>
        <v>#DIV/0!</v>
      </c>
      <c r="R300" s="93" t="e">
        <f>P300*dagenperjaar1</f>
        <v>#DIV/0!</v>
      </c>
      <c r="S300" s="27" t="e">
        <f>R300*ROUND(O300,2)</f>
        <v>#DIV/0!</v>
      </c>
    </row>
    <row r="301" spans="1:19" ht="25.5" x14ac:dyDescent="0.2">
      <c r="A301" s="90" t="s">
        <v>236</v>
      </c>
      <c r="B301" s="91" t="s">
        <v>641</v>
      </c>
      <c r="C301" s="91" t="s">
        <v>238</v>
      </c>
      <c r="D301" s="91" t="s">
        <v>642</v>
      </c>
      <c r="E301" s="92" t="s">
        <v>643</v>
      </c>
      <c r="F301" s="91" t="s">
        <v>592</v>
      </c>
      <c r="G301" s="91" t="s">
        <v>198</v>
      </c>
      <c r="H301" s="91" t="s">
        <v>11</v>
      </c>
      <c r="I301" s="91" t="s">
        <v>186</v>
      </c>
      <c r="J301" s="92" t="s">
        <v>199</v>
      </c>
      <c r="K301" s="93">
        <v>352.5</v>
      </c>
      <c r="L301" s="93">
        <f>K301*VLOOKUP(H301,dagsoorttabel1,2,FALSE)</f>
        <v>271.15384615384619</v>
      </c>
      <c r="M301" s="94">
        <f>prodnorm7</f>
        <v>0</v>
      </c>
      <c r="N301" s="91" t="s">
        <v>103</v>
      </c>
      <c r="O301" s="26">
        <f>uurtarief7</f>
        <v>0</v>
      </c>
      <c r="P301" s="93" t="e">
        <f>IF(ISBLANK(M301),0,L301/ROUND(M301,4))</f>
        <v>#DIV/0!</v>
      </c>
      <c r="Q301" s="26" t="e">
        <f>ROUND(O301,2)*P301</f>
        <v>#DIV/0!</v>
      </c>
      <c r="R301" s="93" t="e">
        <f>P301*dagenperjaar1</f>
        <v>#DIV/0!</v>
      </c>
      <c r="S301" s="27" t="e">
        <f>R301*ROUND(O301,2)</f>
        <v>#DIV/0!</v>
      </c>
    </row>
    <row r="302" spans="1:19" ht="25.5" x14ac:dyDescent="0.2">
      <c r="A302" s="90" t="s">
        <v>236</v>
      </c>
      <c r="B302" s="91" t="s">
        <v>641</v>
      </c>
      <c r="C302" s="91" t="s">
        <v>238</v>
      </c>
      <c r="D302" s="91" t="s">
        <v>644</v>
      </c>
      <c r="E302" s="92" t="s">
        <v>645</v>
      </c>
      <c r="F302" s="91" t="s">
        <v>592</v>
      </c>
      <c r="G302" s="91" t="s">
        <v>198</v>
      </c>
      <c r="H302" s="91" t="s">
        <v>11</v>
      </c>
      <c r="I302" s="91" t="s">
        <v>186</v>
      </c>
      <c r="J302" s="92" t="s">
        <v>199</v>
      </c>
      <c r="K302" s="93">
        <v>354.5</v>
      </c>
      <c r="L302" s="93">
        <f>K302*VLOOKUP(H302,dagsoorttabel1,2,FALSE)</f>
        <v>272.69230769230768</v>
      </c>
      <c r="M302" s="94">
        <f>prodnorm7</f>
        <v>0</v>
      </c>
      <c r="N302" s="91" t="s">
        <v>103</v>
      </c>
      <c r="O302" s="26">
        <f>uurtarief7</f>
        <v>0</v>
      </c>
      <c r="P302" s="93" t="e">
        <f>IF(ISBLANK(M302),0,L302/ROUND(M302,4))</f>
        <v>#DIV/0!</v>
      </c>
      <c r="Q302" s="26" t="e">
        <f>ROUND(O302,2)*P302</f>
        <v>#DIV/0!</v>
      </c>
      <c r="R302" s="93" t="e">
        <f>P302*dagenperjaar1</f>
        <v>#DIV/0!</v>
      </c>
      <c r="S302" s="27" t="e">
        <f>R302*ROUND(O302,2)</f>
        <v>#DIV/0!</v>
      </c>
    </row>
    <row r="303" spans="1:19" ht="25.5" x14ac:dyDescent="0.2">
      <c r="A303" s="96" t="s">
        <v>236</v>
      </c>
      <c r="B303" s="97" t="s">
        <v>641</v>
      </c>
      <c r="C303" s="97" t="s">
        <v>238</v>
      </c>
      <c r="D303" s="97" t="s">
        <v>646</v>
      </c>
      <c r="E303" s="98" t="s">
        <v>647</v>
      </c>
      <c r="F303" s="97" t="s">
        <v>592</v>
      </c>
      <c r="G303" s="97" t="s">
        <v>198</v>
      </c>
      <c r="H303" s="97" t="s">
        <v>11</v>
      </c>
      <c r="I303" s="97" t="s">
        <v>186</v>
      </c>
      <c r="J303" s="98" t="s">
        <v>199</v>
      </c>
      <c r="K303" s="99">
        <v>352.5</v>
      </c>
      <c r="L303" s="99">
        <f>K303*VLOOKUP(H303,dagsoorttabel1,2,FALSE)</f>
        <v>271.15384615384619</v>
      </c>
      <c r="M303" s="100">
        <f>prodnorm7</f>
        <v>0</v>
      </c>
      <c r="N303" s="97" t="s">
        <v>103</v>
      </c>
      <c r="O303" s="36">
        <f>uurtarief7</f>
        <v>0</v>
      </c>
      <c r="P303" s="99" t="e">
        <f>IF(ISBLANK(M303),0,L303/ROUND(M303,4))</f>
        <v>#DIV/0!</v>
      </c>
      <c r="Q303" s="36" t="e">
        <f>ROUND(O303,2)*P303</f>
        <v>#DIV/0!</v>
      </c>
      <c r="R303" s="99" t="e">
        <f>P303*dagenperjaar1</f>
        <v>#DIV/0!</v>
      </c>
      <c r="S303" s="37" t="e">
        <f>R303*ROUND(O303,2)</f>
        <v>#DIV/0!</v>
      </c>
    </row>
    <row r="304" spans="1:19" x14ac:dyDescent="0.2">
      <c r="A304" s="73" t="s">
        <v>648</v>
      </c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6" t="e">
        <f>IF(_xlfn.SINGLE(object1_urenjaar1)&gt;0,_xlfn.SINGLE(object1_prijsjaar1)/_xlfn.SINGLE(object1_urenjaar1),0)</f>
        <v>#DIV/0!</v>
      </c>
      <c r="P304" s="75" t="e">
        <f>SUM(P5:P303)</f>
        <v>#DIV/0!</v>
      </c>
      <c r="Q304" s="76" t="e">
        <f>SUM(Q5:Q303)</f>
        <v>#DIV/0!</v>
      </c>
      <c r="R304" s="75" t="e">
        <f>SUM(R5:R303)</f>
        <v>#DIV/0!</v>
      </c>
      <c r="S304" s="76" t="e">
        <f>SUM(S5:S303)</f>
        <v>#DIV/0!</v>
      </c>
    </row>
  </sheetData>
  <sheetProtection algorithmName="SHA-512" hashValue="B4F1mtT7MwSmrelzXic7WUK+CTxe4+UX/M2M9qeuIdbvaY/oALEUH9lgtYXrVbDoCHvsyV6zIlCWOt94yU+aZA==" saltValue="bvXwOiKJQepf9Ftepvp8Xg==" spinCount="100000" sheet="1" objects="1" scenarios="1" autoFilter="0"/>
  <autoFilter ref="A3:S304" xr:uid="{AD4F4D6B-26BE-47B0-A482-83126B4089D8}"/>
  <pageMargins left="0.7" right="0.7" top="0.75" bottom="0.75" header="0.3" footer="0.3"/>
  <pageSetup paperSize="9" scale="61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5633-3B01-4A2A-99B5-B93C164D8A7A}">
  <dimension ref="A1:I25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9" width="12.625" customWidth="1"/>
  </cols>
  <sheetData>
    <row r="1" spans="1:9" x14ac:dyDescent="0.2">
      <c r="A1" s="1" t="s">
        <v>649</v>
      </c>
    </row>
    <row r="3" spans="1:9" ht="25.5" x14ac:dyDescent="0.2">
      <c r="A3" s="101" t="s">
        <v>177</v>
      </c>
      <c r="B3" s="101" t="s">
        <v>7</v>
      </c>
      <c r="C3" s="102" t="s">
        <v>650</v>
      </c>
      <c r="D3" s="102" t="s">
        <v>651</v>
      </c>
      <c r="E3" s="102" t="s">
        <v>652</v>
      </c>
      <c r="F3" s="102" t="s">
        <v>653</v>
      </c>
      <c r="G3" s="102" t="s">
        <v>654</v>
      </c>
      <c r="H3" s="101" t="s">
        <v>655</v>
      </c>
      <c r="I3" s="101" t="s">
        <v>656</v>
      </c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4" t="s">
        <v>179</v>
      </c>
    </row>
    <row r="5" spans="1:9" x14ac:dyDescent="0.2">
      <c r="A5" s="51" t="s">
        <v>185</v>
      </c>
      <c r="B5" s="51" t="s">
        <v>11</v>
      </c>
      <c r="C5" s="51" t="s">
        <v>657</v>
      </c>
      <c r="D5" s="51" t="s">
        <v>186</v>
      </c>
      <c r="E5" s="66">
        <f>IF(B5="","",VLOOKUP(B5,dagsoorttabel1,2,FALSE))</f>
        <v>0.76923076923076927</v>
      </c>
      <c r="F5" s="66">
        <v>1</v>
      </c>
      <c r="G5" s="66">
        <f>IF(prodnorm1&gt;0,1/ROUND(prodnorm1,4),0)</f>
        <v>0</v>
      </c>
      <c r="H5" s="55">
        <f>ROUND(uurtarief1,2)</f>
        <v>0</v>
      </c>
      <c r="I5" s="66">
        <v>358.4</v>
      </c>
    </row>
    <row r="6" spans="1:9" x14ac:dyDescent="0.2">
      <c r="A6" s="56" t="s">
        <v>188</v>
      </c>
      <c r="B6" s="56" t="s">
        <v>11</v>
      </c>
      <c r="C6" s="56" t="s">
        <v>657</v>
      </c>
      <c r="D6" s="56" t="s">
        <v>186</v>
      </c>
      <c r="E6" s="68">
        <f>IF(B6="","",VLOOKUP(B6,dagsoorttabel1,2,FALSE))</f>
        <v>0.76923076923076927</v>
      </c>
      <c r="F6" s="68">
        <v>1</v>
      </c>
      <c r="G6" s="68">
        <f>IF(prodnorm2&gt;0,1/ROUND(prodnorm2,4),0)</f>
        <v>0</v>
      </c>
      <c r="H6" s="60">
        <f>ROUND(uurtarief2,2)</f>
        <v>0</v>
      </c>
      <c r="I6" s="68">
        <v>1018.1</v>
      </c>
    </row>
    <row r="7" spans="1:9" x14ac:dyDescent="0.2">
      <c r="A7" s="56" t="s">
        <v>190</v>
      </c>
      <c r="B7" s="56" t="s">
        <v>11</v>
      </c>
      <c r="C7" s="56" t="s">
        <v>657</v>
      </c>
      <c r="D7" s="56" t="s">
        <v>186</v>
      </c>
      <c r="E7" s="68">
        <f>IF(B7="","",VLOOKUP(B7,dagsoorttabel1,2,FALSE))</f>
        <v>0.76923076923076927</v>
      </c>
      <c r="F7" s="68">
        <v>1</v>
      </c>
      <c r="G7" s="68">
        <f>IF(prodnorm3&gt;0,1/ROUND(prodnorm3,4),0)</f>
        <v>0</v>
      </c>
      <c r="H7" s="60">
        <f>ROUND(uurtarief3,2)</f>
        <v>0</v>
      </c>
      <c r="I7" s="68">
        <v>93.3</v>
      </c>
    </row>
    <row r="8" spans="1:9" x14ac:dyDescent="0.2">
      <c r="A8" s="56" t="s">
        <v>192</v>
      </c>
      <c r="B8" s="56" t="s">
        <v>11</v>
      </c>
      <c r="C8" s="56" t="s">
        <v>657</v>
      </c>
      <c r="D8" s="56" t="s">
        <v>186</v>
      </c>
      <c r="E8" s="68">
        <f>IF(B8="","",VLOOKUP(B8,dagsoorttabel1,2,FALSE))</f>
        <v>0.76923076923076927</v>
      </c>
      <c r="F8" s="68">
        <v>1</v>
      </c>
      <c r="G8" s="68">
        <f>IF(prodnorm4&gt;0,1/ROUND(prodnorm4,4),0)</f>
        <v>0</v>
      </c>
      <c r="H8" s="60">
        <f>ROUND(uurtarief4,2)</f>
        <v>0</v>
      </c>
      <c r="I8" s="68">
        <v>4</v>
      </c>
    </row>
    <row r="9" spans="1:9" x14ac:dyDescent="0.2">
      <c r="A9" s="56" t="s">
        <v>194</v>
      </c>
      <c r="B9" s="56" t="s">
        <v>11</v>
      </c>
      <c r="C9" s="56" t="s">
        <v>657</v>
      </c>
      <c r="D9" s="56" t="s">
        <v>186</v>
      </c>
      <c r="E9" s="68">
        <f>IF(B9="","",VLOOKUP(B9,dagsoorttabel1,2,FALSE))</f>
        <v>0.76923076923076927</v>
      </c>
      <c r="F9" s="68">
        <v>1</v>
      </c>
      <c r="G9" s="68">
        <f>IF(prodnorm5&gt;0,1/ROUND(prodnorm5,4),0)</f>
        <v>0</v>
      </c>
      <c r="H9" s="60">
        <f>ROUND(uurtarief5,2)</f>
        <v>0</v>
      </c>
      <c r="I9" s="68">
        <v>139.10000000000002</v>
      </c>
    </row>
    <row r="10" spans="1:9" x14ac:dyDescent="0.2">
      <c r="A10" s="56" t="s">
        <v>196</v>
      </c>
      <c r="B10" s="56" t="s">
        <v>11</v>
      </c>
      <c r="C10" s="56" t="s">
        <v>657</v>
      </c>
      <c r="D10" s="56" t="s">
        <v>186</v>
      </c>
      <c r="E10" s="68">
        <f>IF(B10="","",VLOOKUP(B10,dagsoorttabel1,2,FALSE))</f>
        <v>0.76923076923076927</v>
      </c>
      <c r="F10" s="68">
        <v>1</v>
      </c>
      <c r="G10" s="68">
        <f>IF(prodnorm6&gt;0,1/ROUND(prodnorm6,4),0)</f>
        <v>0</v>
      </c>
      <c r="H10" s="60">
        <f>ROUND(uurtarief6,2)</f>
        <v>0</v>
      </c>
      <c r="I10" s="68">
        <v>59.5</v>
      </c>
    </row>
    <row r="11" spans="1:9" x14ac:dyDescent="0.2">
      <c r="A11" s="56" t="s">
        <v>198</v>
      </c>
      <c r="B11" s="56" t="s">
        <v>11</v>
      </c>
      <c r="C11" s="56" t="s">
        <v>657</v>
      </c>
      <c r="D11" s="56" t="s">
        <v>186</v>
      </c>
      <c r="E11" s="68">
        <f>IF(B11="","",VLOOKUP(B11,dagsoorttabel1,2,FALSE))</f>
        <v>0.76923076923076927</v>
      </c>
      <c r="F11" s="68">
        <v>1</v>
      </c>
      <c r="G11" s="68">
        <f>IF(prodnorm7&gt;0,1/ROUND(prodnorm7,4),0)</f>
        <v>0</v>
      </c>
      <c r="H11" s="60">
        <f>ROUND(uurtarief7,2)</f>
        <v>0</v>
      </c>
      <c r="I11" s="68">
        <v>1442.2</v>
      </c>
    </row>
    <row r="12" spans="1:9" x14ac:dyDescent="0.2">
      <c r="A12" s="56" t="s">
        <v>198</v>
      </c>
      <c r="B12" s="56" t="s">
        <v>15</v>
      </c>
      <c r="C12" s="56" t="s">
        <v>657</v>
      </c>
      <c r="D12" s="56" t="s">
        <v>186</v>
      </c>
      <c r="E12" s="68">
        <f>IF(B12="","",VLOOKUP(B12,dagsoorttabel1,2,FALSE))</f>
        <v>0.15384615384615385</v>
      </c>
      <c r="F12" s="68">
        <v>1</v>
      </c>
      <c r="G12" s="68">
        <f>IF(prodnorm8&gt;0,1/ROUND(prodnorm8,4),0)</f>
        <v>0</v>
      </c>
      <c r="H12" s="60">
        <f>ROUND(uurtarief8,2)</f>
        <v>0</v>
      </c>
      <c r="I12" s="68">
        <v>70.900000000000006</v>
      </c>
    </row>
    <row r="13" spans="1:9" x14ac:dyDescent="0.2">
      <c r="A13" s="56" t="s">
        <v>200</v>
      </c>
      <c r="B13" s="56" t="s">
        <v>11</v>
      </c>
      <c r="C13" s="56" t="s">
        <v>657</v>
      </c>
      <c r="D13" s="56" t="s">
        <v>186</v>
      </c>
      <c r="E13" s="68">
        <f>IF(B13="","",VLOOKUP(B13,dagsoorttabel1,2,FALSE))</f>
        <v>0.76923076923076927</v>
      </c>
      <c r="F13" s="68">
        <v>1</v>
      </c>
      <c r="G13" s="68">
        <f>IF(prodnorm9&gt;0,1/ROUND(prodnorm9,4),0)</f>
        <v>0</v>
      </c>
      <c r="H13" s="60">
        <f>ROUND(uurtarief9,2)</f>
        <v>0</v>
      </c>
      <c r="I13" s="68">
        <v>2.9</v>
      </c>
    </row>
    <row r="14" spans="1:9" x14ac:dyDescent="0.2">
      <c r="A14" s="56" t="s">
        <v>202</v>
      </c>
      <c r="B14" s="56" t="s">
        <v>11</v>
      </c>
      <c r="C14" s="56" t="s">
        <v>657</v>
      </c>
      <c r="D14" s="56" t="s">
        <v>186</v>
      </c>
      <c r="E14" s="68">
        <f>IF(B14="","",VLOOKUP(B14,dagsoorttabel1,2,FALSE))</f>
        <v>0.76923076923076927</v>
      </c>
      <c r="F14" s="68">
        <v>1</v>
      </c>
      <c r="G14" s="68">
        <f>IF(prodnorm10&gt;0,1/ROUND(prodnorm10,4),0)</f>
        <v>0</v>
      </c>
      <c r="H14" s="60">
        <f>ROUND(uurtarief10,2)</f>
        <v>0</v>
      </c>
      <c r="I14" s="68">
        <v>216.29999999999998</v>
      </c>
    </row>
    <row r="15" spans="1:9" x14ac:dyDescent="0.2">
      <c r="A15" s="56" t="s">
        <v>204</v>
      </c>
      <c r="B15" s="56" t="s">
        <v>11</v>
      </c>
      <c r="C15" s="56" t="s">
        <v>657</v>
      </c>
      <c r="D15" s="56" t="s">
        <v>186</v>
      </c>
      <c r="E15" s="68">
        <f>IF(B15="","",VLOOKUP(B15,dagsoorttabel1,2,FALSE))</f>
        <v>0.76923076923076927</v>
      </c>
      <c r="F15" s="68">
        <v>1</v>
      </c>
      <c r="G15" s="68">
        <f>IF(prodnorm11&gt;0,1/ROUND(prodnorm11,4),0)</f>
        <v>0</v>
      </c>
      <c r="H15" s="60">
        <f>ROUND(uurtarief11,2)</f>
        <v>0</v>
      </c>
      <c r="I15" s="68">
        <v>212.9</v>
      </c>
    </row>
    <row r="16" spans="1:9" x14ac:dyDescent="0.2">
      <c r="A16" s="56" t="s">
        <v>206</v>
      </c>
      <c r="B16" s="56" t="s">
        <v>11</v>
      </c>
      <c r="C16" s="56" t="s">
        <v>657</v>
      </c>
      <c r="D16" s="56" t="s">
        <v>186</v>
      </c>
      <c r="E16" s="68">
        <f>IF(B16="","",VLOOKUP(B16,dagsoorttabel1,2,FALSE))</f>
        <v>0.76923076923076927</v>
      </c>
      <c r="F16" s="68">
        <v>1</v>
      </c>
      <c r="G16" s="68">
        <f>IF(prodnorm12&gt;0,1/ROUND(prodnorm12,4),0)</f>
        <v>0</v>
      </c>
      <c r="H16" s="60">
        <f>ROUND(uurtarief12,2)</f>
        <v>0</v>
      </c>
      <c r="I16" s="68">
        <v>2172.1</v>
      </c>
    </row>
    <row r="17" spans="1:9" x14ac:dyDescent="0.2">
      <c r="A17" s="56" t="s">
        <v>208</v>
      </c>
      <c r="B17" s="56" t="s">
        <v>11</v>
      </c>
      <c r="C17" s="56" t="s">
        <v>657</v>
      </c>
      <c r="D17" s="56" t="s">
        <v>186</v>
      </c>
      <c r="E17" s="68">
        <f>IF(B17="","",VLOOKUP(B17,dagsoorttabel1,2,FALSE))</f>
        <v>0.76923076923076927</v>
      </c>
      <c r="F17" s="68">
        <v>1</v>
      </c>
      <c r="G17" s="68">
        <f>IF(prodnorm13&gt;0,1/ROUND(prodnorm13,4),0)</f>
        <v>0</v>
      </c>
      <c r="H17" s="60">
        <f>ROUND(uurtarief13,2)</f>
        <v>0</v>
      </c>
      <c r="I17" s="68">
        <v>104.4</v>
      </c>
    </row>
    <row r="18" spans="1:9" x14ac:dyDescent="0.2">
      <c r="A18" s="56" t="s">
        <v>210</v>
      </c>
      <c r="B18" s="56" t="s">
        <v>11</v>
      </c>
      <c r="C18" s="56" t="s">
        <v>657</v>
      </c>
      <c r="D18" s="56" t="s">
        <v>186</v>
      </c>
      <c r="E18" s="68">
        <f>IF(B18="","",VLOOKUP(B18,dagsoorttabel1,2,FALSE))</f>
        <v>0.76923076923076927</v>
      </c>
      <c r="F18" s="68">
        <v>1</v>
      </c>
      <c r="G18" s="68">
        <f>IF(prodnorm14&gt;0,1/ROUND(prodnorm14,4),0)</f>
        <v>0</v>
      </c>
      <c r="H18" s="60">
        <f>ROUND(uurtarief14,2)</f>
        <v>0</v>
      </c>
      <c r="I18" s="68">
        <v>1030.1000000000001</v>
      </c>
    </row>
    <row r="19" spans="1:9" x14ac:dyDescent="0.2">
      <c r="A19" s="56" t="s">
        <v>212</v>
      </c>
      <c r="B19" s="56" t="s">
        <v>11</v>
      </c>
      <c r="C19" s="56" t="s">
        <v>657</v>
      </c>
      <c r="D19" s="56" t="s">
        <v>186</v>
      </c>
      <c r="E19" s="68">
        <f>IF(B19="","",VLOOKUP(B19,dagsoorttabel1,2,FALSE))</f>
        <v>0.76923076923076927</v>
      </c>
      <c r="F19" s="68">
        <v>1</v>
      </c>
      <c r="G19" s="68">
        <f>IF(prodnorm15&gt;0,1/ROUND(prodnorm15,4),0)</f>
        <v>0</v>
      </c>
      <c r="H19" s="60">
        <f>ROUND(uurtarief15,2)</f>
        <v>0</v>
      </c>
      <c r="I19" s="68">
        <v>45</v>
      </c>
    </row>
    <row r="20" spans="1:9" x14ac:dyDescent="0.2">
      <c r="A20" s="56" t="s">
        <v>214</v>
      </c>
      <c r="B20" s="56" t="s">
        <v>11</v>
      </c>
      <c r="C20" s="56" t="s">
        <v>657</v>
      </c>
      <c r="D20" s="56" t="s">
        <v>186</v>
      </c>
      <c r="E20" s="68">
        <f>IF(B20="","",VLOOKUP(B20,dagsoorttabel1,2,FALSE))</f>
        <v>0.76923076923076927</v>
      </c>
      <c r="F20" s="68">
        <v>1</v>
      </c>
      <c r="G20" s="68">
        <f>IF(prodnorm16&gt;0,1/ROUND(prodnorm16,4),0)</f>
        <v>0</v>
      </c>
      <c r="H20" s="60">
        <f>ROUND(uurtarief16,2)</f>
        <v>0</v>
      </c>
      <c r="I20" s="68">
        <v>723.8</v>
      </c>
    </row>
    <row r="21" spans="1:9" x14ac:dyDescent="0.2">
      <c r="A21" s="56" t="s">
        <v>216</v>
      </c>
      <c r="B21" s="56" t="s">
        <v>11</v>
      </c>
      <c r="C21" s="56" t="s">
        <v>657</v>
      </c>
      <c r="D21" s="56" t="s">
        <v>186</v>
      </c>
      <c r="E21" s="68">
        <f>IF(B21="","",VLOOKUP(B21,dagsoorttabel1,2,FALSE))</f>
        <v>0.76923076923076927</v>
      </c>
      <c r="F21" s="68">
        <v>1</v>
      </c>
      <c r="G21" s="68">
        <f>IF(prodnorm17&gt;0,1/ROUND(prodnorm17,4),0)</f>
        <v>0</v>
      </c>
      <c r="H21" s="60">
        <f>ROUND(uurtarief17,2)</f>
        <v>0</v>
      </c>
      <c r="I21" s="68">
        <v>144.9</v>
      </c>
    </row>
    <row r="22" spans="1:9" x14ac:dyDescent="0.2">
      <c r="A22" s="56" t="s">
        <v>218</v>
      </c>
      <c r="B22" s="56" t="s">
        <v>11</v>
      </c>
      <c r="C22" s="56" t="s">
        <v>657</v>
      </c>
      <c r="D22" s="56" t="s">
        <v>186</v>
      </c>
      <c r="E22" s="68">
        <f>IF(B22="","",VLOOKUP(B22,dagsoorttabel1,2,FALSE))</f>
        <v>0.76923076923076927</v>
      </c>
      <c r="F22" s="68">
        <v>1</v>
      </c>
      <c r="G22" s="68">
        <f>IF(prodnorm18&gt;0,1/ROUND(prodnorm18,4),0)</f>
        <v>0</v>
      </c>
      <c r="H22" s="60">
        <f>ROUND(uurtarief18,2)</f>
        <v>0</v>
      </c>
      <c r="I22" s="68">
        <v>140.9</v>
      </c>
    </row>
    <row r="23" spans="1:9" x14ac:dyDescent="0.2">
      <c r="A23" s="56" t="s">
        <v>220</v>
      </c>
      <c r="B23" s="56" t="s">
        <v>11</v>
      </c>
      <c r="C23" s="56" t="s">
        <v>657</v>
      </c>
      <c r="D23" s="56" t="s">
        <v>186</v>
      </c>
      <c r="E23" s="68">
        <f>IF(B23="","",VLOOKUP(B23,dagsoorttabel1,2,FALSE))</f>
        <v>0.76923076923076927</v>
      </c>
      <c r="F23" s="68">
        <v>1</v>
      </c>
      <c r="G23" s="68">
        <f>IF(prodnorm19&gt;0,1/ROUND(prodnorm19,4),0)</f>
        <v>0</v>
      </c>
      <c r="H23" s="60">
        <f>ROUND(uurtarief19,2)</f>
        <v>0</v>
      </c>
      <c r="I23" s="68">
        <v>113.9</v>
      </c>
    </row>
    <row r="24" spans="1:9" x14ac:dyDescent="0.2">
      <c r="A24" s="61" t="s">
        <v>222</v>
      </c>
      <c r="B24" s="61" t="s">
        <v>11</v>
      </c>
      <c r="C24" s="61" t="s">
        <v>657</v>
      </c>
      <c r="D24" s="61" t="s">
        <v>186</v>
      </c>
      <c r="E24" s="70">
        <f>IF(B24="","",VLOOKUP(B24,dagsoorttabel1,2,FALSE))</f>
        <v>0.76923076923076927</v>
      </c>
      <c r="F24" s="70">
        <v>1</v>
      </c>
      <c r="G24" s="70">
        <f>IF(prodnorm20&gt;0,1/ROUND(prodnorm20,4),0)</f>
        <v>0</v>
      </c>
      <c r="H24" s="65">
        <f>ROUND(uurtarief20,2)</f>
        <v>0</v>
      </c>
      <c r="I24" s="70">
        <v>2081.9</v>
      </c>
    </row>
    <row r="25" spans="1:9" x14ac:dyDescent="0.2">
      <c r="A25" s="73" t="s">
        <v>224</v>
      </c>
      <c r="B25" s="74"/>
      <c r="C25" s="74"/>
      <c r="D25" s="74"/>
      <c r="E25" s="74"/>
      <c r="F25" s="74"/>
      <c r="G25" s="74"/>
      <c r="H25" s="74"/>
      <c r="I25" s="105"/>
    </row>
  </sheetData>
  <sheetProtection algorithmName="SHA-512" hashValue="lxyAys2Cf8dxLRrVjHwERFuM4CPs62iFS48kHBA+1XJs/rlBWsFoXBGUcUO7Ehgc42mzhwFazcJiy6Nap0nAgQ==" saltValue="+Jtwgk8i96azwLiDLFX40A==" spinCount="100000" sheet="1" objects="1" scenarios="1" autoFilter="0"/>
  <pageMargins left="0.7" right="0.7" top="0.75" bottom="0.75" header="0.3" footer="0.3"/>
  <pageSetup paperSize="9" scale="70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983B-A90E-4B70-828C-B5257801CAA4}">
  <dimension ref="A1:O15"/>
  <sheetViews>
    <sheetView tabSelected="1" workbookViewId="0">
      <selection activeCell="B31" sqref="B31"/>
    </sheetView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2" width="12.125" customWidth="1"/>
    <col min="13" max="13" width="12.625" customWidth="1"/>
    <col min="14" max="14" width="14.625" customWidth="1"/>
    <col min="15" max="15" width="13.625" customWidth="1"/>
  </cols>
  <sheetData>
    <row r="1" spans="1:15" x14ac:dyDescent="0.2">
      <c r="A1" s="1" t="str">
        <f>CONCATENATE("Bijlage F.4: ",tabeltype," objecten")</f>
        <v>Bijlage F.4: Invultabel objecten</v>
      </c>
    </row>
    <row r="3" spans="1:15" ht="38.25" x14ac:dyDescent="0.2">
      <c r="A3" s="44" t="s">
        <v>227</v>
      </c>
      <c r="B3" s="44" t="s">
        <v>658</v>
      </c>
      <c r="C3" s="44" t="s">
        <v>659</v>
      </c>
      <c r="D3" s="44" t="s">
        <v>660</v>
      </c>
      <c r="E3" s="44" t="s">
        <v>7</v>
      </c>
      <c r="F3" s="44" t="s">
        <v>661</v>
      </c>
      <c r="G3" s="44" t="s">
        <v>662</v>
      </c>
      <c r="H3" s="44" t="s">
        <v>663</v>
      </c>
      <c r="I3" s="44" t="s">
        <v>664</v>
      </c>
      <c r="J3" s="44" t="s">
        <v>665</v>
      </c>
      <c r="K3" s="44" t="s">
        <v>666</v>
      </c>
      <c r="L3" s="44" t="s">
        <v>667</v>
      </c>
      <c r="M3" s="44" t="s">
        <v>183</v>
      </c>
      <c r="N3" s="44" t="s">
        <v>184</v>
      </c>
      <c r="O3" s="44" t="s">
        <v>668</v>
      </c>
    </row>
    <row r="4" spans="1:15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x14ac:dyDescent="0.2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x14ac:dyDescent="0.2">
      <c r="A6" s="106" t="s">
        <v>236</v>
      </c>
      <c r="B6" s="106" t="s">
        <v>669</v>
      </c>
      <c r="C6" s="106" t="s">
        <v>670</v>
      </c>
      <c r="D6" s="106" t="s">
        <v>671</v>
      </c>
      <c r="E6" s="107" t="s">
        <v>11</v>
      </c>
      <c r="F6" s="108">
        <f>gemuurtarief1</f>
        <v>0</v>
      </c>
      <c r="G6" s="109">
        <f>SUMPRODUCT(taakfreqtabel1,uurfactortabel1,kengetaltabel1,object1_opptabel1)*(1/VLOOKUP(E6,dagsoorttabel1,2,FALSE))</f>
        <v>0</v>
      </c>
      <c r="H6" s="137">
        <v>-14.4</v>
      </c>
      <c r="I6" s="109">
        <f>G6+H6</f>
        <v>-14.4</v>
      </c>
      <c r="J6" s="110">
        <f>SUMPRODUCT(taakfreqtabel1,kengetaltabel1,tarieftabel1,object1_opptabel1)*(1/VLOOKUP(E6,dagsoorttabel1,2,FALSE))</f>
        <v>0</v>
      </c>
      <c r="K6" s="110">
        <f>F6*H6</f>
        <v>0</v>
      </c>
      <c r="L6" s="110">
        <f>SUM(J6:K6)</f>
        <v>0</v>
      </c>
      <c r="M6" s="109">
        <f>I6*dagenperjaar1*VLOOKUP(E6,dagsoorttabel1,2,FALSE)</f>
        <v>-2880</v>
      </c>
      <c r="N6" s="110">
        <f>L6*dagenperjaar1*VLOOKUP(E6,dagsoorttabel1,2,FALSE)</f>
        <v>0</v>
      </c>
      <c r="O6" s="110">
        <f>N6/12</f>
        <v>0</v>
      </c>
    </row>
    <row r="7" spans="1:15" x14ac:dyDescent="0.2">
      <c r="A7" s="73" t="s">
        <v>224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5">
        <f>SUM(M6:M6)</f>
        <v>-2880</v>
      </c>
      <c r="N7" s="76">
        <f>SUM(N6:N6)</f>
        <v>0</v>
      </c>
      <c r="O7" s="77">
        <f>SUM(O6:O6)</f>
        <v>0</v>
      </c>
    </row>
    <row r="8" spans="1:15" x14ac:dyDescent="0.2">
      <c r="A8" s="78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9"/>
    </row>
    <row r="10" spans="1:15" x14ac:dyDescent="0.2">
      <c r="A10" s="73" t="s">
        <v>672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>
        <f>urenjaartotaal1</f>
        <v>-2880</v>
      </c>
      <c r="N10" s="76">
        <f>prijsjaartotaal1</f>
        <v>0</v>
      </c>
      <c r="O10" s="76">
        <f>prijsmaandtotaal1</f>
        <v>0</v>
      </c>
    </row>
    <row r="12" spans="1:15" x14ac:dyDescent="0.2">
      <c r="A12" s="73" t="s">
        <v>673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6">
        <f>N10*1.21</f>
        <v>0</v>
      </c>
      <c r="O12" s="76">
        <f>O10*1.21</f>
        <v>0</v>
      </c>
    </row>
    <row r="15" spans="1:15" x14ac:dyDescent="0.2">
      <c r="C15" t="s">
        <v>835</v>
      </c>
    </row>
  </sheetData>
  <sheetProtection algorithmName="SHA-512" hashValue="q5YXDI7TvU/W8KMV9XOeIwMp+N6o+pRZaeuMwV/XpCtLSR7xla8nyATf9AlkSRCHucq4RpJ9/v5wuXlIdRBxHA==" saltValue="2S5urCim/lN6JeJhK5GBW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B95C-26A9-4BE4-BF75-4C081188F74C}">
  <dimension ref="A1:H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5" width="12.625" customWidth="1"/>
    <col min="6" max="6" width="14.625" customWidth="1"/>
    <col min="7" max="8" width="13.625" customWidth="1"/>
  </cols>
  <sheetData>
    <row r="1" spans="1:8" x14ac:dyDescent="0.2">
      <c r="A1" s="1" t="str">
        <f>CONCATENATE("Bijlage F.5: ",tabeltype," totaalblad objecten")</f>
        <v>Bijlage F.5: Invultabel totaalblad objecten</v>
      </c>
    </row>
    <row r="3" spans="1:8" ht="38.25" x14ac:dyDescent="0.2">
      <c r="A3" s="44" t="s">
        <v>227</v>
      </c>
      <c r="B3" s="44" t="s">
        <v>658</v>
      </c>
      <c r="C3" s="44" t="s">
        <v>659</v>
      </c>
      <c r="D3" s="44" t="s">
        <v>660</v>
      </c>
      <c r="E3" s="44" t="s">
        <v>183</v>
      </c>
      <c r="F3" s="44" t="s">
        <v>184</v>
      </c>
      <c r="G3" s="44" t="s">
        <v>674</v>
      </c>
      <c r="H3" s="44" t="s">
        <v>675</v>
      </c>
    </row>
    <row r="4" spans="1:8" x14ac:dyDescent="0.2">
      <c r="A4" s="106" t="s">
        <v>236</v>
      </c>
      <c r="B4" s="106" t="s">
        <v>669</v>
      </c>
      <c r="C4" s="106" t="s">
        <v>670</v>
      </c>
      <c r="D4" s="106" t="s">
        <v>671</v>
      </c>
      <c r="E4" s="109">
        <f>objecturen1_1</f>
        <v>-2880</v>
      </c>
      <c r="F4" s="110">
        <f>objectprijs1_1</f>
        <v>0</v>
      </c>
      <c r="G4" s="110">
        <f>F4/12</f>
        <v>0</v>
      </c>
      <c r="H4" s="110">
        <f>G4*1.21</f>
        <v>0</v>
      </c>
    </row>
    <row r="6" spans="1:8" x14ac:dyDescent="0.2">
      <c r="A6" s="73" t="s">
        <v>676</v>
      </c>
      <c r="B6" s="74"/>
      <c r="C6" s="74"/>
      <c r="D6" s="74"/>
      <c r="E6" s="75">
        <f>SUM(E4:E4)</f>
        <v>-2880</v>
      </c>
      <c r="F6" s="76">
        <f>SUM(F4:F4)</f>
        <v>0</v>
      </c>
      <c r="G6" s="76">
        <f>SUM(G4:G4)</f>
        <v>0</v>
      </c>
      <c r="H6" s="76">
        <f>SUM(H4:H4)</f>
        <v>0</v>
      </c>
    </row>
  </sheetData>
  <sheetProtection algorithmName="SHA-512" hashValue="jbs+Y7+4X39q15Xhgcn+ciX+T8EJIThNpYIOMCZQhaRoXVl/hxPIUMNb+5tKcEbvzIDPkgYag54m9uqOB5hWcw==" saltValue="2aqTas5GuDrGKBHG9n+PdA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4F0-4C01-40C7-93D6-E11DAAA8A4C6}">
  <dimension ref="A1:L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F.6: ",tabeltype," additioneel werk")</f>
        <v>Bijlage F.6: Invultabel additioneel werk</v>
      </c>
    </row>
    <row r="3" spans="1:12" ht="38.25" x14ac:dyDescent="0.2">
      <c r="A3" s="44" t="s">
        <v>677</v>
      </c>
      <c r="B3" s="44" t="s">
        <v>7</v>
      </c>
      <c r="C3" s="44" t="s">
        <v>678</v>
      </c>
      <c r="D3" s="44" t="s">
        <v>94</v>
      </c>
      <c r="E3" s="44" t="s">
        <v>97</v>
      </c>
      <c r="F3" s="44" t="s">
        <v>679</v>
      </c>
      <c r="G3" s="44" t="s">
        <v>680</v>
      </c>
      <c r="H3" s="44" t="s">
        <v>681</v>
      </c>
      <c r="I3" s="44" t="s">
        <v>682</v>
      </c>
      <c r="J3" s="44" t="s">
        <v>683</v>
      </c>
      <c r="K3" s="44" t="s">
        <v>184</v>
      </c>
      <c r="L3" s="44" t="s">
        <v>668</v>
      </c>
    </row>
    <row r="4" spans="1:12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2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2">
      <c r="A6" s="106" t="s">
        <v>684</v>
      </c>
      <c r="B6" s="106" t="s">
        <v>18</v>
      </c>
      <c r="C6" s="111">
        <f>IF(ISBLANK(B6),0,IF(ISERROR(VALUE(B6)),VLOOKUP(B6,dagsoorttabel1,2,FALSE)*dagenperjaar1,VALUE(B6)))</f>
        <v>10</v>
      </c>
      <c r="D6" s="106" t="s">
        <v>685</v>
      </c>
      <c r="E6" s="106" t="s">
        <v>686</v>
      </c>
      <c r="F6" s="112">
        <v>10</v>
      </c>
      <c r="G6" s="113">
        <f>Tariefopbouw1</f>
        <v>0</v>
      </c>
      <c r="H6" s="114"/>
      <c r="I6" s="113">
        <f>G6</f>
        <v>0</v>
      </c>
      <c r="J6" s="110">
        <f>IF(ISBLANK(F6),0,F6)*ROUND(I6,2)</f>
        <v>0</v>
      </c>
      <c r="K6" s="110">
        <f>C6*J6</f>
        <v>0</v>
      </c>
      <c r="L6" s="110">
        <f>K6/12</f>
        <v>0</v>
      </c>
    </row>
    <row r="7" spans="1:12" x14ac:dyDescent="0.2">
      <c r="A7" s="73" t="s">
        <v>224</v>
      </c>
      <c r="B7" s="74"/>
      <c r="C7" s="74"/>
      <c r="D7" s="74"/>
      <c r="E7" s="74"/>
      <c r="F7" s="74"/>
      <c r="G7" s="74"/>
      <c r="H7" s="74"/>
      <c r="I7" s="74"/>
      <c r="J7" s="74"/>
      <c r="K7" s="76">
        <f>SUM(K6:K6)</f>
        <v>0</v>
      </c>
      <c r="L7" s="115">
        <f>K7/12</f>
        <v>0</v>
      </c>
    </row>
    <row r="9" spans="1:12" x14ac:dyDescent="0.2">
      <c r="A9" s="73" t="s">
        <v>687</v>
      </c>
      <c r="B9" s="74"/>
      <c r="C9" s="74"/>
      <c r="D9" s="74"/>
      <c r="E9" s="74"/>
      <c r="F9" s="74"/>
      <c r="G9" s="74"/>
      <c r="H9" s="74"/>
      <c r="I9" s="74"/>
      <c r="J9" s="74"/>
      <c r="K9" s="76">
        <f>prijsjaaradditioneel1</f>
        <v>0</v>
      </c>
      <c r="L9" s="115">
        <f>K9/12</f>
        <v>0</v>
      </c>
    </row>
  </sheetData>
  <sheetProtection algorithmName="SHA-512" hashValue="6np/bmTb9kt+Ntmi964zAaP5NhjPasPrS+6ZBMiE5sXsU/jP7U2xRf+u44NTImbJchZ0cLnsKrzjLTpaIfILsg==" saltValue="aM7neEARXEaBJFOUXXHILw==" spinCount="100000" sheet="1" objects="1" scenarios="1" autoFilter="0"/>
  <pageMargins left="0.7" right="0.7" top="0.75" bottom="0.75" header="0.3" footer="0.3"/>
  <pageSetup paperSize="9" scale="65" orientation="landscape" horizontalDpi="4294967295" verticalDpi="4294967295" r:id="rId1"/>
  <headerFooter>
    <oddFooter>&amp;LGriftland College EA 2026                                   &amp;ROpmaakdatum: 09-04-2026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364</vt:i4>
      </vt:variant>
    </vt:vector>
  </HeadingPairs>
  <TitlesOfParts>
    <vt:vector size="376" baseType="lpstr">
      <vt:lpstr>Omreken</vt:lpstr>
      <vt:lpstr>Tariefopbouw</vt:lpstr>
      <vt:lpstr>Categorienormen</vt:lpstr>
      <vt:lpstr>Regulier werk</vt:lpstr>
      <vt:lpstr>Ruimten werkdag</vt:lpstr>
      <vt:lpstr>Objectinformatie</vt:lpstr>
      <vt:lpstr>Objecten</vt:lpstr>
      <vt:lpstr>Totaalblad Objecten</vt:lpstr>
      <vt:lpstr>Additioneel werk</vt:lpstr>
      <vt:lpstr>Afroep incidenteel</vt:lpstr>
      <vt:lpstr>Regiewerk</vt:lpstr>
      <vt:lpstr>Totaal</vt:lpstr>
      <vt:lpstr>'Additioneel werk'!Afdruktitels</vt:lpstr>
      <vt:lpstr>'Afroep incidenteel'!Afdruktitels</vt:lpstr>
      <vt:lpstr>Categorienormen!Afdruktitels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catdw_1_BHV_40</vt:lpstr>
      <vt:lpstr>catdw_1_CHB_1</vt:lpstr>
      <vt:lpstr>catdw_1_CHV_40</vt:lpstr>
      <vt:lpstr>catdw_1_DHB_1</vt:lpstr>
      <vt:lpstr>catdw_1_DHV_40</vt:lpstr>
      <vt:lpstr>catdw_1_EHB_1</vt:lpstr>
      <vt:lpstr>catdw_1_EHV_40</vt:lpstr>
      <vt:lpstr>catdw_1_EZB_1</vt:lpstr>
      <vt:lpstr>catdw_1_EZV_40</vt:lpstr>
      <vt:lpstr>catdw_1_GHB_1</vt:lpstr>
      <vt:lpstr>catdw_1_GHV_40</vt:lpstr>
      <vt:lpstr>catdw_1_IHB_1</vt:lpstr>
      <vt:lpstr>catdw_1_IHV_40</vt:lpstr>
      <vt:lpstr>catdw_1_ITHB_1</vt:lpstr>
      <vt:lpstr>catdw_1_ITHV_40</vt:lpstr>
      <vt:lpstr>catdw_1_KHB_1</vt:lpstr>
      <vt:lpstr>catdw_1_KHV_40</vt:lpstr>
      <vt:lpstr>catdw_1_LHB_1</vt:lpstr>
      <vt:lpstr>catdw_1_LHV_40</vt:lpstr>
      <vt:lpstr>catdw_1_MHB_1</vt:lpstr>
      <vt:lpstr>catdw_1_MHV_40</vt:lpstr>
      <vt:lpstr>catdw_1_OLHB_1</vt:lpstr>
      <vt:lpstr>catdw_1_OLHV_40</vt:lpstr>
      <vt:lpstr>catdw_1_PHB_1</vt:lpstr>
      <vt:lpstr>catdw_1_PHV_40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catdw_1_VHB_1</vt:lpstr>
      <vt:lpstr>catdw_1_VHV_40</vt:lpstr>
      <vt:lpstr>catfd_1_AHB_1</vt:lpstr>
      <vt:lpstr>catfd_1_AHV_40</vt:lpstr>
      <vt:lpstr>catfd_1_BHB_1</vt:lpstr>
      <vt:lpstr>catfd_1_BHV_40</vt:lpstr>
      <vt:lpstr>catfd_1_CHB_1</vt:lpstr>
      <vt:lpstr>catfd_1_CHV_40</vt:lpstr>
      <vt:lpstr>catfd_1_DHB_1</vt:lpstr>
      <vt:lpstr>catfd_1_DHV_40</vt:lpstr>
      <vt:lpstr>catfd_1_EHB_1</vt:lpstr>
      <vt:lpstr>catfd_1_EHV_40</vt:lpstr>
      <vt:lpstr>catfd_1_EZB_1</vt:lpstr>
      <vt:lpstr>catfd_1_EZV_40</vt:lpstr>
      <vt:lpstr>catfd_1_GHB_1</vt:lpstr>
      <vt:lpstr>catfd_1_GHV_40</vt:lpstr>
      <vt:lpstr>catfd_1_IHB_1</vt:lpstr>
      <vt:lpstr>catfd_1_IHV_40</vt:lpstr>
      <vt:lpstr>catfd_1_ITHB_1</vt:lpstr>
      <vt:lpstr>catfd_1_ITHV_40</vt:lpstr>
      <vt:lpstr>catfd_1_KHB_1</vt:lpstr>
      <vt:lpstr>catfd_1_KHV_40</vt:lpstr>
      <vt:lpstr>catfd_1_LHB_1</vt:lpstr>
      <vt:lpstr>catfd_1_LHV_40</vt:lpstr>
      <vt:lpstr>catfd_1_MHB_1</vt:lpstr>
      <vt:lpstr>catfd_1_MHV_40</vt:lpstr>
      <vt:lpstr>catfd_1_OLHB_1</vt:lpstr>
      <vt:lpstr>catfd_1_OLHV_40</vt:lpstr>
      <vt:lpstr>catfd_1_PHB_1</vt:lpstr>
      <vt:lpstr>catfd_1_PHV_40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catfd_1_VHB_1</vt:lpstr>
      <vt:lpstr>catfd_1_VHV_40</vt:lpstr>
      <vt:lpstr>catpn_1_AHB_1</vt:lpstr>
      <vt:lpstr>catpn_1_AHV_40</vt:lpstr>
      <vt:lpstr>catpn_1_BHB_1</vt:lpstr>
      <vt:lpstr>catpn_1_BHV_40</vt:lpstr>
      <vt:lpstr>catpn_1_CHB_1</vt:lpstr>
      <vt:lpstr>catpn_1_CHV_40</vt:lpstr>
      <vt:lpstr>catpn_1_DHB_1</vt:lpstr>
      <vt:lpstr>catpn_1_DHV_40</vt:lpstr>
      <vt:lpstr>catpn_1_EHB_1</vt:lpstr>
      <vt:lpstr>catpn_1_EHV_40</vt:lpstr>
      <vt:lpstr>catpn_1_EZB_1</vt:lpstr>
      <vt:lpstr>catpn_1_EZV_40</vt:lpstr>
      <vt:lpstr>catpn_1_GHB_1</vt:lpstr>
      <vt:lpstr>catpn_1_GHV_40</vt:lpstr>
      <vt:lpstr>catpn_1_IHB_1</vt:lpstr>
      <vt:lpstr>catpn_1_IHV_40</vt:lpstr>
      <vt:lpstr>catpn_1_ITHB_1</vt:lpstr>
      <vt:lpstr>catpn_1_ITHV_40</vt:lpstr>
      <vt:lpstr>catpn_1_KHB_1</vt:lpstr>
      <vt:lpstr>catpn_1_KHV_40</vt:lpstr>
      <vt:lpstr>catpn_1_LHB_1</vt:lpstr>
      <vt:lpstr>catpn_1_LHV_40</vt:lpstr>
      <vt:lpstr>catpn_1_MHB_1</vt:lpstr>
      <vt:lpstr>catpn_1_MHV_40</vt:lpstr>
      <vt:lpstr>catpn_1_OLHB_1</vt:lpstr>
      <vt:lpstr>catpn_1_OLHV_40</vt:lpstr>
      <vt:lpstr>catpn_1_PHB_1</vt:lpstr>
      <vt:lpstr>catpn_1_PHV_40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catpn_1_VHB_1</vt:lpstr>
      <vt:lpstr>catpn_1_VHV_40</vt:lpstr>
      <vt:lpstr>cattf_1_AHB_1</vt:lpstr>
      <vt:lpstr>cattf_1_AHV_40</vt:lpstr>
      <vt:lpstr>cattf_1_BHB_1</vt:lpstr>
      <vt:lpstr>cattf_1_BHV_40</vt:lpstr>
      <vt:lpstr>cattf_1_CHB_1</vt:lpstr>
      <vt:lpstr>cattf_1_CHV_40</vt:lpstr>
      <vt:lpstr>cattf_1_DHB_1</vt:lpstr>
      <vt:lpstr>cattf_1_DHV_40</vt:lpstr>
      <vt:lpstr>cattf_1_EHB_1</vt:lpstr>
      <vt:lpstr>cattf_1_EHV_40</vt:lpstr>
      <vt:lpstr>cattf_1_EZB_1</vt:lpstr>
      <vt:lpstr>cattf_1_EZV_40</vt:lpstr>
      <vt:lpstr>cattf_1_GHB_1</vt:lpstr>
      <vt:lpstr>cattf_1_GHV_40</vt:lpstr>
      <vt:lpstr>cattf_1_IHB_1</vt:lpstr>
      <vt:lpstr>cattf_1_IHV_40</vt:lpstr>
      <vt:lpstr>cattf_1_ITHB_1</vt:lpstr>
      <vt:lpstr>cattf_1_ITHV_40</vt:lpstr>
      <vt:lpstr>cattf_1_KHB_1</vt:lpstr>
      <vt:lpstr>cattf_1_KHV_40</vt:lpstr>
      <vt:lpstr>cattf_1_LHB_1</vt:lpstr>
      <vt:lpstr>cattf_1_LHV_40</vt:lpstr>
      <vt:lpstr>cattf_1_MHB_1</vt:lpstr>
      <vt:lpstr>cattf_1_MHV_40</vt:lpstr>
      <vt:lpstr>cattf_1_OLHB_1</vt:lpstr>
      <vt:lpstr>cattf_1_OLHV_40</vt:lpstr>
      <vt:lpstr>cattf_1_PHB_1</vt:lpstr>
      <vt:lpstr>cattf_1_PHV_40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cattf_1_VHB_1</vt:lpstr>
      <vt:lpstr>cattf_1_VHV_40</vt:lpstr>
      <vt:lpstr>dagenperjaar1</vt:lpstr>
      <vt:lpstr>dagenperweek1</vt:lpstr>
      <vt:lpstr>dagsoorttabel1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object1_urenjaar1</vt:lpstr>
      <vt:lpstr>objectprijs1_1</vt:lpstr>
      <vt:lpstr>objecturen1_1</vt:lpstr>
      <vt:lpstr>prijsdag1</vt:lpstr>
      <vt:lpstr>prijsjaar</vt:lpstr>
      <vt:lpstr>prijsjaar1</vt:lpstr>
      <vt:lpstr>prijsjaaradditioneel</vt:lpstr>
      <vt:lpstr>prijsjaaradditioneel1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prodnorm3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Tariefopbouw6</vt:lpstr>
      <vt:lpstr>Tariefopbouw7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TariefUitvoering1</vt:lpstr>
      <vt:lpstr>TariefUitvoering2</vt:lpstr>
      <vt:lpstr>TariefUitvoering3</vt:lpstr>
      <vt:lpstr>TariefUitvoering4</vt:lpstr>
      <vt:lpstr>TariefUitvoering5</vt:lpstr>
      <vt:lpstr>TariefUitvoering6</vt:lpstr>
      <vt:lpstr>TariefUitvoering7</vt:lpstr>
      <vt:lpstr>urendag1</vt:lpstr>
      <vt:lpstr>urenjaar</vt:lpstr>
      <vt:lpstr>urenjaar1</vt:lpstr>
      <vt:lpstr>urenjaartotaal</vt:lpstr>
      <vt:lpstr>urenjaartotaal1</vt:lpstr>
      <vt:lpstr>urenjaartotaaloverzicht</vt:lpstr>
      <vt:lpstr>uurfactortabel1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uurtarief3</vt:lpstr>
      <vt:lpstr>uurtarief4</vt:lpstr>
      <vt:lpstr>uurtarief5</vt:lpstr>
      <vt:lpstr>uurtarief6</vt:lpstr>
      <vt:lpstr>uurtarief7</vt:lpstr>
      <vt:lpstr>uurtarief8</vt:lpstr>
      <vt:lpstr>uurtarief9</vt:lpstr>
      <vt:lpstr>vp_additioneel</vt:lpstr>
      <vt:lpstr>vp_regie</vt:lpstr>
      <vt:lpstr>vp_variant</vt:lpstr>
      <vt:lpstr>vu_variant</vt:lpstr>
      <vt:lpstr>wib_prijs_budget</vt:lpstr>
      <vt:lpstr>wib_regulier</vt:lpstr>
      <vt:lpstr>wib_variant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2026-04-09T04:23:46Z</dcterms:created>
  <dcterms:modified xsi:type="dcterms:W3CDTF">2026-04-09T04:29:06Z</dcterms:modified>
</cp:coreProperties>
</file>