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Leusden/Gemeente Leusden schoonmaak opvanglocatie/calculatie/"/>
    </mc:Choice>
  </mc:AlternateContent>
  <xr:revisionPtr revIDLastSave="113" documentId="13_ncr:1_{7E940A79-865A-43AC-8FE4-D37E009A6866}" xr6:coauthVersionLast="47" xr6:coauthVersionMax="47" xr10:uidLastSave="{DC0B27E0-1E7F-4052-8E3D-EE3CC3E91938}"/>
  <bookViews>
    <workbookView xWindow="-28920" yWindow="-810" windowWidth="29040" windowHeight="15720" tabRatio="944" firstSheet="3" activeTab="11" xr2:uid="{00000000-000D-0000-FFFF-FFFF00000000}"/>
  </bookViews>
  <sheets>
    <sheet name="1-Uitgangspunten" sheetId="41" r:id="rId1"/>
    <sheet name="2-Kosten"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 name="11-Sanitaire voorzieningen" sheetId="42" r:id="rId11"/>
    <sheet name="12-Machinekosten" sheetId="40" r:id="rId12"/>
  </sheets>
  <externalReferences>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'10-Vloeronderhoud'!$A$12:$AA$16</definedName>
    <definedName name="_xlnm._FilterDatabase" localSheetId="10" hidden="1">'11-Sanitaire voorzieningen'!$A$10:$T$36</definedName>
    <definedName name="_xlnm._FilterDatabase" localSheetId="1" hidden="1">'2-Kosten'!$A$14:$J$18</definedName>
    <definedName name="_xlnm._FilterDatabase" localSheetId="3" hidden="1">'4-Basis ruimtestaat'!$B$9:$W$115</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'2-Kosten'!$A$3:$AB$17</definedName>
    <definedName name="_xlnm.Print_Area" localSheetId="3">'4-Basis ruimtestaat'!$B$3:$W$115</definedName>
    <definedName name="_xlnm.Print_Area" localSheetId="4">'5-Premies en opslagen'!$A$3:$E$55</definedName>
    <definedName name="_xlnm.Print_Area" localSheetId="5">'6-Opbouw uurtarief productie'!$A$1:$R$65</definedName>
    <definedName name="_xlnm.Print_Area" localSheetId="8">'9-Afroepprijs'!$A$3:$F$64</definedName>
    <definedName name="_xlnm.Print_Titles" localSheetId="9">'10-Vloeronderhoud'!$12:$12</definedName>
    <definedName name="_xlnm.Print_Titles" localSheetId="10">'11-Sanitaire voorzieningen'!$10:$10</definedName>
    <definedName name="_xlnm.Print_Titles" localSheetId="1">'2-Kosten'!$14:$14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'2-Kosten'!berichtok</definedName>
    <definedName name="berichtok">'2-Kosten'!berichtok</definedName>
    <definedName name="berichtoke" localSheetId="1">'2-Kosten'!berichtoke</definedName>
    <definedName name="berichtoke">'2-Kosten'!berichtoke</definedName>
    <definedName name="berichtoke1" localSheetId="1">'2-Kosten'!berichtoke1</definedName>
    <definedName name="berichtoke1">'2-Kosten'!berichtoke1</definedName>
    <definedName name="Berkt" localSheetId="1">'2-Kosten'!Berkt</definedName>
    <definedName name="Berkt">'2-Kosten'!Berkt</definedName>
    <definedName name="dffdf" hidden="1">'[3]#REF'!#REF!</definedName>
    <definedName name="einde" localSheetId="1">'2-Kosten'!einde</definedName>
    <definedName name="einde">'2-Kosten'!einde</definedName>
    <definedName name="fghf" hidden="1">'[3]#REF'!#REF!</definedName>
    <definedName name="Gan_R" localSheetId="1">'2-Kosten'!Gan_R</definedName>
    <definedName name="Gan_R">'2-Kosten'!Gan_R</definedName>
    <definedName name="gs" hidden="1">'[3]#REF'!#REF!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2" l="1"/>
  <c r="F13" i="42"/>
  <c r="F12" i="42"/>
  <c r="F11" i="42"/>
  <c r="H11" i="28"/>
  <c r="C11" i="31"/>
  <c r="H21" i="28"/>
  <c r="H10" i="28"/>
  <c r="H12" i="28"/>
  <c r="H13" i="28"/>
  <c r="H14" i="28"/>
  <c r="H15" i="28"/>
  <c r="H16" i="28"/>
  <c r="H17" i="28"/>
  <c r="H18" i="28"/>
  <c r="H19" i="28"/>
  <c r="B5" i="31"/>
  <c r="F16" i="42" l="1"/>
  <c r="H22" i="28"/>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7" i="2" l="1"/>
  <c r="W27" i="2" s="1"/>
  <c r="K28" i="2"/>
  <c r="W28" i="2" s="1"/>
  <c r="K29" i="2"/>
  <c r="W29" i="2" s="1"/>
  <c r="K30" i="2"/>
  <c r="W30" i="2" s="1"/>
  <c r="K31" i="2"/>
  <c r="W31" i="2" s="1"/>
  <c r="K32" i="2"/>
  <c r="W32" i="2" s="1"/>
  <c r="K33" i="2"/>
  <c r="W33" i="2" s="1"/>
  <c r="K34" i="2"/>
  <c r="W34" i="2" s="1"/>
  <c r="K35" i="2"/>
  <c r="W35" i="2" s="1"/>
  <c r="K36" i="2"/>
  <c r="W36" i="2" s="1"/>
  <c r="K37" i="2"/>
  <c r="W37" i="2" s="1"/>
  <c r="K38" i="2"/>
  <c r="W38" i="2" s="1"/>
  <c r="K39" i="2"/>
  <c r="W39" i="2" s="1"/>
  <c r="K40" i="2"/>
  <c r="W40" i="2" s="1"/>
  <c r="K41" i="2"/>
  <c r="W41" i="2" s="1"/>
  <c r="K42" i="2"/>
  <c r="W42" i="2" s="1"/>
  <c r="K43" i="2"/>
  <c r="W43" i="2" s="1"/>
  <c r="K44" i="2"/>
  <c r="W44" i="2" s="1"/>
  <c r="K45" i="2"/>
  <c r="W45" i="2" s="1"/>
  <c r="K46" i="2"/>
  <c r="W46" i="2" s="1"/>
  <c r="K47" i="2"/>
  <c r="W47" i="2" s="1"/>
  <c r="K48" i="2"/>
  <c r="W48" i="2" s="1"/>
  <c r="K49" i="2"/>
  <c r="W49" i="2" s="1"/>
  <c r="K50" i="2"/>
  <c r="W50" i="2" s="1"/>
  <c r="K51" i="2"/>
  <c r="W51" i="2" s="1"/>
  <c r="K52" i="2"/>
  <c r="W52" i="2" s="1"/>
  <c r="K53" i="2"/>
  <c r="W53" i="2" s="1"/>
  <c r="K54" i="2"/>
  <c r="W54" i="2" s="1"/>
  <c r="K55" i="2"/>
  <c r="W55" i="2" s="1"/>
  <c r="K56" i="2"/>
  <c r="W56" i="2" s="1"/>
  <c r="K57" i="2"/>
  <c r="W57" i="2" s="1"/>
  <c r="K58" i="2"/>
  <c r="W58" i="2" s="1"/>
  <c r="K59" i="2"/>
  <c r="W59" i="2" s="1"/>
  <c r="K60" i="2"/>
  <c r="W60" i="2" s="1"/>
  <c r="K61" i="2"/>
  <c r="W61" i="2" s="1"/>
  <c r="K62" i="2"/>
  <c r="W62" i="2" s="1"/>
  <c r="K63" i="2"/>
  <c r="W63" i="2" s="1"/>
  <c r="K64" i="2"/>
  <c r="W64" i="2" s="1"/>
  <c r="K65" i="2"/>
  <c r="W65" i="2" s="1"/>
  <c r="K66" i="2"/>
  <c r="W66" i="2" s="1"/>
  <c r="K67" i="2"/>
  <c r="W67" i="2" s="1"/>
  <c r="K68" i="2"/>
  <c r="W68" i="2" s="1"/>
  <c r="K69" i="2"/>
  <c r="W69" i="2" s="1"/>
  <c r="K70" i="2"/>
  <c r="W70" i="2" s="1"/>
  <c r="K71" i="2"/>
  <c r="W71" i="2" s="1"/>
  <c r="K72" i="2"/>
  <c r="W72" i="2" s="1"/>
  <c r="K73" i="2"/>
  <c r="W73" i="2" s="1"/>
  <c r="K74" i="2"/>
  <c r="W74" i="2" s="1"/>
  <c r="K75" i="2"/>
  <c r="W75" i="2" s="1"/>
  <c r="K76" i="2"/>
  <c r="W76" i="2" s="1"/>
  <c r="K77" i="2"/>
  <c r="W77" i="2" s="1"/>
  <c r="K78" i="2"/>
  <c r="W78" i="2" s="1"/>
  <c r="K79" i="2"/>
  <c r="W79" i="2" s="1"/>
  <c r="K80" i="2"/>
  <c r="W80" i="2" s="1"/>
  <c r="K81" i="2"/>
  <c r="W81" i="2" s="1"/>
  <c r="K82" i="2"/>
  <c r="W82" i="2" s="1"/>
  <c r="K83" i="2"/>
  <c r="W83" i="2" s="1"/>
  <c r="K84" i="2"/>
  <c r="W84" i="2" s="1"/>
  <c r="K85" i="2"/>
  <c r="W85" i="2" s="1"/>
  <c r="K86" i="2"/>
  <c r="W86" i="2" s="1"/>
  <c r="K87" i="2"/>
  <c r="W87" i="2" s="1"/>
  <c r="K88" i="2"/>
  <c r="W88" i="2" s="1"/>
  <c r="K89" i="2"/>
  <c r="W89" i="2" s="1"/>
  <c r="K90" i="2"/>
  <c r="W90" i="2" s="1"/>
  <c r="K91" i="2"/>
  <c r="W91" i="2" s="1"/>
  <c r="K92" i="2"/>
  <c r="W92" i="2" s="1"/>
  <c r="K93" i="2"/>
  <c r="W93" i="2" s="1"/>
  <c r="K94" i="2"/>
  <c r="W94" i="2" s="1"/>
  <c r="K95" i="2"/>
  <c r="W95" i="2" s="1"/>
  <c r="K96" i="2"/>
  <c r="W96" i="2" s="1"/>
  <c r="K97" i="2"/>
  <c r="W97" i="2" s="1"/>
  <c r="K98" i="2"/>
  <c r="W98" i="2" s="1"/>
  <c r="K99" i="2"/>
  <c r="W99" i="2" s="1"/>
  <c r="K100" i="2"/>
  <c r="W100" i="2" s="1"/>
  <c r="K101" i="2"/>
  <c r="W101" i="2" s="1"/>
  <c r="K102" i="2"/>
  <c r="W102" i="2" s="1"/>
  <c r="K103" i="2"/>
  <c r="W103" i="2" s="1"/>
  <c r="K104" i="2"/>
  <c r="W104" i="2" s="1"/>
  <c r="K105" i="2"/>
  <c r="W105" i="2" s="1"/>
  <c r="K106" i="2"/>
  <c r="W106" i="2" s="1"/>
  <c r="K107" i="2"/>
  <c r="W107" i="2" s="1"/>
  <c r="K108" i="2"/>
  <c r="W108" i="2" s="1"/>
  <c r="K109" i="2"/>
  <c r="W109" i="2" s="1"/>
  <c r="K110" i="2"/>
  <c r="W110" i="2" s="1"/>
  <c r="K111" i="2"/>
  <c r="W111" i="2" s="1"/>
  <c r="K112" i="2"/>
  <c r="W112" i="2" s="1"/>
  <c r="K113" i="2"/>
  <c r="W113" i="2" s="1"/>
  <c r="K114" i="2"/>
  <c r="W114" i="2" s="1"/>
  <c r="K115" i="2"/>
  <c r="W115" i="2" s="1"/>
  <c r="B4" i="41" l="1"/>
  <c r="B3" i="41"/>
  <c r="D16" i="42"/>
  <c r="B8" i="42"/>
  <c r="A8" i="42"/>
  <c r="B7" i="42"/>
  <c r="A7" i="42"/>
  <c r="B6" i="42"/>
  <c r="A6" i="42"/>
  <c r="B5" i="42"/>
  <c r="A5" i="42"/>
  <c r="B4" i="42"/>
  <c r="A4" i="42"/>
  <c r="B3" i="42"/>
  <c r="A3" i="42"/>
  <c r="B1" i="41" l="1"/>
  <c r="B2" i="41"/>
  <c r="K52" i="38" l="1"/>
  <c r="K60" i="38" l="1"/>
  <c r="K59" i="38"/>
  <c r="K58" i="38"/>
  <c r="K57" i="38"/>
  <c r="K56" i="38"/>
  <c r="K55" i="38"/>
  <c r="K54" i="38"/>
  <c r="K53" i="38"/>
  <c r="K51" i="38"/>
  <c r="K50" i="38"/>
  <c r="F14" i="39"/>
  <c r="E13" i="40"/>
  <c r="E14" i="40"/>
  <c r="E15" i="40"/>
  <c r="E16" i="40"/>
  <c r="E17" i="40"/>
  <c r="E18" i="40"/>
  <c r="E19" i="40"/>
  <c r="E20" i="40"/>
  <c r="E21" i="40"/>
  <c r="E22" i="40"/>
  <c r="E23" i="40"/>
  <c r="E24" i="40"/>
  <c r="E25" i="40"/>
  <c r="E26" i="40"/>
  <c r="B5" i="40"/>
  <c r="B6" i="40"/>
  <c r="B7" i="40"/>
  <c r="B8" i="40"/>
  <c r="B3" i="40"/>
  <c r="A4" i="40"/>
  <c r="A5" i="40"/>
  <c r="A6" i="40"/>
  <c r="A7" i="40"/>
  <c r="A8" i="40"/>
  <c r="A3" i="40"/>
  <c r="P28" i="40" l="1"/>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I16" i="40"/>
  <c r="F16" i="40"/>
  <c r="L15" i="40"/>
  <c r="K15" i="40"/>
  <c r="J15" i="40"/>
  <c r="I15" i="40"/>
  <c r="F15" i="40"/>
  <c r="L14" i="40"/>
  <c r="K14" i="40"/>
  <c r="J14" i="40"/>
  <c r="F14" i="40"/>
  <c r="I14" i="40" s="1"/>
  <c r="L13" i="40"/>
  <c r="K13" i="40"/>
  <c r="J13" i="40"/>
  <c r="F13" i="40"/>
  <c r="I13" i="40" s="1"/>
  <c r="B4" i="40"/>
  <c r="N25" i="40" l="1"/>
  <c r="Q25" i="40" s="1"/>
  <c r="N13" i="40"/>
  <c r="Q13" i="40" s="1"/>
  <c r="N17" i="40"/>
  <c r="Q17" i="40" s="1"/>
  <c r="N26" i="40"/>
  <c r="Q26" i="40" s="1"/>
  <c r="N15" i="40"/>
  <c r="Q15" i="40" s="1"/>
  <c r="N23" i="40"/>
  <c r="Q23" i="40" s="1"/>
  <c r="N14" i="40"/>
  <c r="Q14" i="40" s="1"/>
  <c r="N20" i="40"/>
  <c r="Q20" i="40" s="1"/>
  <c r="N16" i="40"/>
  <c r="Q16" i="40" s="1"/>
  <c r="N18" i="40"/>
  <c r="Q18" i="40" s="1"/>
  <c r="N24" i="40"/>
  <c r="Q24" i="40" s="1"/>
  <c r="N22" i="40"/>
  <c r="Q22" i="40" s="1"/>
  <c r="N21" i="40"/>
  <c r="Q21" i="40" s="1"/>
  <c r="N19" i="40"/>
  <c r="Q19" i="40" s="1"/>
  <c r="Q28" i="40" l="1"/>
  <c r="H14" i="31" s="1"/>
  <c r="B5" i="39"/>
  <c r="B6" i="39"/>
  <c r="B7" i="39"/>
  <c r="B8" i="39"/>
  <c r="B4" i="39"/>
  <c r="B3" i="39"/>
  <c r="A4" i="39"/>
  <c r="A5" i="39"/>
  <c r="A6" i="39"/>
  <c r="A7" i="39"/>
  <c r="A8" i="39"/>
  <c r="A3" i="39"/>
  <c r="F13" i="39"/>
  <c r="B5" i="5"/>
  <c r="B6" i="5"/>
  <c r="B7" i="5"/>
  <c r="B8" i="5"/>
  <c r="B3" i="5"/>
  <c r="A4" i="5"/>
  <c r="A5" i="5"/>
  <c r="A6" i="5"/>
  <c r="A7" i="5"/>
  <c r="A8" i="5"/>
  <c r="A3" i="5"/>
  <c r="B3"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W11" i="2" s="1"/>
  <c r="K12" i="2"/>
  <c r="W12" i="2" s="1"/>
  <c r="K13" i="2"/>
  <c r="W13" i="2" s="1"/>
  <c r="K14" i="2"/>
  <c r="W14" i="2" s="1"/>
  <c r="K15" i="2"/>
  <c r="W15" i="2" s="1"/>
  <c r="K16" i="2"/>
  <c r="W16" i="2" s="1"/>
  <c r="K17" i="2"/>
  <c r="W17" i="2" s="1"/>
  <c r="K18" i="2"/>
  <c r="W18" i="2" s="1"/>
  <c r="K19" i="2"/>
  <c r="W19" i="2" s="1"/>
  <c r="K20" i="2"/>
  <c r="W20" i="2" s="1"/>
  <c r="K21" i="2"/>
  <c r="W21" i="2" s="1"/>
  <c r="K22" i="2"/>
  <c r="W22" i="2" s="1"/>
  <c r="K23" i="2"/>
  <c r="W23" i="2" s="1"/>
  <c r="K24" i="2"/>
  <c r="W24" i="2" s="1"/>
  <c r="K25" i="2"/>
  <c r="W25" i="2" s="1"/>
  <c r="K26" i="2"/>
  <c r="W26" i="2" s="1"/>
  <c r="K10" i="2"/>
  <c r="W10" i="2" s="1"/>
  <c r="B6" i="28"/>
  <c r="B5" i="28"/>
  <c r="B3" i="28"/>
  <c r="A4" i="28"/>
  <c r="A5" i="28"/>
  <c r="A6" i="28"/>
  <c r="A3" i="28"/>
  <c r="B7" i="2"/>
  <c r="B6" i="2"/>
  <c r="B5" i="2"/>
  <c r="B4" i="2"/>
  <c r="B3" i="2"/>
  <c r="C7" i="2"/>
  <c r="C6" i="2"/>
  <c r="C5" i="2"/>
  <c r="C3" i="2"/>
  <c r="K55" i="18"/>
  <c r="K56" i="18"/>
  <c r="K57" i="18"/>
  <c r="K58" i="18"/>
  <c r="K59" i="18"/>
  <c r="K60" i="18"/>
  <c r="K61" i="18"/>
  <c r="K54" i="18"/>
  <c r="K52" i="18"/>
  <c r="K51" i="18"/>
  <c r="T14" i="2" l="1"/>
  <c r="T17" i="2"/>
  <c r="T26" i="2"/>
  <c r="T27" i="2"/>
  <c r="T28" i="2"/>
  <c r="T29" i="2"/>
  <c r="T30" i="2"/>
  <c r="T33" i="2"/>
  <c r="T34" i="2"/>
  <c r="T35" i="2"/>
  <c r="T86" i="2"/>
  <c r="T90" i="2"/>
  <c r="T96" i="2"/>
  <c r="T36" i="2"/>
  <c r="T37" i="2"/>
  <c r="T39" i="2"/>
  <c r="T44" i="2"/>
  <c r="T45" i="2"/>
  <c r="T46" i="2"/>
  <c r="T47" i="2"/>
  <c r="T48" i="2"/>
  <c r="T49" i="2"/>
  <c r="T50" i="2"/>
  <c r="T68" i="2"/>
  <c r="T69" i="2"/>
  <c r="T70" i="2"/>
  <c r="T72" i="2"/>
  <c r="T74" i="2"/>
  <c r="T75" i="2"/>
  <c r="T81" i="2"/>
  <c r="T83" i="2"/>
  <c r="T89" i="2"/>
  <c r="T91" i="2"/>
  <c r="T52" i="2"/>
  <c r="T53" i="2"/>
  <c r="T54" i="2"/>
  <c r="T55" i="2"/>
  <c r="T57" i="2"/>
  <c r="T59" i="2"/>
  <c r="T60" i="2"/>
  <c r="T61" i="2"/>
  <c r="T63" i="2"/>
  <c r="T64" i="2"/>
  <c r="T65" i="2"/>
  <c r="T66" i="2"/>
  <c r="T71" i="2"/>
  <c r="T73" i="2"/>
  <c r="T76" i="2"/>
  <c r="T84" i="2"/>
  <c r="T85" i="2"/>
  <c r="T87" i="2"/>
  <c r="T92" i="2"/>
  <c r="T94" i="2"/>
  <c r="T67" i="2"/>
  <c r="T82" i="2"/>
  <c r="T98" i="2"/>
  <c r="T99" i="2"/>
  <c r="T101" i="2"/>
  <c r="T102" i="2"/>
  <c r="T103" i="2"/>
  <c r="T104" i="2"/>
  <c r="T105" i="2"/>
  <c r="T106" i="2"/>
  <c r="T107" i="2"/>
  <c r="T108" i="2"/>
  <c r="T109" i="2"/>
  <c r="T110" i="2"/>
  <c r="T111" i="2"/>
  <c r="T112" i="2"/>
  <c r="T113" i="2"/>
  <c r="T114" i="2"/>
  <c r="R14" i="2"/>
  <c r="O14" i="2" s="1"/>
  <c r="R17" i="2"/>
  <c r="O17" i="2" s="1"/>
  <c r="R26" i="2"/>
  <c r="O26" i="2" s="1"/>
  <c r="R28" i="2"/>
  <c r="R48" i="2"/>
  <c r="R49" i="2"/>
  <c r="R69" i="2"/>
  <c r="R74" i="2"/>
  <c r="R76" i="2"/>
  <c r="R81" i="2"/>
  <c r="R84" i="2"/>
  <c r="R86" i="2"/>
  <c r="R89" i="2"/>
  <c r="R91" i="2"/>
  <c r="R98" i="2"/>
  <c r="R101" i="2"/>
  <c r="R103" i="2"/>
  <c r="R27" i="2"/>
  <c r="R29" i="2"/>
  <c r="R30" i="2"/>
  <c r="R50" i="2"/>
  <c r="R68" i="2"/>
  <c r="R73" i="2"/>
  <c r="R75" i="2"/>
  <c r="R83" i="2"/>
  <c r="R85" i="2"/>
  <c r="R96" i="2"/>
  <c r="R33" i="2"/>
  <c r="R34" i="2"/>
  <c r="R35" i="2"/>
  <c r="R36" i="2"/>
  <c r="R37" i="2"/>
  <c r="R39" i="2"/>
  <c r="R44" i="2"/>
  <c r="R45" i="2"/>
  <c r="R46" i="2"/>
  <c r="R47" i="2"/>
  <c r="R70" i="2"/>
  <c r="R72" i="2"/>
  <c r="R87" i="2"/>
  <c r="R92" i="2"/>
  <c r="R94" i="2"/>
  <c r="R102" i="2"/>
  <c r="R104" i="2"/>
  <c r="R52" i="2"/>
  <c r="R53" i="2"/>
  <c r="R54" i="2"/>
  <c r="R55" i="2"/>
  <c r="R57" i="2"/>
  <c r="R59" i="2"/>
  <c r="R60" i="2"/>
  <c r="R61" i="2"/>
  <c r="R63" i="2"/>
  <c r="R64" i="2"/>
  <c r="R65" i="2"/>
  <c r="R66" i="2"/>
  <c r="R67" i="2"/>
  <c r="R71" i="2"/>
  <c r="R82" i="2"/>
  <c r="R90" i="2"/>
  <c r="R99" i="2"/>
  <c r="R105" i="2"/>
  <c r="R106" i="2"/>
  <c r="R107" i="2"/>
  <c r="R108" i="2"/>
  <c r="R109" i="2"/>
  <c r="R110" i="2"/>
  <c r="R111" i="2"/>
  <c r="R112" i="2"/>
  <c r="R113" i="2"/>
  <c r="R114" i="2"/>
  <c r="G13" i="39"/>
  <c r="I13" i="39" s="1"/>
  <c r="G14" i="39"/>
  <c r="I14" i="39" s="1"/>
  <c r="B15" i="37"/>
  <c r="G16" i="37"/>
  <c r="H16" i="37"/>
  <c r="I16" i="37"/>
  <c r="F16" i="37"/>
  <c r="D16" i="37"/>
  <c r="E16" i="37"/>
  <c r="B16" i="37"/>
  <c r="E15" i="37"/>
  <c r="F15" i="37"/>
  <c r="D15" i="37"/>
  <c r="O28" i="2" l="1"/>
  <c r="O48" i="2"/>
  <c r="O49" i="2"/>
  <c r="O69" i="2"/>
  <c r="O74" i="2"/>
  <c r="O76" i="2"/>
  <c r="O81" i="2"/>
  <c r="O84" i="2"/>
  <c r="O86" i="2"/>
  <c r="O89" i="2"/>
  <c r="O91" i="2"/>
  <c r="O98" i="2"/>
  <c r="O101" i="2"/>
  <c r="O103" i="2"/>
  <c r="O27" i="2"/>
  <c r="O29" i="2"/>
  <c r="O30" i="2"/>
  <c r="O50" i="2"/>
  <c r="O68" i="2"/>
  <c r="O73" i="2"/>
  <c r="O75" i="2"/>
  <c r="O83" i="2"/>
  <c r="O85" i="2"/>
  <c r="O96" i="2"/>
  <c r="O33" i="2"/>
  <c r="O34" i="2"/>
  <c r="O35" i="2"/>
  <c r="O36" i="2"/>
  <c r="O37" i="2"/>
  <c r="O39" i="2"/>
  <c r="O44" i="2"/>
  <c r="O45" i="2"/>
  <c r="O46" i="2"/>
  <c r="O47" i="2"/>
  <c r="O70" i="2"/>
  <c r="O72" i="2"/>
  <c r="O87" i="2"/>
  <c r="O92" i="2"/>
  <c r="O94" i="2"/>
  <c r="O102" i="2"/>
  <c r="O104" i="2"/>
  <c r="O52" i="2"/>
  <c r="O53" i="2"/>
  <c r="O54" i="2"/>
  <c r="O55" i="2"/>
  <c r="O57" i="2"/>
  <c r="O59" i="2"/>
  <c r="O60" i="2"/>
  <c r="O61" i="2"/>
  <c r="O63" i="2"/>
  <c r="O64" i="2"/>
  <c r="O65" i="2"/>
  <c r="O66" i="2"/>
  <c r="O67" i="2"/>
  <c r="O71" i="2"/>
  <c r="O82" i="2"/>
  <c r="O90" i="2"/>
  <c r="O99" i="2"/>
  <c r="O105" i="2"/>
  <c r="O106" i="2"/>
  <c r="O107" i="2"/>
  <c r="O108" i="2"/>
  <c r="O109" i="2"/>
  <c r="O110" i="2"/>
  <c r="O111" i="2"/>
  <c r="O112" i="2"/>
  <c r="O113" i="2"/>
  <c r="O114" i="2"/>
  <c r="E16" i="39"/>
  <c r="I16" i="39"/>
  <c r="M16" i="37"/>
  <c r="J16" i="37"/>
  <c r="N16" i="37"/>
  <c r="K16" i="37"/>
  <c r="L16" i="37"/>
  <c r="O16" i="37"/>
  <c r="I30" i="38"/>
  <c r="I27" i="38"/>
  <c r="J27" i="38"/>
  <c r="K27" i="38"/>
  <c r="L27" i="38"/>
  <c r="M27" i="38"/>
  <c r="N27" i="38"/>
  <c r="I28" i="38"/>
  <c r="J28" i="38"/>
  <c r="K28" i="38"/>
  <c r="L28" i="38"/>
  <c r="M28" i="38"/>
  <c r="N28" i="38"/>
  <c r="I29" i="38"/>
  <c r="J29" i="38"/>
  <c r="K29" i="38"/>
  <c r="L29" i="38"/>
  <c r="M29" i="38"/>
  <c r="N29" i="38"/>
  <c r="A21" i="37" l="1"/>
  <c r="A20" i="37"/>
  <c r="L20" i="37" s="1"/>
  <c r="K21" i="37" l="1"/>
  <c r="L21" i="37"/>
  <c r="L22" i="37" s="1"/>
  <c r="J20" i="37"/>
  <c r="J21" i="37"/>
  <c r="C16" i="17"/>
  <c r="J22" i="37" l="1"/>
  <c r="N30" i="38"/>
  <c r="M30" i="38"/>
  <c r="L30" i="38"/>
  <c r="K30" i="38"/>
  <c r="J30" i="38"/>
  <c r="J31" i="38" l="1"/>
  <c r="I31" i="38"/>
  <c r="M31" i="38"/>
  <c r="L31" i="38"/>
  <c r="I41" i="18"/>
  <c r="N41" i="18"/>
  <c r="M41" i="18"/>
  <c r="R115" i="2"/>
  <c r="R31" i="2"/>
  <c r="O31" i="2" s="1"/>
  <c r="R12" i="2"/>
  <c r="O12" i="2" s="1"/>
  <c r="R15" i="2"/>
  <c r="O15" i="2" s="1"/>
  <c r="N23" i="38"/>
  <c r="M23" i="38"/>
  <c r="L23" i="38"/>
  <c r="K23" i="38"/>
  <c r="J23" i="38"/>
  <c r="I23" i="38"/>
  <c r="B4" i="38"/>
  <c r="S8" i="2"/>
  <c r="B4" i="37"/>
  <c r="B4" i="5"/>
  <c r="B4" i="31"/>
  <c r="N29" i="18"/>
  <c r="M29" i="18"/>
  <c r="L29" i="18"/>
  <c r="K29" i="18"/>
  <c r="J29" i="18"/>
  <c r="I29" i="18"/>
  <c r="F11" i="31"/>
  <c r="B4" i="28"/>
  <c r="C4" i="2"/>
  <c r="B4" i="18"/>
  <c r="B4" i="17"/>
  <c r="B41" i="17"/>
  <c r="B47" i="17" s="1"/>
  <c r="B51" i="17" s="1"/>
  <c r="B52" i="17"/>
  <c r="R18" i="2" l="1"/>
  <c r="R19" i="2"/>
  <c r="R20" i="2"/>
  <c r="R41" i="2"/>
  <c r="R23" i="2"/>
  <c r="R24" i="2"/>
  <c r="R93" i="2"/>
  <c r="R79" i="2"/>
  <c r="R97" i="2"/>
  <c r="R42" i="2"/>
  <c r="R56" i="2"/>
  <c r="R78" i="2"/>
  <c r="R10" i="2"/>
  <c r="R16" i="2"/>
  <c r="R40" i="2"/>
  <c r="R21" i="2"/>
  <c r="R77" i="2"/>
  <c r="R58" i="2"/>
  <c r="R13" i="2"/>
  <c r="R95" i="2"/>
  <c r="R43" i="2"/>
  <c r="R80" i="2"/>
  <c r="S115" i="2"/>
  <c r="O115" i="2"/>
  <c r="R32" i="2"/>
  <c r="R25" i="2"/>
  <c r="R22" i="2"/>
  <c r="R11" i="2"/>
  <c r="R100" i="2"/>
  <c r="R62" i="2"/>
  <c r="R38" i="2"/>
  <c r="R51" i="2"/>
  <c r="R88" i="2"/>
  <c r="S31" i="2"/>
  <c r="S49" i="2"/>
  <c r="S76" i="2"/>
  <c r="S81" i="2"/>
  <c r="S84" i="2"/>
  <c r="S27" i="2"/>
  <c r="S92" i="2"/>
  <c r="S53" i="2"/>
  <c r="S60" i="2"/>
  <c r="S65" i="2"/>
  <c r="S66" i="2"/>
  <c r="S82" i="2"/>
  <c r="S108" i="2"/>
  <c r="S109" i="2"/>
  <c r="S96" i="2"/>
  <c r="S33" i="2"/>
  <c r="S34" i="2"/>
  <c r="S35" i="2"/>
  <c r="S36" i="2"/>
  <c r="S37" i="2"/>
  <c r="S39" i="2"/>
  <c r="S45" i="2"/>
  <c r="S72" i="2"/>
  <c r="S90" i="2"/>
  <c r="S107" i="2"/>
  <c r="S110" i="2"/>
  <c r="S111" i="2"/>
  <c r="S112" i="2"/>
  <c r="S113" i="2"/>
  <c r="S114" i="2"/>
  <c r="S101" i="2"/>
  <c r="S68" i="2"/>
  <c r="S75" i="2"/>
  <c r="S46" i="2"/>
  <c r="S47" i="2"/>
  <c r="S70" i="2"/>
  <c r="S87" i="2"/>
  <c r="S52" i="2"/>
  <c r="S54" i="2"/>
  <c r="S55" i="2"/>
  <c r="S57" i="2"/>
  <c r="S59" i="2"/>
  <c r="S64" i="2"/>
  <c r="S105" i="2"/>
  <c r="S103" i="2"/>
  <c r="S30" i="2"/>
  <c r="S50" i="2"/>
  <c r="S83" i="2"/>
  <c r="S85" i="2"/>
  <c r="S44" i="2"/>
  <c r="S94" i="2"/>
  <c r="S61" i="2"/>
  <c r="S63" i="2"/>
  <c r="S99" i="2"/>
  <c r="S106" i="2"/>
  <c r="S28" i="2"/>
  <c r="S48" i="2"/>
  <c r="S69" i="2"/>
  <c r="S74" i="2"/>
  <c r="S86" i="2"/>
  <c r="S89" i="2"/>
  <c r="S91" i="2"/>
  <c r="S98" i="2"/>
  <c r="S29" i="2"/>
  <c r="S73" i="2"/>
  <c r="S102" i="2"/>
  <c r="S104" i="2"/>
  <c r="S67" i="2"/>
  <c r="S71" i="2"/>
  <c r="S26" i="2"/>
  <c r="S17" i="2"/>
  <c r="S12" i="2"/>
  <c r="S15" i="2"/>
  <c r="S14" i="2"/>
  <c r="O29" i="18"/>
  <c r="F16" i="31"/>
  <c r="B49" i="17"/>
  <c r="B50" i="17"/>
  <c r="O23" i="38"/>
  <c r="K31" i="38"/>
  <c r="E12" i="38" s="1"/>
  <c r="J41" i="18"/>
  <c r="E12" i="18" s="1"/>
  <c r="N31" i="38"/>
  <c r="L41" i="18"/>
  <c r="K41" i="18"/>
  <c r="O19" i="2" l="1"/>
  <c r="S19" i="2"/>
  <c r="O23" i="2"/>
  <c r="S23" i="2"/>
  <c r="O58" i="2"/>
  <c r="S58" i="2"/>
  <c r="O51" i="2"/>
  <c r="S51" i="2"/>
  <c r="O18" i="2"/>
  <c r="S18" i="2"/>
  <c r="O20" i="2"/>
  <c r="S20" i="2"/>
  <c r="O41" i="2"/>
  <c r="S41" i="2"/>
  <c r="O24" i="2"/>
  <c r="S24" i="2"/>
  <c r="O93" i="2"/>
  <c r="S93" i="2"/>
  <c r="O79" i="2"/>
  <c r="S79" i="2"/>
  <c r="O97" i="2"/>
  <c r="S97" i="2"/>
  <c r="O42" i="2"/>
  <c r="S42" i="2"/>
  <c r="O56" i="2"/>
  <c r="S56" i="2"/>
  <c r="O78" i="2"/>
  <c r="S78" i="2"/>
  <c r="O10" i="2"/>
  <c r="S10" i="2"/>
  <c r="O16" i="2"/>
  <c r="S16" i="2"/>
  <c r="O40" i="2"/>
  <c r="S40" i="2"/>
  <c r="O21" i="2"/>
  <c r="S21" i="2"/>
  <c r="O77" i="2"/>
  <c r="S77" i="2"/>
  <c r="O13" i="2"/>
  <c r="S13" i="2"/>
  <c r="O95" i="2"/>
  <c r="S95" i="2"/>
  <c r="O43" i="2"/>
  <c r="S43" i="2"/>
  <c r="O80" i="2"/>
  <c r="S80" i="2"/>
  <c r="Q115" i="2"/>
  <c r="P115" i="2"/>
  <c r="O32" i="2"/>
  <c r="S32" i="2"/>
  <c r="O25" i="2"/>
  <c r="S25" i="2"/>
  <c r="O22" i="2"/>
  <c r="S22" i="2"/>
  <c r="O11" i="2"/>
  <c r="S11" i="2"/>
  <c r="O100" i="2"/>
  <c r="S100" i="2"/>
  <c r="O62" i="2"/>
  <c r="S62" i="2"/>
  <c r="O38" i="2"/>
  <c r="S38" i="2"/>
  <c r="O88" i="2"/>
  <c r="S88" i="2"/>
  <c r="P31" i="2"/>
  <c r="Q31" i="2"/>
  <c r="Q49" i="2"/>
  <c r="P49" i="2"/>
  <c r="Q76" i="2"/>
  <c r="P76" i="2"/>
  <c r="Q81" i="2"/>
  <c r="P81" i="2"/>
  <c r="P84" i="2"/>
  <c r="Q84" i="2"/>
  <c r="P27" i="2"/>
  <c r="Q27" i="2"/>
  <c r="P92" i="2"/>
  <c r="Q92" i="2"/>
  <c r="P53" i="2"/>
  <c r="Q53" i="2"/>
  <c r="P60" i="2"/>
  <c r="Q60" i="2"/>
  <c r="Q65" i="2"/>
  <c r="P65" i="2"/>
  <c r="P66" i="2"/>
  <c r="Q66" i="2"/>
  <c r="P82" i="2"/>
  <c r="Q82" i="2"/>
  <c r="P108" i="2"/>
  <c r="Q108" i="2"/>
  <c r="P109" i="2"/>
  <c r="Q109" i="2"/>
  <c r="Q96" i="2"/>
  <c r="P96" i="2"/>
  <c r="P33" i="2"/>
  <c r="Q33" i="2"/>
  <c r="Q34" i="2"/>
  <c r="P34" i="2"/>
  <c r="Q35" i="2"/>
  <c r="P35" i="2"/>
  <c r="P36" i="2"/>
  <c r="Q36" i="2"/>
  <c r="P37" i="2"/>
  <c r="Q37" i="2"/>
  <c r="P39" i="2"/>
  <c r="Q39" i="2"/>
  <c r="Q45" i="2"/>
  <c r="P45" i="2"/>
  <c r="P72" i="2"/>
  <c r="Q72" i="2"/>
  <c r="Q90" i="2"/>
  <c r="P90" i="2"/>
  <c r="P107" i="2"/>
  <c r="Q107" i="2"/>
  <c r="P110" i="2"/>
  <c r="Q110" i="2"/>
  <c r="P111" i="2"/>
  <c r="Q111" i="2"/>
  <c r="P112" i="2"/>
  <c r="Q112" i="2"/>
  <c r="P113" i="2"/>
  <c r="Q113" i="2"/>
  <c r="Q114" i="2"/>
  <c r="P114" i="2"/>
  <c r="P101" i="2"/>
  <c r="Q101" i="2"/>
  <c r="P68" i="2"/>
  <c r="Q68" i="2"/>
  <c r="Q75" i="2"/>
  <c r="P75" i="2"/>
  <c r="P46" i="2"/>
  <c r="Q46" i="2"/>
  <c r="P47" i="2"/>
  <c r="Q47" i="2"/>
  <c r="P70" i="2"/>
  <c r="Q70" i="2"/>
  <c r="Q87" i="2"/>
  <c r="P87" i="2"/>
  <c r="Q52" i="2"/>
  <c r="P52" i="2"/>
  <c r="P54" i="2"/>
  <c r="Q54" i="2"/>
  <c r="P55" i="2"/>
  <c r="Q55" i="2"/>
  <c r="Q57" i="2"/>
  <c r="P57" i="2"/>
  <c r="P59" i="2"/>
  <c r="Q59" i="2"/>
  <c r="P64" i="2"/>
  <c r="Q64" i="2"/>
  <c r="P105" i="2"/>
  <c r="Q105" i="2"/>
  <c r="P103" i="2"/>
  <c r="Q103" i="2"/>
  <c r="P30" i="2"/>
  <c r="Q30" i="2"/>
  <c r="Q50" i="2"/>
  <c r="P50" i="2"/>
  <c r="Q83" i="2"/>
  <c r="P83" i="2"/>
  <c r="P85" i="2"/>
  <c r="Q85" i="2"/>
  <c r="P44" i="2"/>
  <c r="Q44" i="2"/>
  <c r="Q94" i="2"/>
  <c r="P94" i="2"/>
  <c r="P61" i="2"/>
  <c r="Q61" i="2"/>
  <c r="Q63" i="2"/>
  <c r="P63" i="2"/>
  <c r="P99" i="2"/>
  <c r="Q99" i="2"/>
  <c r="P106" i="2"/>
  <c r="Q106" i="2"/>
  <c r="P28" i="2"/>
  <c r="Q28" i="2"/>
  <c r="P48" i="2"/>
  <c r="Q48" i="2"/>
  <c r="P69" i="2"/>
  <c r="Q69" i="2"/>
  <c r="Q74" i="2"/>
  <c r="P74" i="2"/>
  <c r="P86" i="2"/>
  <c r="Q86" i="2"/>
  <c r="P89" i="2"/>
  <c r="Q89" i="2"/>
  <c r="P91" i="2"/>
  <c r="Q91" i="2"/>
  <c r="P98" i="2"/>
  <c r="Q98" i="2"/>
  <c r="Q29" i="2"/>
  <c r="P29" i="2"/>
  <c r="Q73" i="2"/>
  <c r="P73" i="2"/>
  <c r="P102" i="2"/>
  <c r="Q102" i="2"/>
  <c r="P104" i="2"/>
  <c r="Q104" i="2"/>
  <c r="P67" i="2"/>
  <c r="Q67" i="2"/>
  <c r="P71" i="2"/>
  <c r="Q71" i="2"/>
  <c r="Q26" i="2"/>
  <c r="P26" i="2"/>
  <c r="P15" i="2"/>
  <c r="Q15" i="2"/>
  <c r="Q14" i="2"/>
  <c r="P14" i="2"/>
  <c r="Q17" i="2"/>
  <c r="P17" i="2"/>
  <c r="P12" i="2"/>
  <c r="Q12" i="2"/>
  <c r="B17" i="37"/>
  <c r="E14" i="18"/>
  <c r="B53" i="17"/>
  <c r="E14" i="38"/>
  <c r="G15" i="37" l="1"/>
  <c r="Q21" i="2"/>
  <c r="P21" i="2"/>
  <c r="Q43" i="2"/>
  <c r="P43" i="2"/>
  <c r="P80" i="2"/>
  <c r="Q80" i="2"/>
  <c r="Q32" i="2"/>
  <c r="P32" i="2"/>
  <c r="Q77" i="2"/>
  <c r="P77" i="2"/>
  <c r="P19" i="2"/>
  <c r="Q19" i="2"/>
  <c r="P23" i="2"/>
  <c r="Q23" i="2"/>
  <c r="P58" i="2"/>
  <c r="Q58" i="2"/>
  <c r="P41" i="2"/>
  <c r="Q41" i="2"/>
  <c r="P93" i="2"/>
  <c r="Q93" i="2"/>
  <c r="Q42" i="2"/>
  <c r="P42" i="2"/>
  <c r="P95" i="2"/>
  <c r="Q95" i="2"/>
  <c r="Q97" i="2"/>
  <c r="P97" i="2"/>
  <c r="P18" i="2"/>
  <c r="Q18" i="2"/>
  <c r="P56" i="2"/>
  <c r="Q56" i="2"/>
  <c r="P78" i="2"/>
  <c r="Q78" i="2"/>
  <c r="Q22" i="2"/>
  <c r="P22" i="2"/>
  <c r="P100" i="2"/>
  <c r="Q100" i="2"/>
  <c r="Q51" i="2"/>
  <c r="P51" i="2"/>
  <c r="P20" i="2"/>
  <c r="Q20" i="2"/>
  <c r="P24" i="2"/>
  <c r="Q24" i="2"/>
  <c r="P79" i="2"/>
  <c r="Q79" i="2"/>
  <c r="P10" i="2"/>
  <c r="Q10" i="2"/>
  <c r="P16" i="2"/>
  <c r="Q16" i="2"/>
  <c r="Q13" i="2"/>
  <c r="P13" i="2"/>
  <c r="Q25" i="2"/>
  <c r="P25" i="2"/>
  <c r="P11" i="2"/>
  <c r="Q11" i="2"/>
  <c r="P62" i="2"/>
  <c r="Q62" i="2"/>
  <c r="P40" i="2"/>
  <c r="Q40" i="2"/>
  <c r="Q38" i="2"/>
  <c r="P38" i="2"/>
  <c r="Q88" i="2"/>
  <c r="P88" i="2"/>
  <c r="E16" i="38"/>
  <c r="K46" i="38" s="1"/>
  <c r="K45" i="38"/>
  <c r="E17" i="18"/>
  <c r="K48" i="18" s="1"/>
  <c r="K46" i="18"/>
  <c r="E17" i="38"/>
  <c r="E16" i="18"/>
  <c r="H6" i="28" l="1"/>
  <c r="J15" i="37"/>
  <c r="J17" i="37" s="1"/>
  <c r="M15" i="37"/>
  <c r="M17" i="37" s="1"/>
  <c r="G17" i="37"/>
  <c r="I15" i="37"/>
  <c r="E18" i="18"/>
  <c r="H15" i="37"/>
  <c r="E18" i="38"/>
  <c r="E20" i="38" s="1"/>
  <c r="K47" i="38"/>
  <c r="K47" i="18"/>
  <c r="I17" i="37" l="1"/>
  <c r="K53" i="18" s="1"/>
  <c r="O15" i="37"/>
  <c r="O17" i="37" s="1"/>
  <c r="N15" i="37"/>
  <c r="N17" i="37" s="1"/>
  <c r="K15" i="37"/>
  <c r="K17" i="37" s="1"/>
  <c r="H17" i="37"/>
  <c r="L15" i="37"/>
  <c r="L17" i="37" s="1"/>
  <c r="E20" i="18"/>
  <c r="C29" i="17" s="1"/>
  <c r="C31" i="17" s="1"/>
  <c r="C34" i="17" s="1"/>
  <c r="C21" i="17" s="1"/>
  <c r="C24" i="17" s="1"/>
  <c r="E21" i="38" s="1"/>
  <c r="K48" i="38" l="1"/>
  <c r="E22" i="38"/>
  <c r="E21" i="18"/>
  <c r="K49" i="18" l="1"/>
  <c r="E22" i="18"/>
  <c r="E24" i="38"/>
  <c r="K49" i="38" s="1"/>
  <c r="E25" i="38" l="1"/>
  <c r="E24" i="18"/>
  <c r="K50" i="18" s="1"/>
  <c r="E25" i="18" l="1"/>
  <c r="E32" i="18" s="1"/>
  <c r="E31" i="38"/>
  <c r="E42" i="38" l="1"/>
  <c r="E43" i="18"/>
  <c r="E47" i="18" l="1"/>
  <c r="E46" i="38"/>
  <c r="F42" i="38" s="1"/>
  <c r="F44" i="38" l="1"/>
  <c r="F46" i="38" s="1"/>
  <c r="K61" i="38"/>
  <c r="K63" i="38" s="1"/>
  <c r="F39" i="38"/>
  <c r="F36" i="38"/>
  <c r="F20" i="37"/>
  <c r="F33" i="38"/>
  <c r="F40" i="38"/>
  <c r="F35" i="38"/>
  <c r="F18" i="38"/>
  <c r="F34" i="38"/>
  <c r="F38" i="38"/>
  <c r="F21" i="37"/>
  <c r="F37" i="38"/>
  <c r="F22" i="38"/>
  <c r="F25" i="38"/>
  <c r="E48" i="38"/>
  <c r="K65" i="38" s="1"/>
  <c r="E52" i="38"/>
  <c r="E50" i="38"/>
  <c r="F31" i="38"/>
  <c r="F18" i="18"/>
  <c r="F38" i="18"/>
  <c r="B20" i="37"/>
  <c r="F35" i="18"/>
  <c r="F40" i="18"/>
  <c r="B21" i="37"/>
  <c r="F37" i="18"/>
  <c r="F36" i="18"/>
  <c r="F34" i="18"/>
  <c r="F41" i="18"/>
  <c r="F39" i="18"/>
  <c r="F22" i="18"/>
  <c r="E53" i="18"/>
  <c r="E51" i="18"/>
  <c r="E49" i="18"/>
  <c r="K66" i="18" s="1"/>
  <c r="F25" i="18"/>
  <c r="F32" i="18"/>
  <c r="F45" i="18"/>
  <c r="K62" i="18"/>
  <c r="K64" i="18" s="1"/>
  <c r="F43" i="18"/>
  <c r="F22" i="37" l="1"/>
  <c r="C21" i="37"/>
  <c r="C20" i="37"/>
  <c r="K68" i="18"/>
  <c r="D21" i="37"/>
  <c r="D20" i="37"/>
  <c r="K70" i="18"/>
  <c r="H11" i="31"/>
  <c r="F47" i="18"/>
  <c r="B22" i="37"/>
  <c r="H20" i="37"/>
  <c r="H21" i="37"/>
  <c r="K69" i="38"/>
  <c r="K67" i="38"/>
  <c r="G21" i="37"/>
  <c r="G20" i="37"/>
  <c r="G22" i="37" l="1"/>
  <c r="C22" i="37"/>
  <c r="D22" i="37"/>
  <c r="H22" i="37"/>
  <c r="I21" i="37"/>
  <c r="E20" i="37"/>
  <c r="E21" i="37"/>
  <c r="I20" i="37"/>
  <c r="H16" i="31"/>
  <c r="K20" i="37"/>
  <c r="K22" i="37" s="1"/>
  <c r="I22" i="37" l="1"/>
  <c r="M21" i="37"/>
  <c r="N21" i="37" s="1"/>
  <c r="M20" i="37"/>
  <c r="E22" i="37"/>
  <c r="M22" i="37" l="1"/>
  <c r="P1" i="37" s="1"/>
  <c r="N20" i="37"/>
  <c r="N22" i="37" s="1"/>
  <c r="P2" i="37" l="1"/>
  <c r="P3" i="37" s="1"/>
</calcChain>
</file>

<file path=xl/sharedStrings.xml><?xml version="1.0" encoding="utf-8"?>
<sst xmlns="http://schemas.openxmlformats.org/spreadsheetml/2006/main" count="1289" uniqueCount="446">
  <si>
    <t>Algemeen</t>
  </si>
  <si>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</si>
  <si>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</si>
  <si>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</si>
  <si>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</si>
  <si>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</si>
  <si>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</si>
  <si>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</si>
  <si>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</si>
  <si>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</si>
  <si>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</si>
  <si>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</si>
  <si>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</si>
  <si>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Naam dienstverlener</t>
  </si>
  <si>
    <t>Prijspeil</t>
  </si>
  <si>
    <t>SUPPLETIEKOSTEN OVERNAME PERSONEEL</t>
  </si>
  <si>
    <t>Versie</t>
  </si>
  <si>
    <t>Aanbesteding</t>
  </si>
  <si>
    <t xml:space="preserve">Dit is het maximale bedrag dat door de dienstverlener aan suppletiekosten in rekening wordt gebracht. Indien hier niets wordt </t>
  </si>
  <si>
    <t>ingevuld, betekent dit dat er geen suppletiekosten door de dienstverlener in rekening worden gebracht.</t>
  </si>
  <si>
    <t>PRODUCTIE UREN PER JAAR</t>
  </si>
  <si>
    <t>UREN OPSLAG MINIMALE TAAKGROOTTE PER JAAR</t>
  </si>
  <si>
    <t>TOEZICHTUREN PER JAAR</t>
  </si>
  <si>
    <t>Locatie</t>
  </si>
  <si>
    <t>Totaal m2 in scope</t>
  </si>
  <si>
    <t>Locatie factor</t>
  </si>
  <si>
    <t>Hoogste frequentie ma t/m vr</t>
  </si>
  <si>
    <t>Hoogste frequentie za - zo</t>
  </si>
  <si>
    <t>Hoogste frequentie feestdag</t>
  </si>
  <si>
    <t>Productie uren ma t/m vr</t>
  </si>
  <si>
    <t>Productie uren za - zo</t>
  </si>
  <si>
    <t>Productie uren feestdag</t>
  </si>
  <si>
    <t>Uren minimale taakgrootte ma t/m vrij</t>
  </si>
  <si>
    <t>Uren minimale taakgrootte za - zo</t>
  </si>
  <si>
    <t>Uren minimale taakgrootte feestdag</t>
  </si>
  <si>
    <t>Toezicht uren per jaar ma t/m vr</t>
  </si>
  <si>
    <t>Toezicht uren per jaar za - zo</t>
  </si>
  <si>
    <t>Toezicht uren per jaar feestdag</t>
  </si>
  <si>
    <t>Totaal</t>
  </si>
  <si>
    <t>Kosten productie per jaar ma t/m vr incl minimale taakgrootte</t>
  </si>
  <si>
    <t>Kosten productie per jaar za - zo incl minimale taakgrootte</t>
  </si>
  <si>
    <t>Kosten productie per jaar feestdag incl minimale taakgrootte</t>
  </si>
  <si>
    <t>Totale kosten productie per jaar</t>
  </si>
  <si>
    <t xml:space="preserve">Kosten toezicht per jaar ma t/m vr </t>
  </si>
  <si>
    <t>Kosten toezicht per jaar za - zo</t>
  </si>
  <si>
    <t>Kosten toezicht per jaar feestdag</t>
  </si>
  <si>
    <t>Totale kosten toezicht per jaar</t>
  </si>
  <si>
    <t>Kosten vloeronderhoud per jaar</t>
  </si>
  <si>
    <t>Kosten Additioneel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</si>
  <si>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</si>
  <si>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</si>
  <si>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</si>
  <si>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</si>
  <si>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</si>
  <si>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</si>
  <si>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</si>
  <si>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</si>
  <si>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</si>
  <si>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Weekend / feestdag opslag</t>
  </si>
  <si>
    <t>VSR Code</t>
  </si>
  <si>
    <t>Administratieve ruimten</t>
  </si>
  <si>
    <t>B</t>
  </si>
  <si>
    <t>Sanitaire ruimten</t>
  </si>
  <si>
    <t>S</t>
  </si>
  <si>
    <t>Gang, hal</t>
  </si>
  <si>
    <t>V</t>
  </si>
  <si>
    <t>Pantry/keuken</t>
  </si>
  <si>
    <t>Opslagruimte</t>
  </si>
  <si>
    <t>Multifunctionele ruimten</t>
  </si>
  <si>
    <t>Trappenhuis</t>
  </si>
  <si>
    <t>Lift</t>
  </si>
  <si>
    <t>Kolom voor matrix</t>
  </si>
  <si>
    <t>Frequentie verklaring</t>
  </si>
  <si>
    <t>Freq</t>
  </si>
  <si>
    <t>Kolom</t>
  </si>
  <si>
    <t>% van reguliere norm</t>
  </si>
  <si>
    <t>Gebouw</t>
  </si>
  <si>
    <t>Adres</t>
  </si>
  <si>
    <t>Verdieping</t>
  </si>
  <si>
    <t>Ruimte nummer</t>
  </si>
  <si>
    <t>Ruimteomschrijving opdrachtgever</t>
  </si>
  <si>
    <t>Ruimte categorie</t>
  </si>
  <si>
    <t>Vloer soort</t>
  </si>
  <si>
    <t>Vloercategorie</t>
  </si>
  <si>
    <t xml:space="preserve">M2 vloer </t>
  </si>
  <si>
    <t>Totaal frequentie</t>
  </si>
  <si>
    <t>Freq. ma-vr</t>
  </si>
  <si>
    <t xml:space="preserve">Freq zat - zon </t>
  </si>
  <si>
    <t xml:space="preserve">Freq  feestdag </t>
  </si>
  <si>
    <t>Uren p/j ma t/m vrij</t>
  </si>
  <si>
    <t>Uren p/j zat - zon</t>
  </si>
  <si>
    <t>Uren p/j feestdag</t>
  </si>
  <si>
    <t>Norm ma t/m vr</t>
  </si>
  <si>
    <t>VSR code</t>
  </si>
  <si>
    <t>Bijzonderheden / opmerkingen</t>
  </si>
  <si>
    <t>M2 per jaar</t>
  </si>
  <si>
    <t>Linoleum</t>
  </si>
  <si>
    <t>Harde vloer zonder waslaag (sanitair)</t>
  </si>
  <si>
    <t>Zachte vloer</t>
  </si>
  <si>
    <t>Harde vloer zonder waslaag (overig)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</si>
  <si>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</si>
  <si>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</si>
  <si>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</si>
  <si>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</si>
  <si>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</si>
  <si>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</si>
  <si>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</si>
  <si>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</si>
  <si>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</si>
  <si>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</si>
  <si>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</si>
  <si>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</si>
  <si>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</si>
  <si>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</si>
  <si>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</si>
  <si>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</si>
  <si>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</si>
  <si>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</si>
  <si>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</si>
  <si>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</si>
  <si>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</si>
  <si>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</si>
  <si>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</si>
  <si>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</si>
  <si>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</si>
  <si>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</si>
  <si>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</si>
  <si>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</si>
  <si>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</si>
  <si>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</si>
  <si>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</si>
  <si>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</si>
  <si>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</si>
  <si>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</si>
  <si>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</si>
  <si>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</si>
  <si>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2026</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</si>
  <si>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</si>
  <si>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</si>
  <si>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</si>
  <si>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</si>
  <si>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</si>
  <si>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</si>
  <si>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</si>
  <si>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</si>
  <si>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</si>
  <si>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</si>
  <si>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</si>
  <si>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</si>
  <si>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</si>
  <si>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</si>
  <si>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</si>
  <si>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</si>
  <si>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</si>
  <si>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</si>
  <si>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</si>
  <si>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</si>
  <si>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</si>
  <si>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</si>
  <si>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</si>
  <si>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</si>
  <si>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</si>
  <si>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</si>
  <si>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</si>
  <si>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Overige cao-gerelateerde verplichtingen (reiskosten)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</si>
  <si>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</si>
  <si>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</si>
  <si>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</si>
  <si>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</si>
  <si>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</si>
  <si>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</si>
  <si>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</si>
  <si>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</si>
  <si>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</si>
  <si>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</si>
  <si>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</si>
  <si>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</si>
  <si>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</si>
  <si>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</si>
  <si>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</si>
  <si>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</si>
  <si>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</si>
  <si>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</si>
  <si>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</si>
  <si>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</si>
  <si>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</si>
  <si>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Omschrijving werkzaamheden</t>
  </si>
  <si>
    <t>Aantal of m2</t>
  </si>
  <si>
    <t>frequentie per jaar</t>
  </si>
  <si>
    <t>uren per m2/ beurt</t>
  </si>
  <si>
    <t>uren per jaar</t>
  </si>
  <si>
    <t>uurtarief</t>
  </si>
  <si>
    <t>kosten per jaar incl toezicht</t>
  </si>
  <si>
    <t>Omschrijving kostenaspect</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</si>
  <si>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</si>
  <si>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</si>
  <si>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</si>
  <si>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</si>
  <si>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</si>
  <si>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</si>
  <si>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</si>
  <si>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</si>
  <si>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</si>
  <si>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</si>
  <si>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</si>
  <si>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</si>
  <si>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</si>
  <si>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</si>
  <si>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</si>
  <si>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</si>
  <si>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</si>
  <si>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</si>
  <si>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</si>
  <si>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</si>
  <si>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</si>
  <si>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</si>
  <si>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</si>
  <si>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</si>
  <si>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</si>
  <si>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</si>
  <si>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</si>
  <si>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</si>
  <si>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</si>
  <si>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</si>
  <si>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</si>
  <si>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</si>
  <si>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</si>
  <si>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</si>
  <si>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</si>
  <si>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</si>
  <si>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</si>
  <si>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</si>
  <si>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</si>
  <si>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</si>
  <si>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</si>
  <si>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</si>
  <si>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Ongedierte bestrijding</t>
  </si>
  <si>
    <t>Behandeling tegen bruine ratten</t>
  </si>
  <si>
    <t>Behandeling tegen muizen</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</si>
  <si>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</si>
  <si>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</si>
  <si>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</si>
  <si>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</si>
  <si>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</si>
  <si>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</si>
  <si>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</si>
  <si>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t>
  </si>
  <si>
    <t>Aanvullende omschrijving</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</si>
  <si>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</si>
  <si>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</si>
  <si>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</si>
  <si>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</si>
  <si>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</si>
  <si>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</si>
  <si>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</si>
  <si>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</si>
  <si>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</si>
  <si>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</si>
  <si>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</si>
  <si>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Tapijtreiniging (sproei-extr.)</t>
  </si>
  <si>
    <t>Tapijtreiniging (kristalliseren)</t>
  </si>
  <si>
    <t>Vloerafwerking</t>
  </si>
  <si>
    <t>Steen</t>
  </si>
  <si>
    <t>12</t>
  </si>
  <si>
    <t>PVC</t>
  </si>
  <si>
    <t>Omschrijving automaat /artikel</t>
  </si>
  <si>
    <t>Kosten per jaar</t>
  </si>
  <si>
    <t>Artikel</t>
  </si>
  <si>
    <t>Merk en productlijn</t>
  </si>
  <si>
    <t>Omschrijving verbruiksartikelen</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</si>
  <si>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</si>
  <si>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</si>
  <si>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</si>
  <si>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</si>
  <si>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</si>
  <si>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</si>
  <si>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</si>
  <si>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</si>
  <si>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</si>
  <si>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</si>
  <si>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</si>
  <si>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</si>
  <si>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</si>
  <si>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</si>
  <si>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</si>
  <si>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</si>
  <si>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Opvanglocatie The View</t>
  </si>
  <si>
    <t>VM.0.01</t>
  </si>
  <si>
    <t>VM.0.02</t>
  </si>
  <si>
    <t>VM.0.03</t>
  </si>
  <si>
    <t>VM.0.04</t>
  </si>
  <si>
    <t>VM.0.05</t>
  </si>
  <si>
    <t>VM.0.06</t>
  </si>
  <si>
    <t>VN.0.01</t>
  </si>
  <si>
    <t>VN.0.02</t>
  </si>
  <si>
    <t>VN.0.03</t>
  </si>
  <si>
    <t>VN.0.06</t>
  </si>
  <si>
    <t>VN.0.07</t>
  </si>
  <si>
    <t>VN.0.08</t>
  </si>
  <si>
    <t>VN.0.09</t>
  </si>
  <si>
    <t>VN.0.10</t>
  </si>
  <si>
    <t>VN.0.11</t>
  </si>
  <si>
    <t>VN.0.12</t>
  </si>
  <si>
    <t>VN.0.13</t>
  </si>
  <si>
    <t>VN.0.14</t>
  </si>
  <si>
    <t>VN.0.15</t>
  </si>
  <si>
    <t>VN.0.16</t>
  </si>
  <si>
    <t>VN.0.17</t>
  </si>
  <si>
    <t>VN.0.18</t>
  </si>
  <si>
    <t>VN.0.19</t>
  </si>
  <si>
    <t>VN.0.20</t>
  </si>
  <si>
    <t>VN.0.21</t>
  </si>
  <si>
    <t>VN.0.22</t>
  </si>
  <si>
    <t>VN.0.23</t>
  </si>
  <si>
    <t>VN.0.24</t>
  </si>
  <si>
    <t>VN.0.30</t>
  </si>
  <si>
    <t>VN.0.31</t>
  </si>
  <si>
    <t>Bg</t>
  </si>
  <si>
    <t>tochtsluis</t>
  </si>
  <si>
    <t>Ontspanningsruimte</t>
  </si>
  <si>
    <t>Tochtsluis</t>
  </si>
  <si>
    <t>Techniek</t>
  </si>
  <si>
    <t>kantoor</t>
  </si>
  <si>
    <t>Gang</t>
  </si>
  <si>
    <t>Toiletten Heren</t>
  </si>
  <si>
    <t>MIVA</t>
  </si>
  <si>
    <t>Toiletten Dames</t>
  </si>
  <si>
    <t>Speelruimte</t>
  </si>
  <si>
    <t>Douches dames</t>
  </si>
  <si>
    <t>Douches heren</t>
  </si>
  <si>
    <t>Opslag</t>
  </si>
  <si>
    <t>Eenheid (4p)</t>
  </si>
  <si>
    <t>Eenheid (6p)</t>
  </si>
  <si>
    <t>Wasruimte</t>
  </si>
  <si>
    <t>Opslag facilitair</t>
  </si>
  <si>
    <t>Eenheid (3p)</t>
  </si>
  <si>
    <t>Eenheid (2p)</t>
  </si>
  <si>
    <t>Eenheid (5p)</t>
  </si>
  <si>
    <t>Vlucht trappenhuis</t>
  </si>
  <si>
    <t>Techniekruimte</t>
  </si>
  <si>
    <t>VM.1.01</t>
  </si>
  <si>
    <t>VM.1.02</t>
  </si>
  <si>
    <t>VM.1.03</t>
  </si>
  <si>
    <t>VN.1.01</t>
  </si>
  <si>
    <t>VN.1.02</t>
  </si>
  <si>
    <t>VN.1.03</t>
  </si>
  <si>
    <t>VN.1.04</t>
  </si>
  <si>
    <t>VN.1.05</t>
  </si>
  <si>
    <t>VN.1.06</t>
  </si>
  <si>
    <t>VN.1.07</t>
  </si>
  <si>
    <t>VN.1.08</t>
  </si>
  <si>
    <t>VN.1.09</t>
  </si>
  <si>
    <t>VN.1.10</t>
  </si>
  <si>
    <t>VN.1.11</t>
  </si>
  <si>
    <t>VN.1.12</t>
  </si>
  <si>
    <t>VN.1.13</t>
  </si>
  <si>
    <t>VN.1.14</t>
  </si>
  <si>
    <t>VN.1.15</t>
  </si>
  <si>
    <t>VZ.1.01</t>
  </si>
  <si>
    <t>VZ.1.02</t>
  </si>
  <si>
    <t>VZ.1.04</t>
  </si>
  <si>
    <t>VZ.1.05</t>
  </si>
  <si>
    <t>VZ.1.06</t>
  </si>
  <si>
    <t>VZ.1.07</t>
  </si>
  <si>
    <t>VZ.1.08</t>
  </si>
  <si>
    <t>VZ.1.09</t>
  </si>
  <si>
    <t>VZ.1.10</t>
  </si>
  <si>
    <t>VZ.1.11</t>
  </si>
  <si>
    <t>VZ.1.12</t>
  </si>
  <si>
    <t>VZ.1.13</t>
  </si>
  <si>
    <t>VZ.1.14</t>
  </si>
  <si>
    <t>VZ.1.15</t>
  </si>
  <si>
    <t>VZ.1.16</t>
  </si>
  <si>
    <t>VZ.1.17</t>
  </si>
  <si>
    <t>VZ.1.18</t>
  </si>
  <si>
    <t>VZ.1.19</t>
  </si>
  <si>
    <t>VZ.1.20</t>
  </si>
  <si>
    <t>Schacht/Techniek</t>
  </si>
  <si>
    <t>Toiletten dames</t>
  </si>
  <si>
    <t>VM.2.01</t>
  </si>
  <si>
    <t>VM.2.02</t>
  </si>
  <si>
    <t>VM.2.03</t>
  </si>
  <si>
    <t>VN.2.01</t>
  </si>
  <si>
    <t>VN.2.02</t>
  </si>
  <si>
    <t>VN.2.03</t>
  </si>
  <si>
    <t>VN.2.04</t>
  </si>
  <si>
    <t>VN.2.05</t>
  </si>
  <si>
    <t>VN.2.06</t>
  </si>
  <si>
    <t>VN.2.07</t>
  </si>
  <si>
    <t>VN.2.08</t>
  </si>
  <si>
    <t>VN.2.09</t>
  </si>
  <si>
    <t>VN.2.10</t>
  </si>
  <si>
    <t>VN.2.11</t>
  </si>
  <si>
    <t>VN.2.12</t>
  </si>
  <si>
    <t>VN.2.13</t>
  </si>
  <si>
    <t>VN.2.14</t>
  </si>
  <si>
    <t>VN.2.15</t>
  </si>
  <si>
    <t>VZ.2.01</t>
  </si>
  <si>
    <t>VZ.2.02</t>
  </si>
  <si>
    <t>VZ.2.03</t>
  </si>
  <si>
    <t>VZ.2.04</t>
  </si>
  <si>
    <t>VZ.2.05</t>
  </si>
  <si>
    <t>VZ.2.06</t>
  </si>
  <si>
    <t>VZ.2.07</t>
  </si>
  <si>
    <t>VZ.2.08</t>
  </si>
  <si>
    <t>VZ.2.09</t>
  </si>
  <si>
    <t>VZ.2.10</t>
  </si>
  <si>
    <t>VZ.2.11</t>
  </si>
  <si>
    <t>VZ.2.12</t>
  </si>
  <si>
    <t>VZ.2.13</t>
  </si>
  <si>
    <t>VZ.2.14</t>
  </si>
  <si>
    <t>VZ.2.15</t>
  </si>
  <si>
    <t>VZ.2.16</t>
  </si>
  <si>
    <t>VZ.2.17</t>
  </si>
  <si>
    <t>VZ.2.18</t>
  </si>
  <si>
    <t>VZ.2.19</t>
  </si>
  <si>
    <t>VZ.2.20</t>
  </si>
  <si>
    <t>Technische ruimte</t>
  </si>
  <si>
    <t>Schacht</t>
  </si>
  <si>
    <t>Toiletten heren</t>
  </si>
  <si>
    <t>nio</t>
  </si>
  <si>
    <t>Keuken</t>
  </si>
  <si>
    <t>Tegels</t>
  </si>
  <si>
    <t>Dieptereiniging Sanitair</t>
  </si>
  <si>
    <t xml:space="preserve">5 x per week </t>
  </si>
  <si>
    <t>Niet in onderhoud</t>
  </si>
  <si>
    <t>Doucheruimten</t>
  </si>
  <si>
    <t>Tork wc papier doppenrol</t>
  </si>
  <si>
    <t>Tork</t>
  </si>
  <si>
    <t>Wc papier doppenrol  (27 x 100 meter) 15 ds</t>
  </si>
  <si>
    <t xml:space="preserve">Ecowipe handdoek Multifold 2-lgs </t>
  </si>
  <si>
    <t xml:space="preserve">Tork Soap Mild </t>
  </si>
  <si>
    <t xml:space="preserve">Tork premium toiletseatcleaner </t>
  </si>
  <si>
    <r>
      <t>Kosten per</t>
    </r>
    <r>
      <rPr>
        <b/>
        <sz val="10"/>
        <color rgb="FFFF0000"/>
        <rFont val="Arial Black"/>
        <family val="2"/>
      </rPr>
      <t xml:space="preserve"> maand </t>
    </r>
    <r>
      <rPr>
        <b/>
        <sz val="10"/>
        <color theme="0"/>
        <rFont val="Arial Black"/>
        <family val="2"/>
      </rPr>
      <t>per doos</t>
    </r>
  </si>
  <si>
    <t>Aantal per jaar</t>
  </si>
  <si>
    <t xml:space="preserve">Ecowipe handdoek Multifold 2-lgs 25 x 120 stuks 20 ds </t>
  </si>
  <si>
    <t xml:space="preserve">Tork Soap Mild 6 x 1 liter 10 ds </t>
  </si>
  <si>
    <t>Tork premium toiletseatcleaner 8 x 475 ml 2ds</t>
  </si>
  <si>
    <t>3 x per week</t>
  </si>
  <si>
    <t>2 x per week</t>
  </si>
  <si>
    <t>1 x per week</t>
  </si>
  <si>
    <t>1 x per maand</t>
  </si>
  <si>
    <t xml:space="preserve">Wasserette </t>
  </si>
  <si>
    <t>Tapijt</t>
  </si>
  <si>
    <t>MAXIMALE BOVENGRENS PLAFONDBEDRAG INSCHRIJVINGSBEDRAG EXCLUSIEF B.T.W.</t>
  </si>
  <si>
    <t>MAXIMALE ONDERGRENS INSCHRIJVINGSBEDRAG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</si>
</sst>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2"/>
      <color theme="0"/>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i/>
      <sz val="1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theme="2"/>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85">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6"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8" xfId="18" applyFont="1" applyFill="1" applyBorder="1" applyAlignment="1">
      <alignment horizontal="right"/>
    </xf>
    <xf numFmtId="166" fontId="78" fillId="2" borderId="38"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2" borderId="0" xfId="17" applyFont="1" applyFill="1"/>
    <xf numFmtId="0" fontId="78" fillId="0" borderId="38" xfId="0" applyFont="1" applyBorder="1"/>
    <xf numFmtId="1" fontId="78" fillId="0" borderId="38"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1" fontId="84" fillId="0" borderId="40" xfId="0" applyNumberFormat="1" applyFont="1" applyBorder="1" applyAlignment="1">
      <alignment horizontal="center"/>
    </xf>
    <xf numFmtId="167" fontId="85" fillId="0" borderId="40"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7" xfId="0" applyFont="1" applyBorder="1"/>
    <xf numFmtId="0" fontId="78" fillId="0" borderId="36"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6" xfId="0" applyFont="1" applyBorder="1"/>
    <xf numFmtId="0" fontId="78" fillId="0" borderId="2" xfId="0" applyFont="1" applyBorder="1"/>
    <xf numFmtId="0" fontId="89"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6"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6"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8" xfId="3" applyNumberFormat="1" applyFont="1" applyFill="1" applyBorder="1" applyAlignment="1" applyProtection="1">
      <protection hidden="1"/>
    </xf>
    <xf numFmtId="1" fontId="80" fillId="0" borderId="38" xfId="13" applyNumberFormat="1" applyFont="1" applyBorder="1" applyAlignment="1" applyProtection="1">
      <alignment horizontal="center"/>
      <protection hidden="1"/>
    </xf>
    <xf numFmtId="0" fontId="78" fillId="0" borderId="37" xfId="13" applyFont="1" applyBorder="1" applyProtection="1">
      <protection hidden="1"/>
    </xf>
    <xf numFmtId="0" fontId="104" fillId="0" borderId="36"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5" fillId="0" borderId="0" xfId="0" applyFont="1"/>
    <xf numFmtId="2" fontId="78" fillId="0" borderId="37" xfId="13" applyNumberFormat="1" applyFont="1" applyBorder="1" applyProtection="1">
      <protection hidden="1"/>
    </xf>
    <xf numFmtId="0" fontId="80" fillId="0" borderId="38" xfId="0" applyFont="1" applyBorder="1"/>
    <xf numFmtId="0" fontId="105" fillId="0" borderId="0" xfId="0" applyFont="1"/>
    <xf numFmtId="0" fontId="108" fillId="0" borderId="37" xfId="13" applyFont="1" applyBorder="1" applyProtection="1">
      <protection hidden="1"/>
    </xf>
    <xf numFmtId="0" fontId="109" fillId="0" borderId="39" xfId="13" applyFont="1" applyBorder="1" applyProtection="1">
      <protection hidden="1"/>
    </xf>
    <xf numFmtId="0" fontId="109" fillId="0" borderId="36" xfId="13" applyFont="1" applyBorder="1" applyAlignment="1" applyProtection="1">
      <alignment horizontal="right"/>
      <protection hidden="1"/>
    </xf>
    <xf numFmtId="0" fontId="88" fillId="0" borderId="35"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78" fillId="0" borderId="35" xfId="0" applyFont="1" applyBorder="1" applyAlignment="1">
      <alignment horizontal="center"/>
    </xf>
    <xf numFmtId="0" fontId="78" fillId="0" borderId="2" xfId="0" applyFont="1" applyBorder="1" applyAlignment="1">
      <alignment horizontal="center"/>
    </xf>
    <xf numFmtId="0" fontId="78" fillId="0" borderId="6" xfId="0" applyFont="1" applyBorder="1" applyAlignment="1">
      <alignment horizontal="center"/>
    </xf>
    <xf numFmtId="0" fontId="105" fillId="0" borderId="0" xfId="10" applyFont="1"/>
    <xf numFmtId="179" fontId="105" fillId="0" borderId="0" xfId="10" applyNumberFormat="1" applyFont="1"/>
    <xf numFmtId="2" fontId="105"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100"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10" fillId="0" borderId="0" xfId="3" applyNumberFormat="1" applyFont="1" applyFill="1" applyBorder="1" applyAlignment="1" applyProtection="1">
      <alignment horizontal="center"/>
      <protection hidden="1"/>
    </xf>
    <xf numFmtId="2" fontId="90"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0" xfId="84" applyFont="1" applyAlignment="1">
      <alignment horizontal="center" vertical="center"/>
    </xf>
    <xf numFmtId="175" fontId="78" fillId="0" borderId="0" xfId="84" applyNumberFormat="1" applyFont="1" applyAlignment="1">
      <alignment horizontal="center" vertical="center"/>
    </xf>
    <xf numFmtId="2" fontId="78" fillId="0" borderId="38" xfId="63" applyNumberFormat="1" applyFont="1" applyBorder="1"/>
    <xf numFmtId="2" fontId="80" fillId="2" borderId="38" xfId="84" applyNumberFormat="1" applyFont="1" applyFill="1" applyBorder="1" applyAlignment="1">
      <alignment vertical="top" wrapText="1"/>
    </xf>
    <xf numFmtId="0" fontId="112" fillId="0" borderId="0" xfId="10" applyFont="1"/>
    <xf numFmtId="0" fontId="105" fillId="0" borderId="0" xfId="10" applyFont="1" applyAlignment="1">
      <alignment horizontal="center"/>
    </xf>
    <xf numFmtId="0" fontId="78" fillId="0" borderId="0" xfId="97" applyFont="1"/>
    <xf numFmtId="2" fontId="90" fillId="0" borderId="0" xfId="63" applyNumberFormat="1" applyFont="1"/>
    <xf numFmtId="196" fontId="113" fillId="0" borderId="0" xfId="63" applyNumberFormat="1" applyFont="1" applyAlignment="1">
      <alignment horizontal="left"/>
    </xf>
    <xf numFmtId="0" fontId="80" fillId="0" borderId="37" xfId="84" applyFont="1" applyBorder="1"/>
    <xf numFmtId="0" fontId="80" fillId="0" borderId="39" xfId="84" applyFont="1" applyBorder="1"/>
    <xf numFmtId="0" fontId="79" fillId="64" borderId="38" xfId="0" applyFont="1" applyFill="1" applyBorder="1" applyAlignment="1">
      <alignment wrapText="1"/>
    </xf>
    <xf numFmtId="0" fontId="79" fillId="64" borderId="38" xfId="0" applyFont="1" applyFill="1" applyBorder="1"/>
    <xf numFmtId="2" fontId="76" fillId="65" borderId="0" xfId="12" applyNumberFormat="1" applyFont="1" applyFill="1"/>
    <xf numFmtId="2" fontId="75" fillId="65" borderId="0" xfId="12" applyNumberFormat="1" applyFont="1" applyFill="1"/>
    <xf numFmtId="0" fontId="78" fillId="65" borderId="2" xfId="10" applyFont="1" applyFill="1" applyBorder="1"/>
    <xf numFmtId="3" fontId="88" fillId="65" borderId="38" xfId="62" applyNumberFormat="1" applyFont="1" applyFill="1" applyBorder="1" applyAlignment="1" applyProtection="1">
      <alignment horizontal="left" wrapText="1"/>
      <protection hidden="1"/>
    </xf>
    <xf numFmtId="3" fontId="88" fillId="65" borderId="38" xfId="62" applyNumberFormat="1" applyFont="1" applyFill="1" applyBorder="1" applyAlignment="1" applyProtection="1">
      <alignment horizontal="left" vertical="top" wrapText="1"/>
      <protection hidden="1"/>
    </xf>
    <xf numFmtId="167" fontId="116" fillId="64" borderId="33" xfId="8" applyFont="1" applyFill="1" applyBorder="1" applyAlignment="1">
      <alignment horizontal="center" vertical="top" wrapText="1"/>
    </xf>
    <xf numFmtId="0" fontId="115" fillId="0" borderId="0" xfId="0" applyFont="1" applyAlignment="1">
      <alignment horizontal="center" vertical="center"/>
    </xf>
    <xf numFmtId="0" fontId="119" fillId="0" borderId="0" xfId="17" applyFont="1"/>
    <xf numFmtId="1" fontId="80" fillId="0" borderId="38" xfId="61" applyNumberFormat="1" applyFont="1" applyBorder="1" applyAlignment="1">
      <alignment horizontal="center"/>
    </xf>
    <xf numFmtId="2" fontId="120" fillId="0" borderId="0" xfId="0" applyNumberFormat="1" applyFont="1"/>
    <xf numFmtId="2" fontId="118" fillId="64" borderId="33" xfId="0" applyNumberFormat="1" applyFont="1" applyFill="1" applyBorder="1" applyAlignment="1">
      <alignment horizontal="center" vertical="top" wrapText="1"/>
    </xf>
    <xf numFmtId="0" fontId="115" fillId="0" borderId="0" xfId="0" applyFont="1" applyAlignment="1">
      <alignment horizontal="center"/>
    </xf>
    <xf numFmtId="2" fontId="121" fillId="0" borderId="0" xfId="13" applyNumberFormat="1" applyFont="1" applyAlignment="1" applyProtection="1">
      <alignment vertical="center"/>
      <protection locked="0"/>
    </xf>
    <xf numFmtId="2" fontId="126" fillId="0" borderId="0" xfId="13" applyNumberFormat="1" applyFont="1" applyAlignment="1" applyProtection="1">
      <alignment horizontal="center" wrapText="1"/>
      <protection hidden="1"/>
    </xf>
    <xf numFmtId="0" fontId="115" fillId="0" borderId="0" xfId="0" applyFont="1" applyAlignment="1">
      <alignment horizontal="center" wrapText="1"/>
    </xf>
    <xf numFmtId="2" fontId="125" fillId="64" borderId="37" xfId="13" applyNumberFormat="1" applyFont="1" applyFill="1" applyBorder="1" applyAlignment="1" applyProtection="1">
      <alignment horizontal="left" vertical="center" wrapText="1"/>
      <protection hidden="1"/>
    </xf>
    <xf numFmtId="2" fontId="125" fillId="64" borderId="38" xfId="3" applyNumberFormat="1" applyFont="1" applyFill="1" applyBorder="1" applyAlignment="1" applyProtection="1">
      <alignment vertical="center" wrapText="1"/>
      <protection hidden="1"/>
    </xf>
    <xf numFmtId="0" fontId="116" fillId="64" borderId="37" xfId="59" applyFont="1" applyFill="1" applyBorder="1" applyAlignment="1">
      <alignment horizontal="left" vertical="top" wrapText="1"/>
    </xf>
    <xf numFmtId="0" fontId="116" fillId="64" borderId="39" xfId="59" applyFont="1" applyFill="1" applyBorder="1" applyAlignment="1">
      <alignment horizontal="left" vertical="top" wrapText="1"/>
    </xf>
    <xf numFmtId="0" fontId="116" fillId="64" borderId="36" xfId="59" applyFont="1" applyFill="1" applyBorder="1" applyAlignment="1">
      <alignment horizontal="left" vertical="top" wrapText="1"/>
    </xf>
    <xf numFmtId="0" fontId="83" fillId="0" borderId="0" xfId="9" applyFont="1" applyAlignment="1" applyProtection="1">
      <alignment horizontal="left" vertical="center"/>
      <protection hidden="1"/>
    </xf>
    <xf numFmtId="179" fontId="116" fillId="64" borderId="38" xfId="89" applyNumberFormat="1" applyFont="1" applyFill="1" applyBorder="1" applyAlignment="1" applyProtection="1">
      <alignment horizontal="center" vertical="top" wrapText="1"/>
      <protection hidden="1"/>
    </xf>
    <xf numFmtId="2" fontId="116" fillId="64" borderId="38" xfId="89" applyNumberFormat="1" applyFont="1" applyFill="1" applyBorder="1" applyAlignment="1" applyProtection="1">
      <alignment horizontal="center" vertical="top" wrapText="1"/>
      <protection hidden="1"/>
    </xf>
    <xf numFmtId="0" fontId="117" fillId="0" borderId="0" xfId="103" applyFont="1"/>
    <xf numFmtId="179" fontId="116" fillId="64" borderId="38" xfId="89" applyNumberFormat="1" applyFont="1" applyFill="1" applyBorder="1" applyAlignment="1" applyProtection="1">
      <alignment vertical="center" wrapText="1"/>
      <protection hidden="1"/>
    </xf>
    <xf numFmtId="0" fontId="116" fillId="64" borderId="33" xfId="89" applyFont="1" applyFill="1" applyBorder="1" applyAlignment="1" applyProtection="1">
      <alignment horizontal="left" vertical="center" wrapText="1"/>
      <protection hidden="1"/>
    </xf>
    <xf numFmtId="2" fontId="116" fillId="64" borderId="33" xfId="0" applyNumberFormat="1" applyFont="1" applyFill="1" applyBorder="1" applyAlignment="1">
      <alignment horizontal="left" vertical="top" wrapText="1"/>
    </xf>
    <xf numFmtId="0" fontId="115" fillId="0" borderId="0" xfId="84" applyFont="1"/>
    <xf numFmtId="166" fontId="131" fillId="2" borderId="36" xfId="18" applyFont="1" applyFill="1" applyBorder="1" applyAlignment="1"/>
    <xf numFmtId="167" fontId="35" fillId="65" borderId="38" xfId="8" applyFont="1" applyFill="1" applyBorder="1" applyAlignment="1">
      <alignment horizontal="left"/>
    </xf>
    <xf numFmtId="0" fontId="132" fillId="0" borderId="0" xfId="63" applyFont="1"/>
    <xf numFmtId="178" fontId="132" fillId="0" borderId="2" xfId="6" applyNumberFormat="1" applyFont="1" applyFill="1" applyBorder="1" applyAlignment="1"/>
    <xf numFmtId="44" fontId="132" fillId="0" borderId="0" xfId="63" applyNumberFormat="1" applyFont="1"/>
    <xf numFmtId="9" fontId="35" fillId="65" borderId="38" xfId="16" applyFont="1" applyFill="1" applyBorder="1" applyAlignment="1">
      <alignment horizontal="center"/>
    </xf>
    <xf numFmtId="44" fontId="129" fillId="64" borderId="36" xfId="63" applyNumberFormat="1" applyFont="1" applyFill="1" applyBorder="1"/>
    <xf numFmtId="2" fontId="35" fillId="65" borderId="38" xfId="8" applyNumberFormat="1" applyFont="1" applyFill="1" applyBorder="1" applyAlignment="1">
      <alignment horizontal="center"/>
    </xf>
    <xf numFmtId="1" fontId="130" fillId="2" borderId="38" xfId="8" applyNumberFormat="1" applyFont="1" applyFill="1" applyBorder="1" applyAlignment="1">
      <alignment horizontal="center"/>
    </xf>
    <xf numFmtId="173" fontId="130" fillId="2" borderId="38" xfId="8" applyNumberFormat="1" applyFont="1" applyFill="1" applyBorder="1"/>
    <xf numFmtId="167" fontId="130" fillId="2" borderId="38" xfId="8" applyFont="1" applyFill="1" applyBorder="1"/>
    <xf numFmtId="166" fontId="35" fillId="0" borderId="38" xfId="18" applyFont="1" applyBorder="1"/>
    <xf numFmtId="166" fontId="35" fillId="0" borderId="38" xfId="89" applyNumberFormat="1" applyFont="1" applyBorder="1"/>
    <xf numFmtId="180" fontId="35" fillId="0" borderId="38" xfId="89" applyNumberFormat="1" applyFont="1" applyBorder="1"/>
    <xf numFmtId="173" fontId="79" fillId="64" borderId="37" xfId="8" applyNumberFormat="1" applyFont="1" applyFill="1" applyBorder="1" applyAlignment="1">
      <alignment horizontal="left"/>
    </xf>
    <xf numFmtId="167" fontId="79" fillId="64" borderId="36" xfId="8" applyFont="1" applyFill="1" applyBorder="1"/>
    <xf numFmtId="49" fontId="81" fillId="0" borderId="37" xfId="63" applyNumberFormat="1" applyFont="1" applyBorder="1" applyAlignment="1">
      <alignment vertical="top"/>
    </xf>
    <xf numFmtId="0" fontId="78" fillId="0" borderId="39" xfId="63" applyFont="1" applyBorder="1"/>
    <xf numFmtId="49" fontId="80" fillId="0" borderId="39" xfId="63" applyNumberFormat="1" applyFont="1" applyBorder="1"/>
    <xf numFmtId="49" fontId="79" fillId="64" borderId="37" xfId="63" applyNumberFormat="1" applyFont="1" applyFill="1" applyBorder="1"/>
    <xf numFmtId="0" fontId="79" fillId="64" borderId="39" xfId="63" applyFont="1" applyFill="1" applyBorder="1"/>
    <xf numFmtId="173" fontId="79" fillId="64" borderId="38" xfId="8" applyNumberFormat="1" applyFont="1" applyFill="1" applyBorder="1" applyAlignment="1">
      <alignment vertical="top" wrapText="1"/>
    </xf>
    <xf numFmtId="173" fontId="79" fillId="64" borderId="38" xfId="8" applyNumberFormat="1" applyFont="1" applyFill="1" applyBorder="1" applyAlignment="1">
      <alignment horizontal="center" vertical="top" wrapText="1"/>
    </xf>
    <xf numFmtId="167" fontId="79" fillId="64" borderId="38" xfId="8" applyFont="1" applyFill="1" applyBorder="1" applyAlignment="1">
      <alignment horizontal="center" vertical="top" wrapText="1"/>
    </xf>
    <xf numFmtId="2" fontId="79" fillId="64" borderId="33" xfId="89" applyNumberFormat="1" applyFont="1" applyFill="1" applyBorder="1" applyAlignment="1">
      <alignment vertical="top" wrapText="1"/>
    </xf>
    <xf numFmtId="167" fontId="79" fillId="64" borderId="33" xfId="8" applyFont="1" applyFill="1" applyBorder="1" applyAlignment="1">
      <alignment horizontal="center" vertical="top" wrapText="1"/>
    </xf>
    <xf numFmtId="0" fontId="35" fillId="0" borderId="0" xfId="17" applyFont="1"/>
    <xf numFmtId="0" fontId="130" fillId="0" borderId="0" xfId="17" applyFont="1"/>
    <xf numFmtId="0" fontId="35" fillId="0" borderId="0" xfId="0" applyFont="1"/>
    <xf numFmtId="0" fontId="35" fillId="0" borderId="0" xfId="0" applyFont="1" applyAlignment="1">
      <alignment horizontal="center"/>
    </xf>
    <xf numFmtId="2" fontId="130" fillId="0" borderId="0" xfId="0" applyNumberFormat="1" applyFont="1" applyAlignment="1">
      <alignment horizontal="center"/>
    </xf>
    <xf numFmtId="2" fontId="133" fillId="0" borderId="0" xfId="0" applyNumberFormat="1" applyFont="1" applyAlignment="1">
      <alignment horizontal="center"/>
    </xf>
    <xf numFmtId="2" fontId="139" fillId="0" borderId="0" xfId="12" applyNumberFormat="1" applyFont="1" applyAlignment="1">
      <alignment horizontal="center"/>
    </xf>
    <xf numFmtId="174" fontId="35" fillId="0" borderId="0" xfId="0" applyNumberFormat="1" applyFont="1" applyAlignment="1">
      <alignment horizontal="center"/>
    </xf>
    <xf numFmtId="43" fontId="135" fillId="0" borderId="38" xfId="8" applyNumberFormat="1" applyFont="1" applyFill="1" applyBorder="1" applyAlignment="1">
      <alignment horizontal="center"/>
    </xf>
    <xf numFmtId="1" fontId="136" fillId="0" borderId="38" xfId="0" applyNumberFormat="1" applyFont="1" applyBorder="1" applyAlignment="1">
      <alignment horizontal="center"/>
    </xf>
    <xf numFmtId="14" fontId="134" fillId="0" borderId="0" xfId="12" applyNumberFormat="1" applyFont="1" applyAlignment="1">
      <alignment horizontal="left"/>
    </xf>
    <xf numFmtId="177" fontId="35" fillId="65" borderId="38" xfId="11" applyNumberFormat="1" applyFont="1" applyFill="1" applyBorder="1" applyAlignment="1" applyProtection="1">
      <alignment vertical="center"/>
      <protection hidden="1"/>
    </xf>
    <xf numFmtId="179" fontId="140"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0" fillId="0" borderId="38" xfId="3" applyNumberFormat="1" applyFont="1" applyFill="1" applyBorder="1" applyAlignment="1" applyProtection="1">
      <protection hidden="1"/>
    </xf>
    <xf numFmtId="166" fontId="140" fillId="35" borderId="38" xfId="18" applyFont="1" applyFill="1" applyBorder="1" applyAlignment="1" applyProtection="1">
      <protection locked="0"/>
    </xf>
    <xf numFmtId="175" fontId="141" fillId="0" borderId="5" xfId="0" applyNumberFormat="1" applyFont="1" applyBorder="1" applyAlignment="1">
      <alignment horizontal="center" vertical="center"/>
    </xf>
    <xf numFmtId="166" fontId="140" fillId="66" borderId="38" xfId="18" applyFont="1" applyFill="1" applyBorder="1" applyAlignment="1" applyProtection="1">
      <protection locked="0"/>
    </xf>
    <xf numFmtId="179" fontId="130" fillId="0" borderId="38" xfId="3" applyNumberFormat="1" applyFont="1" applyFill="1" applyBorder="1" applyAlignment="1" applyProtection="1">
      <protection hidden="1"/>
    </xf>
    <xf numFmtId="169" fontId="140" fillId="0" borderId="38" xfId="3" applyFont="1" applyFill="1" applyBorder="1" applyAlignment="1" applyProtection="1">
      <protection hidden="1"/>
    </xf>
    <xf numFmtId="166" fontId="140" fillId="0" borderId="38" xfId="18" applyFont="1" applyFill="1" applyBorder="1" applyAlignment="1" applyProtection="1">
      <protection locked="0"/>
    </xf>
    <xf numFmtId="169" fontId="140" fillId="0" borderId="38" xfId="3" applyFont="1" applyFill="1" applyBorder="1" applyAlignment="1" applyProtection="1">
      <protection locked="0"/>
    </xf>
    <xf numFmtId="166" fontId="143" fillId="2" borderId="38" xfId="18" applyFont="1" applyFill="1" applyBorder="1" applyAlignment="1" applyProtection="1">
      <alignment horizontal="right"/>
      <protection locked="0"/>
    </xf>
    <xf numFmtId="175" fontId="135" fillId="0" borderId="5" xfId="0" applyNumberFormat="1" applyFont="1" applyBorder="1" applyAlignment="1">
      <alignment horizontal="center" vertical="center"/>
    </xf>
    <xf numFmtId="175" fontId="144" fillId="0" borderId="5" xfId="0" applyNumberFormat="1" applyFont="1" applyBorder="1" applyAlignment="1">
      <alignment horizontal="center" vertical="center"/>
    </xf>
    <xf numFmtId="175" fontId="35" fillId="0" borderId="5" xfId="0" applyNumberFormat="1" applyFont="1" applyBorder="1"/>
    <xf numFmtId="179" fontId="130"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5" fillId="0" borderId="38" xfId="5" applyNumberFormat="1" applyFont="1" applyFill="1" applyBorder="1" applyAlignment="1" applyProtection="1">
      <protection hidden="1"/>
    </xf>
    <xf numFmtId="179" fontId="135" fillId="0" borderId="0" xfId="0" applyNumberFormat="1" applyFont="1"/>
    <xf numFmtId="0" fontId="135" fillId="0" borderId="0" xfId="0" applyFont="1"/>
    <xf numFmtId="14" fontId="134" fillId="0" borderId="0" xfId="0" applyNumberFormat="1" applyFont="1" applyAlignment="1">
      <alignment horizontal="left"/>
    </xf>
    <xf numFmtId="166" fontId="35" fillId="0" borderId="37" xfId="18" applyFont="1" applyFill="1" applyBorder="1" applyAlignment="1" applyProtection="1">
      <protection hidden="1"/>
    </xf>
    <xf numFmtId="166" fontId="130" fillId="0" borderId="38" xfId="18" applyFont="1" applyBorder="1"/>
    <xf numFmtId="1" fontId="130" fillId="0" borderId="38" xfId="13" applyNumberFormat="1" applyFont="1" applyBorder="1" applyAlignment="1" applyProtection="1">
      <alignment horizontal="center"/>
      <protection hidden="1"/>
    </xf>
    <xf numFmtId="2" fontId="35" fillId="0" borderId="37" xfId="13" applyNumberFormat="1" applyFont="1" applyBorder="1" applyProtection="1">
      <protection hidden="1"/>
    </xf>
    <xf numFmtId="44" fontId="35" fillId="66" borderId="36" xfId="66" applyFont="1" applyFill="1" applyBorder="1" applyAlignment="1" applyProtection="1">
      <protection locked="0"/>
    </xf>
    <xf numFmtId="14" fontId="134" fillId="0" borderId="0" xfId="63" applyNumberFormat="1" applyFont="1" applyAlignment="1">
      <alignment horizontal="left"/>
    </xf>
    <xf numFmtId="0" fontId="35" fillId="0" borderId="0" xfId="103" applyFont="1"/>
    <xf numFmtId="166" fontId="35" fillId="65" borderId="38" xfId="18" applyFont="1" applyFill="1" applyBorder="1" applyAlignment="1">
      <alignment horizontal="center"/>
    </xf>
    <xf numFmtId="14" fontId="148" fillId="0" borderId="0" xfId="63" applyNumberFormat="1" applyFont="1" applyAlignment="1">
      <alignment horizontal="left"/>
    </xf>
    <xf numFmtId="0" fontId="140" fillId="0" borderId="33" xfId="62" applyFont="1" applyBorder="1" applyAlignment="1" applyProtection="1">
      <alignment horizontal="left" textRotation="90"/>
      <protection hidden="1"/>
    </xf>
    <xf numFmtId="175" fontId="140" fillId="65" borderId="33" xfId="65" applyNumberFormat="1" applyFont="1" applyFill="1" applyBorder="1" applyAlignment="1" applyProtection="1">
      <alignment horizontal="center"/>
      <protection hidden="1"/>
    </xf>
    <xf numFmtId="0" fontId="140" fillId="0" borderId="0" xfId="62" applyFont="1" applyAlignment="1" applyProtection="1">
      <alignment horizontal="left" textRotation="90"/>
      <protection hidden="1"/>
    </xf>
    <xf numFmtId="0" fontId="35" fillId="0" borderId="0" xfId="84" applyFont="1"/>
    <xf numFmtId="0" fontId="149" fillId="0" borderId="0" xfId="62" applyFont="1" applyAlignment="1" applyProtection="1">
      <alignment horizontal="left" textRotation="90"/>
      <protection hidden="1"/>
    </xf>
    <xf numFmtId="179" fontId="140" fillId="65" borderId="38" xfId="62" applyNumberFormat="1" applyFont="1" applyFill="1" applyBorder="1" applyAlignment="1" applyProtection="1">
      <alignment horizontal="center"/>
      <protection hidden="1"/>
    </xf>
    <xf numFmtId="179" fontId="140" fillId="2" borderId="38" xfId="62" applyNumberFormat="1" applyFont="1" applyFill="1" applyBorder="1" applyAlignment="1" applyProtection="1">
      <alignment horizontal="center"/>
      <protection hidden="1"/>
    </xf>
    <xf numFmtId="179" fontId="140" fillId="0" borderId="38" xfId="62" applyNumberFormat="1" applyFont="1" applyBorder="1" applyAlignment="1" applyProtection="1">
      <alignment horizontal="center"/>
      <protection hidden="1"/>
    </xf>
    <xf numFmtId="3" fontId="140" fillId="65" borderId="38" xfId="62" applyNumberFormat="1" applyFont="1" applyFill="1" applyBorder="1" applyAlignment="1" applyProtection="1">
      <alignment horizontal="center"/>
      <protection hidden="1"/>
    </xf>
    <xf numFmtId="166" fontId="35" fillId="0" borderId="38" xfId="102" applyFont="1" applyBorder="1"/>
    <xf numFmtId="180" fontId="35" fillId="0" borderId="38" xfId="84" applyNumberFormat="1" applyFont="1" applyBorder="1"/>
    <xf numFmtId="197" fontId="35" fillId="0" borderId="38" xfId="84" applyNumberFormat="1" applyFont="1" applyBorder="1"/>
    <xf numFmtId="166" fontId="35" fillId="0" borderId="38" xfId="84" applyNumberFormat="1" applyFont="1" applyBorder="1"/>
    <xf numFmtId="0" fontId="130" fillId="0" borderId="39" xfId="84" applyFont="1" applyBorder="1"/>
    <xf numFmtId="0" fontId="130" fillId="0" borderId="36" xfId="84" applyFont="1" applyBorder="1"/>
    <xf numFmtId="49" fontId="130" fillId="0" borderId="38" xfId="8" applyNumberFormat="1" applyFont="1" applyBorder="1" applyAlignment="1">
      <alignment horizontal="center"/>
    </xf>
    <xf numFmtId="166" fontId="130" fillId="0" borderId="38" xfId="84" applyNumberFormat="1" applyFont="1" applyBorder="1"/>
    <xf numFmtId="49" fontId="77" fillId="66" borderId="38" xfId="62" applyNumberFormat="1" applyFont="1" applyFill="1" applyBorder="1" applyAlignment="1" applyProtection="1">
      <alignment horizontal="left" vertical="top"/>
      <protection hidden="1"/>
    </xf>
    <xf numFmtId="2" fontId="79" fillId="64" borderId="38" xfId="89" applyNumberFormat="1" applyFont="1" applyFill="1" applyBorder="1" applyAlignment="1">
      <alignment vertical="top" wrapText="1"/>
    </xf>
    <xf numFmtId="2" fontId="78" fillId="0" borderId="38" xfId="0" applyNumberFormat="1" applyFont="1" applyBorder="1"/>
    <xf numFmtId="2" fontId="78" fillId="0" borderId="38" xfId="89" applyNumberFormat="1" applyFont="1" applyBorder="1"/>
    <xf numFmtId="0" fontId="84" fillId="0" borderId="38" xfId="0" applyFont="1" applyBorder="1"/>
    <xf numFmtId="0" fontId="80" fillId="0" borderId="38" xfId="89" applyFont="1" applyBorder="1"/>
    <xf numFmtId="166" fontId="35" fillId="2" borderId="38" xfId="18" applyFont="1" applyFill="1" applyBorder="1" applyAlignment="1">
      <alignment horizontal="center"/>
    </xf>
    <xf numFmtId="166" fontId="80" fillId="2" borderId="38" xfId="18" applyFont="1" applyFill="1" applyBorder="1"/>
    <xf numFmtId="1" fontId="114" fillId="0" borderId="37" xfId="0" applyNumberFormat="1" applyFont="1" applyBorder="1" applyAlignment="1">
      <alignment horizontal="left" vertical="center"/>
    </xf>
    <xf numFmtId="1" fontId="114" fillId="0" borderId="39" xfId="0" applyNumberFormat="1" applyFont="1" applyBorder="1" applyAlignment="1">
      <alignment horizontal="left" vertical="center"/>
    </xf>
    <xf numFmtId="1" fontId="138" fillId="0" borderId="39" xfId="0" applyNumberFormat="1" applyFont="1" applyBorder="1" applyAlignment="1">
      <alignment horizontal="center" vertical="center" wrapText="1"/>
    </xf>
    <xf numFmtId="1" fontId="114" fillId="0" borderId="36" xfId="0" applyNumberFormat="1" applyFont="1" applyBorder="1" applyAlignment="1">
      <alignment horizontal="center" vertical="center" wrapText="1"/>
    </xf>
    <xf numFmtId="2" fontId="116" fillId="64" borderId="38" xfId="0" applyNumberFormat="1" applyFont="1" applyFill="1" applyBorder="1" applyAlignment="1">
      <alignment horizontal="left" vertical="center" wrapText="1"/>
    </xf>
    <xf numFmtId="1" fontId="116" fillId="64" borderId="38" xfId="0" applyNumberFormat="1" applyFont="1" applyFill="1" applyBorder="1" applyAlignment="1">
      <alignment horizontal="center" vertical="center" wrapText="1"/>
    </xf>
    <xf numFmtId="0" fontId="116" fillId="64" borderId="38" xfId="0" applyFont="1" applyFill="1" applyBorder="1" applyAlignment="1">
      <alignment horizontal="left" vertical="center" wrapText="1"/>
    </xf>
    <xf numFmtId="2" fontId="116" fillId="64" borderId="38" xfId="0" applyNumberFormat="1" applyFont="1" applyFill="1" applyBorder="1" applyAlignment="1">
      <alignment horizontal="center" vertical="center" wrapText="1"/>
    </xf>
    <xf numFmtId="1" fontId="117" fillId="0" borderId="38" xfId="0" applyNumberFormat="1" applyFont="1" applyBorder="1" applyAlignment="1">
      <alignment horizontal="center" vertical="center" wrapText="1"/>
    </xf>
    <xf numFmtId="0" fontId="78" fillId="2" borderId="38" xfId="0" applyFont="1" applyFill="1" applyBorder="1" applyAlignment="1">
      <alignment vertical="center"/>
    </xf>
    <xf numFmtId="173" fontId="130" fillId="65" borderId="38" xfId="8" applyNumberFormat="1" applyFont="1" applyFill="1" applyBorder="1" applyAlignment="1">
      <alignment horizontal="center"/>
    </xf>
    <xf numFmtId="173" fontId="35" fillId="0" borderId="38" xfId="8" applyNumberFormat="1" applyFont="1" applyFill="1" applyBorder="1" applyAlignment="1">
      <alignment horizontal="center" vertical="center"/>
    </xf>
    <xf numFmtId="0" fontId="78" fillId="0" borderId="38" xfId="0" applyFont="1" applyBorder="1" applyAlignment="1">
      <alignment horizontal="center" vertical="center"/>
    </xf>
    <xf numFmtId="0" fontId="78" fillId="0" borderId="38" xfId="0" applyFont="1" applyBorder="1" applyAlignment="1">
      <alignment vertical="center"/>
    </xf>
    <xf numFmtId="0" fontId="80" fillId="0" borderId="38" xfId="0" applyFont="1" applyBorder="1" applyAlignment="1">
      <alignment vertical="center"/>
    </xf>
    <xf numFmtId="0" fontId="130" fillId="0" borderId="38" xfId="0" applyFont="1" applyBorder="1"/>
    <xf numFmtId="0" fontId="137" fillId="0" borderId="38" xfId="17" applyFont="1" applyBorder="1" applyAlignment="1">
      <alignment horizontal="left"/>
    </xf>
    <xf numFmtId="173" fontId="130" fillId="0" borderId="38" xfId="8" applyNumberFormat="1" applyFont="1" applyFill="1" applyBorder="1" applyAlignment="1">
      <alignment horizontal="center" vertical="center"/>
    </xf>
    <xf numFmtId="0" fontId="80" fillId="0" borderId="38" xfId="0" applyFont="1" applyBorder="1" applyAlignment="1">
      <alignment horizontal="center" vertical="center"/>
    </xf>
    <xf numFmtId="1" fontId="116" fillId="64" borderId="38" xfId="0" applyNumberFormat="1" applyFont="1" applyFill="1" applyBorder="1" applyAlignment="1">
      <alignment horizontal="left"/>
    </xf>
    <xf numFmtId="1" fontId="116" fillId="64" borderId="38" xfId="0" applyNumberFormat="1" applyFont="1" applyFill="1" applyBorder="1" applyAlignment="1">
      <alignment horizontal="center"/>
    </xf>
    <xf numFmtId="9" fontId="131" fillId="64" borderId="33" xfId="16" applyFont="1" applyFill="1" applyBorder="1" applyAlignment="1">
      <alignment horizontal="center" vertical="top" wrapText="1"/>
    </xf>
    <xf numFmtId="0" fontId="116" fillId="64" borderId="33" xfId="0" applyFont="1" applyFill="1" applyBorder="1" applyAlignment="1">
      <alignment horizontal="left" vertical="top" wrapText="1"/>
    </xf>
    <xf numFmtId="182" fontId="116" fillId="64" borderId="33" xfId="8" applyNumberFormat="1" applyFont="1" applyFill="1" applyBorder="1" applyAlignment="1">
      <alignment horizontal="left" vertical="top" wrapText="1"/>
    </xf>
    <xf numFmtId="167" fontId="118" fillId="64" borderId="33" xfId="8" applyFont="1" applyFill="1" applyBorder="1" applyAlignment="1">
      <alignment horizontal="center" vertical="top" wrapText="1"/>
    </xf>
    <xf numFmtId="1" fontId="78" fillId="0" borderId="38" xfId="0" applyNumberFormat="1" applyFont="1" applyBorder="1" applyAlignment="1">
      <alignment horizontal="center"/>
    </xf>
    <xf numFmtId="1" fontId="132" fillId="0" borderId="38" xfId="0" applyNumberFormat="1" applyFont="1" applyBorder="1" applyAlignment="1">
      <alignment horizontal="center"/>
    </xf>
    <xf numFmtId="1" fontId="135" fillId="0" borderId="38" xfId="8" applyNumberFormat="1" applyFont="1" applyFill="1" applyBorder="1" applyAlignment="1">
      <alignment horizontal="center"/>
    </xf>
    <xf numFmtId="2" fontId="85" fillId="0" borderId="38" xfId="8" applyNumberFormat="1" applyFont="1" applyFill="1" applyBorder="1" applyAlignment="1">
      <alignment horizontal="center"/>
    </xf>
    <xf numFmtId="173" fontId="135" fillId="0" borderId="38" xfId="8" applyNumberFormat="1" applyFont="1" applyFill="1" applyBorder="1" applyAlignment="1">
      <alignment horizontal="center"/>
    </xf>
    <xf numFmtId="0" fontId="78" fillId="0" borderId="36" xfId="0" applyFont="1" applyBorder="1"/>
    <xf numFmtId="2" fontId="78" fillId="0" borderId="40" xfId="0" applyNumberFormat="1" applyFont="1" applyBorder="1"/>
    <xf numFmtId="1" fontId="78" fillId="0" borderId="40" xfId="0" applyNumberFormat="1" applyFont="1" applyBorder="1" applyAlignment="1">
      <alignment horizontal="center"/>
    </xf>
    <xf numFmtId="174" fontId="35" fillId="0" borderId="40" xfId="0" applyNumberFormat="1" applyFont="1" applyBorder="1" applyAlignment="1">
      <alignment horizontal="center"/>
    </xf>
    <xf numFmtId="0" fontId="78" fillId="0" borderId="40" xfId="8" applyNumberFormat="1" applyFont="1" applyFill="1" applyBorder="1" applyAlignment="1"/>
    <xf numFmtId="0" fontId="78" fillId="0" borderId="40" xfId="0" applyFont="1" applyBorder="1"/>
    <xf numFmtId="2" fontId="78" fillId="0" borderId="40" xfId="0" applyNumberFormat="1" applyFont="1" applyBorder="1" applyAlignment="1">
      <alignment horizontal="right"/>
    </xf>
    <xf numFmtId="1" fontId="82" fillId="0" borderId="40" xfId="0" applyNumberFormat="1" applyFont="1" applyBorder="1" applyAlignment="1">
      <alignment horizontal="center"/>
    </xf>
    <xf numFmtId="43" fontId="85" fillId="0" borderId="40" xfId="8" applyNumberFormat="1" applyFont="1" applyFill="1" applyBorder="1" applyAlignment="1">
      <alignment horizontal="center"/>
    </xf>
    <xf numFmtId="2" fontId="122" fillId="64" borderId="37" xfId="13" applyNumberFormat="1" applyFont="1" applyFill="1" applyBorder="1" applyAlignment="1" applyProtection="1">
      <alignment horizontal="left" vertical="center"/>
      <protection hidden="1"/>
    </xf>
    <xf numFmtId="2" fontId="91" fillId="64" borderId="39" xfId="11" applyNumberFormat="1" applyFont="1" applyFill="1" applyBorder="1" applyProtection="1">
      <protection hidden="1"/>
    </xf>
    <xf numFmtId="2" fontId="91" fillId="64" borderId="36" xfId="11" applyNumberFormat="1" applyFont="1" applyFill="1" applyBorder="1" applyProtection="1">
      <protection hidden="1"/>
    </xf>
    <xf numFmtId="2" fontId="78" fillId="0" borderId="37" xfId="11" applyNumberFormat="1" applyFont="1" applyBorder="1" applyProtection="1">
      <protection hidden="1"/>
    </xf>
    <xf numFmtId="2" fontId="78" fillId="0" borderId="36" xfId="11" applyNumberFormat="1" applyFont="1" applyBorder="1" applyProtection="1">
      <protection hidden="1"/>
    </xf>
    <xf numFmtId="0" fontId="80" fillId="0" borderId="37" xfId="0" applyFont="1" applyBorder="1"/>
    <xf numFmtId="0" fontId="80" fillId="0" borderId="36" xfId="0" applyFont="1" applyBorder="1"/>
    <xf numFmtId="177" fontId="130" fillId="0" borderId="38" xfId="11" applyNumberFormat="1" applyFont="1" applyBorder="1" applyAlignment="1" applyProtection="1">
      <alignment vertical="center"/>
      <protection hidden="1"/>
    </xf>
    <xf numFmtId="177" fontId="35" fillId="0" borderId="38" xfId="11" applyNumberFormat="1" applyFont="1" applyBorder="1" applyAlignment="1" applyProtection="1">
      <alignment vertical="center"/>
      <protection hidden="1"/>
    </xf>
    <xf numFmtId="10" fontId="130" fillId="0" borderId="36" xfId="0" applyNumberFormat="1" applyFont="1" applyBorder="1"/>
    <xf numFmtId="2" fontId="80" fillId="0" borderId="38" xfId="11" applyNumberFormat="1" applyFont="1" applyBorder="1" applyAlignment="1" applyProtection="1">
      <alignment horizontal="center"/>
      <protection hidden="1"/>
    </xf>
    <xf numFmtId="179" fontId="140" fillId="0" borderId="38" xfId="13" applyNumberFormat="1" applyFont="1" applyBorder="1" applyAlignment="1" applyProtection="1">
      <alignment horizontal="left" vertical="center"/>
      <protection hidden="1"/>
    </xf>
    <xf numFmtId="166" fontId="140" fillId="65" borderId="38" xfId="18" applyFont="1" applyFill="1" applyBorder="1" applyAlignment="1" applyProtection="1">
      <alignment horizontal="right" vertical="center"/>
      <protection hidden="1"/>
    </xf>
    <xf numFmtId="0" fontId="78" fillId="0" borderId="37" xfId="11" applyFont="1" applyBorder="1" applyAlignment="1" applyProtection="1">
      <alignment vertical="center"/>
      <protection hidden="1"/>
    </xf>
    <xf numFmtId="10" fontId="35" fillId="65" borderId="38" xfId="11" applyNumberFormat="1" applyFont="1" applyFill="1" applyBorder="1" applyAlignment="1" applyProtection="1">
      <alignment vertical="center"/>
      <protection hidden="1"/>
    </xf>
    <xf numFmtId="0" fontId="78" fillId="0" borderId="39" xfId="0" applyFont="1" applyBorder="1"/>
    <xf numFmtId="0" fontId="80" fillId="0" borderId="37" xfId="13" applyFont="1" applyBorder="1" applyAlignment="1" applyProtection="1">
      <alignment vertical="center"/>
      <protection hidden="1"/>
    </xf>
    <xf numFmtId="0" fontId="80" fillId="0" borderId="39" xfId="0" applyFont="1" applyBorder="1"/>
    <xf numFmtId="10" fontId="130" fillId="0" borderId="38" xfId="16" applyNumberFormat="1" applyFont="1" applyFill="1" applyBorder="1" applyAlignment="1"/>
    <xf numFmtId="0" fontId="122" fillId="64" borderId="37" xfId="13" applyFont="1" applyFill="1" applyBorder="1" applyAlignment="1" applyProtection="1">
      <alignment horizontal="left" vertical="center"/>
      <protection hidden="1"/>
    </xf>
    <xf numFmtId="0" fontId="123" fillId="64" borderId="39" xfId="13" applyFont="1" applyFill="1" applyBorder="1" applyAlignment="1" applyProtection="1">
      <alignment horizontal="left" vertical="center"/>
      <protection hidden="1"/>
    </xf>
    <xf numFmtId="9" fontId="124" fillId="64" borderId="36" xfId="13" applyNumberFormat="1" applyFont="1" applyFill="1" applyBorder="1" applyAlignment="1" applyProtection="1">
      <alignment vertical="center"/>
      <protection hidden="1"/>
    </xf>
    <xf numFmtId="0" fontId="116" fillId="64" borderId="38" xfId="13" applyFont="1" applyFill="1" applyBorder="1" applyAlignment="1" applyProtection="1">
      <alignment horizontal="left" vertical="center"/>
      <protection hidden="1"/>
    </xf>
    <xf numFmtId="0" fontId="88" fillId="0" borderId="38" xfId="13" applyFont="1" applyBorder="1" applyAlignment="1" applyProtection="1">
      <alignment horizontal="left" vertical="center"/>
      <protection hidden="1"/>
    </xf>
    <xf numFmtId="2" fontId="140" fillId="2" borderId="38" xfId="13" applyNumberFormat="1" applyFont="1" applyFill="1" applyBorder="1" applyAlignment="1" applyProtection="1">
      <alignment horizontal="right" vertical="center"/>
      <protection hidden="1"/>
    </xf>
    <xf numFmtId="0" fontId="80" fillId="0" borderId="38" xfId="13" applyFont="1" applyBorder="1" applyAlignment="1" applyProtection="1">
      <alignment vertical="center"/>
      <protection hidden="1"/>
    </xf>
    <xf numFmtId="2" fontId="130" fillId="0" borderId="38" xfId="13" applyNumberFormat="1" applyFont="1" applyBorder="1" applyAlignment="1" applyProtection="1">
      <alignment vertical="center"/>
      <protection hidden="1"/>
    </xf>
    <xf numFmtId="0" fontId="92" fillId="0" borderId="38" xfId="13" applyFont="1" applyBorder="1" applyAlignment="1" applyProtection="1">
      <alignment vertical="center"/>
      <protection hidden="1"/>
    </xf>
    <xf numFmtId="0" fontId="35" fillId="0" borderId="38" xfId="0" applyFont="1" applyBorder="1" applyAlignment="1">
      <alignment vertical="center"/>
    </xf>
    <xf numFmtId="2" fontId="140" fillId="65" borderId="38" xfId="13" applyNumberFormat="1" applyFont="1" applyFill="1" applyBorder="1" applyAlignment="1" applyProtection="1">
      <alignment horizontal="right" vertical="center"/>
      <protection hidden="1"/>
    </xf>
    <xf numFmtId="0" fontId="94" fillId="0" borderId="38" xfId="13" applyFont="1" applyBorder="1" applyAlignment="1" applyProtection="1">
      <alignment vertical="center"/>
      <protection hidden="1"/>
    </xf>
    <xf numFmtId="0" fontId="78" fillId="0" borderId="38" xfId="13" applyFont="1" applyBorder="1" applyAlignment="1" applyProtection="1">
      <alignment vertical="center"/>
      <protection hidden="1"/>
    </xf>
    <xf numFmtId="10" fontId="140" fillId="0" borderId="38" xfId="16" applyNumberFormat="1" applyFont="1" applyFill="1" applyBorder="1" applyAlignment="1" applyProtection="1">
      <alignment vertical="center"/>
      <protection hidden="1"/>
    </xf>
    <xf numFmtId="10" fontId="130" fillId="0" borderId="38" xfId="16" applyNumberFormat="1" applyFont="1" applyFill="1" applyBorder="1" applyAlignment="1" applyProtection="1">
      <alignment vertical="center"/>
      <protection hidden="1"/>
    </xf>
    <xf numFmtId="2" fontId="125" fillId="64" borderId="39" xfId="13" applyNumberFormat="1" applyFont="1" applyFill="1" applyBorder="1" applyAlignment="1" applyProtection="1">
      <alignment horizontal="center" wrapText="1"/>
      <protection hidden="1"/>
    </xf>
    <xf numFmtId="2" fontId="125" fillId="64" borderId="36" xfId="13" applyNumberFormat="1" applyFont="1" applyFill="1" applyBorder="1" applyAlignment="1" applyProtection="1">
      <alignment horizontal="right" wrapText="1"/>
      <protection hidden="1"/>
    </xf>
    <xf numFmtId="2" fontId="101" fillId="0" borderId="39" xfId="3" applyNumberFormat="1" applyFont="1" applyFill="1" applyBorder="1" applyAlignment="1" applyProtection="1">
      <alignment horizontal="center" vertical="center"/>
      <protection hidden="1"/>
    </xf>
    <xf numFmtId="2" fontId="101" fillId="0" borderId="36" xfId="3" applyNumberFormat="1" applyFont="1" applyFill="1" applyBorder="1" applyAlignment="1" applyProtection="1">
      <alignment horizontal="right" vertical="center"/>
      <protection hidden="1"/>
    </xf>
    <xf numFmtId="175" fontId="141" fillId="0" borderId="41" xfId="0" applyNumberFormat="1" applyFont="1" applyBorder="1" applyAlignment="1">
      <alignment horizontal="center" vertical="center"/>
    </xf>
    <xf numFmtId="2" fontId="102" fillId="0" borderId="39" xfId="3" applyNumberFormat="1" applyFont="1" applyFill="1" applyBorder="1" applyAlignment="1" applyProtection="1">
      <alignment horizontal="left" vertical="center"/>
      <protection hidden="1"/>
    </xf>
    <xf numFmtId="2" fontId="96" fillId="0" borderId="36" xfId="3" applyNumberFormat="1" applyFont="1" applyFill="1" applyBorder="1" applyAlignment="1" applyProtection="1">
      <alignment horizontal="right" vertical="center"/>
      <protection hidden="1"/>
    </xf>
    <xf numFmtId="10" fontId="103" fillId="0" borderId="36" xfId="16" applyNumberFormat="1" applyFont="1" applyFill="1" applyBorder="1" applyAlignment="1" applyProtection="1">
      <alignment horizontal="right"/>
      <protection hidden="1"/>
    </xf>
    <xf numFmtId="0" fontId="80" fillId="0" borderId="37" xfId="13" applyFont="1" applyBorder="1" applyProtection="1">
      <protection hidden="1"/>
    </xf>
    <xf numFmtId="0" fontId="105" fillId="0" borderId="39" xfId="13" applyFont="1" applyBorder="1" applyProtection="1">
      <protection hidden="1"/>
    </xf>
    <xf numFmtId="0" fontId="105" fillId="0" borderId="36" xfId="13" applyFont="1" applyBorder="1" applyAlignment="1" applyProtection="1">
      <alignment horizontal="right"/>
      <protection hidden="1"/>
    </xf>
    <xf numFmtId="0" fontId="103" fillId="0" borderId="39" xfId="13" applyFont="1" applyBorder="1" applyAlignment="1" applyProtection="1">
      <alignment horizontal="right"/>
      <protection hidden="1"/>
    </xf>
    <xf numFmtId="0" fontId="103" fillId="0" borderId="36" xfId="13" applyFont="1" applyBorder="1" applyAlignment="1" applyProtection="1">
      <alignment horizontal="right"/>
      <protection hidden="1"/>
    </xf>
    <xf numFmtId="0" fontId="88" fillId="0" borderId="37" xfId="13" applyFont="1" applyBorder="1" applyProtection="1">
      <protection hidden="1"/>
    </xf>
    <xf numFmtId="10" fontId="146" fillId="65" borderId="38" xfId="16" applyNumberFormat="1" applyFont="1" applyFill="1" applyBorder="1" applyAlignment="1" applyProtection="1">
      <alignment horizontal="right"/>
      <protection hidden="1"/>
    </xf>
    <xf numFmtId="0" fontId="104" fillId="0" borderId="39" xfId="13" applyFont="1" applyBorder="1" applyAlignment="1" applyProtection="1">
      <alignment horizontal="center"/>
      <protection hidden="1"/>
    </xf>
    <xf numFmtId="175" fontId="142" fillId="0" borderId="38" xfId="16" applyNumberFormat="1" applyFont="1" applyFill="1" applyBorder="1" applyAlignment="1" applyProtection="1">
      <alignment horizontal="center"/>
      <protection hidden="1"/>
    </xf>
    <xf numFmtId="0" fontId="85" fillId="0" borderId="37" xfId="13" applyFont="1" applyBorder="1" applyProtection="1">
      <protection hidden="1"/>
    </xf>
    <xf numFmtId="10" fontId="103" fillId="0" borderId="39" xfId="13" applyNumberFormat="1" applyFont="1" applyBorder="1" applyAlignment="1" applyProtection="1">
      <alignment horizontal="right"/>
      <protection hidden="1"/>
    </xf>
    <xf numFmtId="175" fontId="104" fillId="0" borderId="36" xfId="16" applyNumberFormat="1" applyFont="1" applyFill="1" applyBorder="1" applyAlignment="1" applyProtection="1">
      <alignment horizontal="right"/>
      <protection hidden="1"/>
    </xf>
    <xf numFmtId="9" fontId="140" fillId="65" borderId="38" xfId="16" applyFont="1" applyFill="1" applyBorder="1" applyAlignment="1" applyProtection="1">
      <alignment horizontal="center"/>
      <protection hidden="1"/>
    </xf>
    <xf numFmtId="0" fontId="107" fillId="0" borderId="39" xfId="13" applyFont="1" applyBorder="1" applyAlignment="1" applyProtection="1">
      <alignment horizontal="center"/>
      <protection hidden="1"/>
    </xf>
    <xf numFmtId="169" fontId="104" fillId="0" borderId="39" xfId="13" applyNumberFormat="1" applyFont="1" applyBorder="1" applyAlignment="1" applyProtection="1">
      <alignment horizontal="center"/>
      <protection hidden="1"/>
    </xf>
    <xf numFmtId="165" fontId="104" fillId="0" borderId="39" xfId="13" applyNumberFormat="1" applyFont="1" applyBorder="1" applyAlignment="1" applyProtection="1">
      <alignment horizontal="center"/>
      <protection hidden="1"/>
    </xf>
    <xf numFmtId="9" fontId="130" fillId="0" borderId="38" xfId="0" applyNumberFormat="1" applyFont="1" applyBorder="1" applyAlignment="1">
      <alignment horizontal="center"/>
    </xf>
    <xf numFmtId="9" fontId="130" fillId="61" borderId="38" xfId="65" applyFont="1" applyFill="1" applyBorder="1" applyAlignment="1">
      <alignment horizontal="center"/>
    </xf>
    <xf numFmtId="0" fontId="78" fillId="65" borderId="37" xfId="13" applyFont="1" applyFill="1" applyBorder="1" applyProtection="1">
      <protection hidden="1"/>
    </xf>
    <xf numFmtId="0" fontId="104" fillId="65" borderId="39" xfId="13" applyFont="1" applyFill="1" applyBorder="1" applyAlignment="1" applyProtection="1">
      <alignment horizontal="center"/>
      <protection hidden="1"/>
    </xf>
    <xf numFmtId="0" fontId="104" fillId="65" borderId="36" xfId="13" applyFont="1" applyFill="1" applyBorder="1" applyAlignment="1" applyProtection="1">
      <alignment horizontal="right"/>
      <protection hidden="1"/>
    </xf>
    <xf numFmtId="167" fontId="104" fillId="0" borderId="36" xfId="8" applyFont="1" applyFill="1" applyBorder="1" applyAlignment="1" applyProtection="1">
      <alignment horizontal="right"/>
      <protection hidden="1"/>
    </xf>
    <xf numFmtId="10" fontId="104" fillId="0" borderId="36" xfId="16" applyNumberFormat="1" applyFont="1" applyFill="1" applyBorder="1" applyAlignment="1" applyProtection="1">
      <alignment horizontal="right"/>
      <protection hidden="1"/>
    </xf>
    <xf numFmtId="10" fontId="104" fillId="65" borderId="36" xfId="16" applyNumberFormat="1" applyFont="1" applyFill="1" applyBorder="1" applyAlignment="1" applyProtection="1">
      <alignment horizontal="right"/>
      <protection hidden="1"/>
    </xf>
    <xf numFmtId="0" fontId="104" fillId="0" borderId="39" xfId="13" applyFont="1" applyBorder="1" applyProtection="1">
      <protection hidden="1"/>
    </xf>
    <xf numFmtId="169" fontId="105" fillId="0" borderId="39" xfId="13" applyNumberFormat="1" applyFont="1" applyBorder="1" applyProtection="1">
      <protection hidden="1"/>
    </xf>
    <xf numFmtId="169" fontId="104" fillId="0" borderId="36" xfId="13" applyNumberFormat="1" applyFont="1" applyBorder="1" applyAlignment="1" applyProtection="1">
      <alignment horizontal="right"/>
      <protection hidden="1"/>
    </xf>
    <xf numFmtId="0" fontId="105" fillId="0" borderId="41" xfId="0" applyFont="1" applyBorder="1" applyAlignment="1">
      <alignment horizontal="right"/>
    </xf>
    <xf numFmtId="0" fontId="89" fillId="0" borderId="37" xfId="13" applyFont="1" applyBorder="1" applyProtection="1">
      <protection hidden="1"/>
    </xf>
    <xf numFmtId="169" fontId="103"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2" fontId="123" fillId="64" borderId="37" xfId="13" applyNumberFormat="1" applyFont="1" applyFill="1" applyBorder="1" applyAlignment="1" applyProtection="1">
      <alignment horizontal="left" vertical="center" wrapText="1"/>
      <protection hidden="1"/>
    </xf>
    <xf numFmtId="175" fontId="87" fillId="0" borderId="41" xfId="0" applyNumberFormat="1" applyFont="1" applyBorder="1" applyAlignment="1">
      <alignment horizontal="center" vertical="center"/>
    </xf>
    <xf numFmtId="166" fontId="130" fillId="0" borderId="38" xfId="18" applyFont="1" applyBorder="1" applyAlignment="1">
      <alignment horizontal="center"/>
    </xf>
    <xf numFmtId="0" fontId="116" fillId="64" borderId="38" xfId="59" applyFont="1" applyFill="1" applyBorder="1" applyAlignment="1">
      <alignment horizontal="left" vertical="top" wrapText="1"/>
    </xf>
    <xf numFmtId="0" fontId="35" fillId="0" borderId="38" xfId="0" applyFont="1" applyBorder="1" applyAlignment="1">
      <alignment horizontal="center"/>
    </xf>
    <xf numFmtId="167" fontId="35" fillId="0" borderId="38" xfId="8" applyFont="1" applyBorder="1"/>
    <xf numFmtId="166" fontId="35" fillId="0" borderId="38" xfId="18" applyFont="1" applyFill="1" applyBorder="1"/>
    <xf numFmtId="167" fontId="130" fillId="0" borderId="38" xfId="8" applyFont="1" applyBorder="1"/>
    <xf numFmtId="0" fontId="123" fillId="64" borderId="37" xfId="9" applyFont="1" applyFill="1" applyBorder="1" applyAlignment="1" applyProtection="1">
      <alignment horizontal="left" vertical="center"/>
      <protection hidden="1"/>
    </xf>
    <xf numFmtId="0" fontId="124" fillId="64" borderId="39" xfId="10" applyFont="1" applyFill="1" applyBorder="1"/>
    <xf numFmtId="0" fontId="127" fillId="64" borderId="39" xfId="10" applyFont="1" applyFill="1" applyBorder="1"/>
    <xf numFmtId="0" fontId="127" fillId="64" borderId="36" xfId="10" applyFont="1" applyFill="1" applyBorder="1"/>
    <xf numFmtId="0" fontId="78" fillId="0" borderId="37" xfId="9" applyFont="1" applyBorder="1" applyAlignment="1" applyProtection="1">
      <alignment horizontal="left"/>
      <protection hidden="1"/>
    </xf>
    <xf numFmtId="0" fontId="78" fillId="0" borderId="36" xfId="9" applyFont="1" applyBorder="1" applyAlignment="1" applyProtection="1">
      <alignment horizontal="left"/>
      <protection hidden="1"/>
    </xf>
    <xf numFmtId="0" fontId="78" fillId="0" borderId="38" xfId="9" applyFont="1" applyBorder="1" applyAlignment="1" applyProtection="1">
      <alignment horizontal="left"/>
      <protection hidden="1"/>
    </xf>
    <xf numFmtId="0" fontId="35" fillId="0" borderId="38" xfId="9" applyFont="1" applyBorder="1" applyAlignment="1" applyProtection="1">
      <alignment horizontal="center"/>
      <protection hidden="1"/>
    </xf>
    <xf numFmtId="0" fontId="78" fillId="0" borderId="38" xfId="10" applyFont="1" applyBorder="1"/>
    <xf numFmtId="179" fontId="147" fillId="65" borderId="38" xfId="10" applyNumberFormat="1" applyFont="1" applyFill="1" applyBorder="1"/>
    <xf numFmtId="0" fontId="78" fillId="65" borderId="38" xfId="10" applyFont="1" applyFill="1" applyBorder="1"/>
    <xf numFmtId="0" fontId="91" fillId="64" borderId="39" xfId="10" applyFont="1" applyFill="1" applyBorder="1"/>
    <xf numFmtId="0" fontId="91" fillId="64" borderId="36" xfId="10" applyFont="1" applyFill="1" applyBorder="1"/>
    <xf numFmtId="0" fontId="78" fillId="0" borderId="37" xfId="9" applyFont="1" applyBorder="1" applyAlignment="1" applyProtection="1">
      <alignment horizontal="left" vertical="top"/>
      <protection hidden="1"/>
    </xf>
    <xf numFmtId="0" fontId="78" fillId="0" borderId="39" xfId="9" applyFont="1" applyBorder="1" applyAlignment="1" applyProtection="1">
      <alignment horizontal="left" vertical="top"/>
      <protection hidden="1"/>
    </xf>
    <xf numFmtId="0" fontId="78" fillId="0" borderId="36" xfId="9" applyFont="1" applyBorder="1" applyAlignment="1" applyProtection="1">
      <alignment horizontal="center" vertical="top"/>
      <protection hidden="1"/>
    </xf>
    <xf numFmtId="0" fontId="78" fillId="0" borderId="38" xfId="9" applyFont="1" applyBorder="1" applyAlignment="1" applyProtection="1">
      <alignment horizontal="center"/>
      <protection hidden="1"/>
    </xf>
    <xf numFmtId="0" fontId="78" fillId="65" borderId="39" xfId="10" applyFont="1" applyFill="1" applyBorder="1"/>
    <xf numFmtId="0" fontId="78" fillId="65" borderId="37" xfId="10" applyFont="1" applyFill="1" applyBorder="1"/>
    <xf numFmtId="0" fontId="78" fillId="0" borderId="39" xfId="10" applyFont="1" applyBorder="1"/>
    <xf numFmtId="0" fontId="78" fillId="0" borderId="38" xfId="9" applyFont="1" applyBorder="1" applyAlignment="1" applyProtection="1">
      <alignment horizontal="left" vertical="center"/>
      <protection hidden="1"/>
    </xf>
    <xf numFmtId="0" fontId="78" fillId="0" borderId="37" xfId="9" applyFont="1" applyBorder="1" applyAlignment="1" applyProtection="1">
      <alignment horizontal="left" vertical="center"/>
      <protection hidden="1"/>
    </xf>
    <xf numFmtId="0" fontId="78" fillId="0" borderId="38" xfId="9" applyFont="1" applyBorder="1" applyAlignment="1" applyProtection="1">
      <alignment horizontal="left" wrapText="1"/>
      <protection hidden="1"/>
    </xf>
    <xf numFmtId="0" fontId="78" fillId="0" borderId="36" xfId="9" applyFont="1" applyBorder="1" applyAlignment="1" applyProtection="1">
      <alignment horizontal="left" wrapText="1"/>
      <protection hidden="1"/>
    </xf>
    <xf numFmtId="0" fontId="78" fillId="0" borderId="38" xfId="9" applyFont="1" applyBorder="1" applyAlignment="1" applyProtection="1">
      <alignment horizontal="right"/>
      <protection hidden="1"/>
    </xf>
    <xf numFmtId="0" fontId="123" fillId="64" borderId="37" xfId="9" applyFont="1" applyFill="1" applyBorder="1" applyAlignment="1" applyProtection="1">
      <alignment vertical="center"/>
      <protection hidden="1"/>
    </xf>
    <xf numFmtId="0" fontId="93" fillId="64" borderId="39" xfId="9" applyFont="1" applyFill="1" applyBorder="1" applyAlignment="1" applyProtection="1">
      <alignment vertical="center"/>
      <protection hidden="1"/>
    </xf>
    <xf numFmtId="0" fontId="78" fillId="0" borderId="38" xfId="9" applyFont="1" applyBorder="1" applyAlignment="1" applyProtection="1">
      <alignment horizontal="center" wrapText="1"/>
      <protection hidden="1"/>
    </xf>
    <xf numFmtId="2" fontId="78" fillId="65" borderId="38" xfId="12" applyNumberFormat="1" applyFont="1" applyFill="1" applyBorder="1"/>
    <xf numFmtId="173" fontId="116" fillId="64" borderId="33" xfId="8" applyNumberFormat="1" applyFont="1" applyFill="1" applyBorder="1" applyAlignment="1">
      <alignment vertical="top" wrapText="1"/>
    </xf>
    <xf numFmtId="0" fontId="78" fillId="0" borderId="38" xfId="103" applyFont="1" applyBorder="1" applyAlignment="1">
      <alignment vertical="top" wrapText="1"/>
    </xf>
    <xf numFmtId="44" fontId="35" fillId="66" borderId="38" xfId="66" applyFont="1" applyFill="1" applyBorder="1" applyAlignment="1" applyProtection="1">
      <protection locked="0"/>
    </xf>
    <xf numFmtId="0" fontId="78" fillId="0" borderId="38" xfId="103" applyFont="1" applyBorder="1" applyAlignment="1">
      <alignment vertical="top"/>
    </xf>
    <xf numFmtId="2" fontId="116" fillId="64" borderId="33" xfId="84" applyNumberFormat="1" applyFont="1" applyFill="1" applyBorder="1" applyAlignment="1">
      <alignment horizontal="left" vertical="top" wrapText="1"/>
    </xf>
    <xf numFmtId="2" fontId="116" fillId="64" borderId="33" xfId="84" applyNumberFormat="1" applyFont="1" applyFill="1" applyBorder="1" applyAlignment="1">
      <alignment vertical="top" wrapText="1"/>
    </xf>
    <xf numFmtId="3" fontId="35" fillId="0" borderId="38" xfId="8" applyNumberFormat="1" applyFont="1" applyFill="1" applyBorder="1" applyAlignment="1">
      <alignment horizontal="center" vertical="top" wrapText="1"/>
    </xf>
    <xf numFmtId="44" fontId="35" fillId="0" borderId="38" xfId="66" applyFont="1" applyBorder="1" applyAlignment="1">
      <alignment vertical="top" wrapText="1"/>
    </xf>
    <xf numFmtId="2" fontId="80" fillId="2" borderId="37" xfId="84" applyNumberFormat="1" applyFont="1" applyFill="1" applyBorder="1" applyAlignment="1">
      <alignment vertical="top" wrapText="1"/>
    </xf>
    <xf numFmtId="2" fontId="80" fillId="2" borderId="36" xfId="84" applyNumberFormat="1" applyFont="1" applyFill="1" applyBorder="1" applyAlignment="1">
      <alignment vertical="top" wrapText="1"/>
    </xf>
    <xf numFmtId="2" fontId="80" fillId="2" borderId="39" xfId="84" applyNumberFormat="1" applyFont="1" applyFill="1" applyBorder="1" applyAlignment="1">
      <alignment vertical="top" wrapText="1"/>
    </xf>
    <xf numFmtId="3" fontId="130" fillId="2" borderId="39" xfId="8" applyNumberFormat="1" applyFont="1" applyFill="1" applyBorder="1" applyAlignment="1">
      <alignment horizontal="center" vertical="top" wrapText="1"/>
    </xf>
    <xf numFmtId="2" fontId="130" fillId="2" borderId="36" xfId="84" applyNumberFormat="1" applyFont="1" applyFill="1" applyBorder="1" applyAlignment="1">
      <alignment vertical="top" wrapText="1"/>
    </xf>
    <xf numFmtId="180" fontId="130" fillId="2" borderId="37" xfId="84" applyNumberFormat="1" applyFont="1" applyFill="1" applyBorder="1" applyAlignment="1">
      <alignment vertical="top" wrapText="1"/>
    </xf>
    <xf numFmtId="2" fontId="130" fillId="2" borderId="39" xfId="84" applyNumberFormat="1" applyFont="1" applyFill="1" applyBorder="1" applyAlignment="1">
      <alignment vertical="top" wrapText="1"/>
    </xf>
    <xf numFmtId="180" fontId="130" fillId="2" borderId="36" xfId="84" applyNumberFormat="1" applyFont="1" applyFill="1" applyBorder="1" applyAlignment="1">
      <alignment vertical="top" wrapText="1"/>
    </xf>
    <xf numFmtId="3" fontId="78" fillId="0" borderId="38" xfId="8" applyNumberFormat="1" applyFont="1" applyFill="1" applyBorder="1" applyAlignment="1">
      <alignment horizontal="center" vertical="top" wrapText="1"/>
    </xf>
    <xf numFmtId="166" fontId="78" fillId="0" borderId="38" xfId="18" applyFont="1" applyBorder="1" applyAlignment="1">
      <alignment horizontal="center" vertical="top" wrapText="1"/>
    </xf>
    <xf numFmtId="44" fontId="78" fillId="0" borderId="38" xfId="66" applyFont="1" applyBorder="1" applyAlignment="1">
      <alignment vertical="top" wrapText="1"/>
    </xf>
    <xf numFmtId="49" fontId="78" fillId="0" borderId="38" xfId="103" applyNumberFormat="1" applyFont="1" applyBorder="1" applyAlignment="1">
      <alignment horizontal="center" vertical="top" wrapText="1"/>
    </xf>
    <xf numFmtId="3" fontId="80" fillId="2" borderId="39" xfId="8" applyNumberFormat="1" applyFont="1" applyFill="1" applyBorder="1" applyAlignment="1">
      <alignment horizontal="center" vertical="top" wrapText="1"/>
    </xf>
    <xf numFmtId="3" fontId="35" fillId="2" borderId="38" xfId="8" applyNumberFormat="1" applyFont="1" applyFill="1" applyBorder="1" applyAlignment="1">
      <alignment horizontal="center"/>
    </xf>
    <xf numFmtId="3" fontId="130" fillId="2" borderId="38" xfId="8" applyNumberFormat="1" applyFont="1" applyFill="1" applyBorder="1" applyAlignment="1">
      <alignment horizontal="center"/>
    </xf>
    <xf numFmtId="4" fontId="35" fillId="2" borderId="38" xfId="8" applyNumberFormat="1" applyFont="1" applyFill="1" applyBorder="1" applyAlignment="1">
      <alignment horizontal="center"/>
    </xf>
    <xf numFmtId="4" fontId="130" fillId="2" borderId="38"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6" borderId="38" xfId="9" applyNumberFormat="1" applyFont="1" applyFill="1" applyBorder="1" applyAlignment="1" applyProtection="1">
      <alignment horizontal="left" vertical="top"/>
      <protection hidden="1"/>
    </xf>
    <xf numFmtId="0" fontId="80" fillId="65" borderId="38" xfId="13" applyFont="1" applyFill="1" applyBorder="1" applyProtection="1">
      <protection hidden="1"/>
    </xf>
    <xf numFmtId="166" fontId="35" fillId="0" borderId="38" xfId="18" applyFont="1" applyFill="1" applyBorder="1" applyAlignment="1" applyProtection="1">
      <protection hidden="1"/>
    </xf>
    <xf numFmtId="166" fontId="140" fillId="2" borderId="38" xfId="18" applyFont="1" applyFill="1" applyBorder="1" applyAlignment="1" applyProtection="1">
      <alignment horizontal="center"/>
      <protection hidden="1"/>
    </xf>
    <xf numFmtId="9" fontId="132" fillId="65" borderId="38" xfId="16" applyFont="1" applyFill="1" applyBorder="1" applyAlignment="1" applyProtection="1">
      <alignment horizontal="center"/>
      <protection hidden="1"/>
    </xf>
    <xf numFmtId="9" fontId="136" fillId="65" borderId="38" xfId="16"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180" fontId="77" fillId="66" borderId="38" xfId="18" applyNumberFormat="1" applyFont="1" applyFill="1" applyBorder="1" applyAlignment="1" applyProtection="1">
      <alignment horizontal="left" vertical="top"/>
      <protection hidden="1"/>
    </xf>
    <xf numFmtId="10" fontId="136" fillId="65" borderId="38" xfId="16" applyNumberFormat="1" applyFont="1" applyFill="1" applyBorder="1" applyAlignment="1" applyProtection="1">
      <alignment horizontal="center"/>
      <protection hidden="1"/>
    </xf>
    <xf numFmtId="0" fontId="80" fillId="2" borderId="37" xfId="84" applyFont="1" applyFill="1" applyBorder="1" applyAlignment="1">
      <alignment vertical="top" wrapText="1"/>
    </xf>
    <xf numFmtId="0" fontId="80" fillId="2" borderId="36" xfId="84" applyFont="1" applyFill="1" applyBorder="1" applyAlignment="1">
      <alignment vertical="top" wrapText="1"/>
    </xf>
    <xf numFmtId="0" fontId="80" fillId="2" borderId="39" xfId="84" applyFont="1" applyFill="1" applyBorder="1" applyAlignment="1">
      <alignment vertical="top" wrapText="1"/>
    </xf>
    <xf numFmtId="49" fontId="78" fillId="0" borderId="38" xfId="0" applyNumberFormat="1" applyFont="1" applyBorder="1"/>
    <xf numFmtId="49" fontId="78" fillId="0" borderId="40" xfId="0" applyNumberFormat="1" applyFont="1" applyBorder="1"/>
    <xf numFmtId="49" fontId="78" fillId="0" borderId="0" xfId="0" applyNumberFormat="1" applyFont="1"/>
    <xf numFmtId="0" fontId="91" fillId="0" borderId="0" xfId="13" applyFont="1" applyProtection="1">
      <protection hidden="1"/>
    </xf>
    <xf numFmtId="175" fontId="78" fillId="0" borderId="0" xfId="0" applyNumberFormat="1" applyFont="1"/>
    <xf numFmtId="9" fontId="130" fillId="0" borderId="0" xfId="0" applyNumberFormat="1" applyFont="1" applyAlignment="1">
      <alignment horizontal="center"/>
    </xf>
    <xf numFmtId="44" fontId="78" fillId="0" borderId="0" xfId="89" applyNumberFormat="1" applyFont="1"/>
    <xf numFmtId="49" fontId="35" fillId="0" borderId="38" xfId="0" applyNumberFormat="1" applyFont="1" applyBorder="1" applyAlignment="1">
      <alignment horizontal="center"/>
    </xf>
    <xf numFmtId="49" fontId="137" fillId="0" borderId="38" xfId="17" applyNumberFormat="1" applyFont="1" applyBorder="1" applyAlignment="1">
      <alignment horizontal="center"/>
    </xf>
    <xf numFmtId="167" fontId="78" fillId="0" borderId="0" xfId="8" quotePrefix="1" applyFont="1"/>
    <xf numFmtId="167" fontId="85" fillId="0" borderId="0" xfId="8" applyFont="1"/>
    <xf numFmtId="43" fontId="78" fillId="0" borderId="0" xfId="89" applyNumberFormat="1" applyFont="1"/>
    <xf numFmtId="173" fontId="130" fillId="0" borderId="38" xfId="8" applyNumberFormat="1" applyFont="1" applyFill="1" applyBorder="1" applyAlignment="1">
      <alignment horizontal="center"/>
    </xf>
    <xf numFmtId="10" fontId="78" fillId="0" borderId="0" xfId="16" applyNumberFormat="1" applyFont="1"/>
    <xf numFmtId="1" fontId="35" fillId="0" borderId="16" xfId="0" applyNumberFormat="1" applyFont="1" applyBorder="1" applyAlignment="1">
      <alignment horizontal="center" wrapText="1"/>
    </xf>
    <xf numFmtId="0" fontId="78" fillId="0" borderId="16" xfId="0" applyFont="1" applyBorder="1" applyAlignment="1">
      <alignment wrapText="1"/>
    </xf>
    <xf numFmtId="0" fontId="35" fillId="0" borderId="16" xfId="0" applyFont="1" applyBorder="1" applyAlignment="1">
      <alignment horizontal="center" wrapText="1"/>
    </xf>
    <xf numFmtId="0" fontId="78" fillId="0" borderId="38" xfId="89" applyFont="1" applyBorder="1" applyAlignment="1">
      <alignment wrapText="1"/>
    </xf>
    <xf numFmtId="1" fontId="116" fillId="64" borderId="38" xfId="0" applyNumberFormat="1" applyFont="1" applyFill="1" applyBorder="1" applyAlignment="1">
      <alignment horizontal="left" vertical="center" wrapText="1"/>
    </xf>
    <xf numFmtId="3" fontId="35" fillId="0" borderId="38" xfId="8" applyNumberFormat="1" applyFont="1" applyFill="1" applyBorder="1" applyAlignment="1">
      <alignment horizontal="center" wrapText="1"/>
    </xf>
    <xf numFmtId="44" fontId="35" fillId="0" borderId="38" xfId="66" applyFont="1" applyBorder="1" applyAlignment="1">
      <alignment wrapText="1"/>
    </xf>
    <xf numFmtId="44" fontId="80" fillId="2" borderId="38" xfId="84" applyNumberFormat="1" applyFont="1" applyFill="1" applyBorder="1" applyAlignment="1">
      <alignment vertical="top" wrapText="1"/>
    </xf>
    <xf numFmtId="44" fontId="78" fillId="2" borderId="38" xfId="8" applyNumberFormat="1" applyFont="1" applyFill="1" applyBorder="1" applyAlignment="1">
      <alignment horizontal="center"/>
    </xf>
    <xf numFmtId="44" fontId="80" fillId="2" borderId="38" xfId="18" applyNumberFormat="1" applyFont="1" applyFill="1" applyBorder="1"/>
    <xf numFmtId="0" fontId="116" fillId="0" borderId="0" xfId="84" applyFont="1" applyAlignment="1">
      <alignment vertical="top"/>
    </xf>
    <xf numFmtId="0" fontId="116" fillId="0" borderId="0" xfId="84" applyFont="1" applyAlignment="1">
      <alignment vertical="top" wrapText="1"/>
    </xf>
    <xf numFmtId="9" fontId="35" fillId="0" borderId="0" xfId="84" applyNumberFormat="1" applyFont="1" applyAlignment="1">
      <alignment horizontal="left" vertical="center"/>
    </xf>
    <xf numFmtId="9" fontId="35" fillId="0" borderId="0" xfId="16" applyFont="1" applyFill="1" applyBorder="1" applyAlignment="1" applyProtection="1">
      <alignment vertical="center"/>
      <protection locked="0"/>
    </xf>
    <xf numFmtId="9" fontId="35" fillId="0" borderId="0" xfId="16" applyFont="1" applyFill="1" applyBorder="1" applyProtection="1">
      <protection locked="0"/>
    </xf>
    <xf numFmtId="3" fontId="88" fillId="0" borderId="38" xfId="62" applyNumberFormat="1" applyFont="1" applyBorder="1" applyAlignment="1" applyProtection="1">
      <alignment horizontal="left"/>
      <protection hidden="1"/>
    </xf>
    <xf numFmtId="173" fontId="79" fillId="64" borderId="35" xfId="8" applyNumberFormat="1" applyFont="1" applyFill="1" applyBorder="1" applyAlignment="1">
      <alignment horizontal="center" vertical="top"/>
    </xf>
    <xf numFmtId="173" fontId="79" fillId="64" borderId="2" xfId="8" applyNumberFormat="1" applyFont="1" applyFill="1" applyBorder="1" applyAlignment="1">
      <alignment horizontal="center" vertical="top"/>
    </xf>
    <xf numFmtId="173" fontId="79" fillId="64" borderId="37" xfId="8" applyNumberFormat="1" applyFont="1" applyFill="1" applyBorder="1" applyAlignment="1">
      <alignment horizontal="center" vertical="top"/>
    </xf>
    <xf numFmtId="173" fontId="79" fillId="64" borderId="39" xfId="8" applyNumberFormat="1" applyFont="1" applyFill="1" applyBorder="1" applyAlignment="1">
      <alignment horizontal="center" vertical="top"/>
    </xf>
    <xf numFmtId="173" fontId="79" fillId="64" borderId="37" xfId="8" applyNumberFormat="1" applyFont="1" applyFill="1" applyBorder="1" applyAlignment="1">
      <alignment horizontal="center"/>
    </xf>
    <xf numFmtId="173" fontId="79" fillId="64" borderId="39" xfId="8" applyNumberFormat="1" applyFont="1" applyFill="1" applyBorder="1" applyAlignment="1">
      <alignment horizontal="center"/>
    </xf>
    <xf numFmtId="0" fontId="116" fillId="64" borderId="37" xfId="0" applyFont="1" applyFill="1" applyBorder="1" applyAlignment="1">
      <alignment horizontal="left" vertical="center" wrapText="1"/>
    </xf>
    <xf numFmtId="0" fontId="0" fillId="0" borderId="39" xfId="0" applyBorder="1"/>
    <xf numFmtId="0" fontId="0" fillId="0" borderId="36" xfId="0" applyBorder="1"/>
    <xf numFmtId="167" fontId="118" fillId="64" borderId="34" xfId="8" applyFont="1" applyFill="1" applyBorder="1" applyAlignment="1">
      <alignment horizontal="center" vertical="top" wrapText="1"/>
    </xf>
    <xf numFmtId="167" fontId="118" fillId="64" borderId="35" xfId="8" applyFont="1" applyFill="1" applyBorder="1" applyAlignment="1">
      <alignment horizontal="center" vertical="top" wrapText="1"/>
    </xf>
    <xf numFmtId="49" fontId="116" fillId="64" borderId="37" xfId="63" applyNumberFormat="1" applyFont="1" applyFill="1" applyBorder="1" applyAlignment="1">
      <alignment horizontal="left" vertical="top" wrapText="1"/>
    </xf>
    <xf numFmtId="49" fontId="116" fillId="62" borderId="39" xfId="63" applyNumberFormat="1" applyFont="1" applyFill="1" applyBorder="1" applyAlignment="1">
      <alignment horizontal="left" vertical="top" wrapText="1"/>
    </xf>
    <xf numFmtId="49" fontId="116" fillId="62" borderId="36" xfId="63" applyNumberFormat="1" applyFont="1" applyFill="1" applyBorder="1" applyAlignment="1">
      <alignment horizontal="left" vertical="top" wrapText="1"/>
    </xf>
    <xf numFmtId="0" fontId="78" fillId="0" borderId="37" xfId="0" applyFont="1" applyBorder="1" applyAlignment="1">
      <alignment horizontal="left"/>
    </xf>
    <xf numFmtId="0" fontId="78" fillId="0" borderId="36" xfId="0" applyFont="1" applyBorder="1" applyAlignment="1">
      <alignment horizontal="left"/>
    </xf>
    <xf numFmtId="0" fontId="80" fillId="0" borderId="37" xfId="13" applyFont="1" applyBorder="1" applyAlignment="1" applyProtection="1">
      <alignment horizontal="left" vertical="center"/>
      <protection hidden="1"/>
    </xf>
    <xf numFmtId="0" fontId="80" fillId="0" borderId="36" xfId="13" applyFont="1" applyBorder="1" applyAlignment="1" applyProtection="1">
      <alignment horizontal="left" vertical="center"/>
      <protection hidden="1"/>
    </xf>
    <xf numFmtId="2" fontId="125" fillId="64" borderId="37" xfId="13" applyNumberFormat="1" applyFont="1" applyFill="1" applyBorder="1" applyAlignment="1" applyProtection="1">
      <alignment horizontal="center" vertical="center" wrapText="1"/>
      <protection hidden="1"/>
    </xf>
    <xf numFmtId="2" fontId="125" fillId="64" borderId="39" xfId="13" applyNumberFormat="1" applyFont="1" applyFill="1" applyBorder="1" applyAlignment="1" applyProtection="1">
      <alignment horizontal="center" vertical="center" wrapText="1"/>
      <protection hidden="1"/>
    </xf>
    <xf numFmtId="2" fontId="125" fillId="64" borderId="36" xfId="13" applyNumberFormat="1" applyFont="1" applyFill="1" applyBorder="1" applyAlignment="1" applyProtection="1">
      <alignment horizontal="center" vertical="center" wrapText="1"/>
      <protection hidden="1"/>
    </xf>
    <xf numFmtId="2" fontId="125" fillId="64" borderId="37" xfId="13" applyNumberFormat="1" applyFont="1" applyFill="1" applyBorder="1" applyAlignment="1" applyProtection="1">
      <alignment horizontal="left" vertical="center" wrapText="1"/>
      <protection hidden="1"/>
    </xf>
    <xf numFmtId="2" fontId="125" fillId="64" borderId="39" xfId="13" applyNumberFormat="1" applyFont="1" applyFill="1" applyBorder="1" applyAlignment="1" applyProtection="1">
      <alignment horizontal="left" vertical="center" wrapText="1"/>
      <protection hidden="1"/>
    </xf>
    <xf numFmtId="2" fontId="125" fillId="64" borderId="36" xfId="13" applyNumberFormat="1" applyFont="1" applyFill="1" applyBorder="1" applyAlignment="1" applyProtection="1">
      <alignment horizontal="left" vertical="center" wrapText="1"/>
      <protection hidden="1"/>
    </xf>
    <xf numFmtId="2" fontId="125" fillId="64" borderId="37" xfId="3" applyNumberFormat="1" applyFont="1" applyFill="1" applyBorder="1" applyAlignment="1" applyProtection="1">
      <alignment horizontal="center" vertical="center" wrapText="1"/>
      <protection hidden="1"/>
    </xf>
    <xf numFmtId="0" fontId="116" fillId="62" borderId="36" xfId="0" applyFont="1" applyFill="1" applyBorder="1" applyAlignment="1">
      <alignment horizontal="center" vertical="center" wrapText="1"/>
    </xf>
    <xf numFmtId="0" fontId="78" fillId="0" borderId="0" xfId="0" applyFont="1" applyAlignment="1">
      <alignment horizontal="left" vertical="top" wrapText="1"/>
    </xf>
    <xf numFmtId="2" fontId="125" fillId="64" borderId="38" xfId="13" applyNumberFormat="1" applyFont="1" applyFill="1" applyBorder="1" applyAlignment="1" applyProtection="1">
      <alignment horizontal="center" vertical="center" wrapText="1"/>
      <protection hidden="1"/>
    </xf>
    <xf numFmtId="2" fontId="125" fillId="62" borderId="38" xfId="13" applyNumberFormat="1" applyFont="1" applyFill="1" applyBorder="1" applyAlignment="1" applyProtection="1">
      <alignment horizontal="center" vertical="center" wrapText="1"/>
      <protection hidden="1"/>
    </xf>
    <xf numFmtId="0" fontId="78" fillId="65" borderId="37" xfId="9" applyFont="1" applyFill="1" applyBorder="1" applyAlignment="1" applyProtection="1">
      <alignment horizontal="left"/>
      <protection hidden="1"/>
    </xf>
    <xf numFmtId="0" fontId="78" fillId="63" borderId="39" xfId="9" applyFont="1" applyFill="1" applyBorder="1" applyAlignment="1" applyProtection="1">
      <alignment horizontal="left"/>
      <protection hidden="1"/>
    </xf>
    <xf numFmtId="0" fontId="78" fillId="63" borderId="36" xfId="9" applyFont="1" applyFill="1" applyBorder="1" applyAlignment="1" applyProtection="1">
      <alignment horizontal="left"/>
      <protection hidden="1"/>
    </xf>
    <xf numFmtId="0" fontId="78" fillId="0" borderId="37" xfId="9" applyFont="1" applyBorder="1" applyAlignment="1" applyProtection="1">
      <alignment horizontal="center"/>
      <protection hidden="1"/>
    </xf>
    <xf numFmtId="0" fontId="78" fillId="0" borderId="39" xfId="9" applyFont="1" applyBorder="1" applyAlignment="1" applyProtection="1">
      <alignment horizontal="center"/>
      <protection hidden="1"/>
    </xf>
    <xf numFmtId="0" fontId="78" fillId="0" borderId="36" xfId="9" applyFont="1" applyBorder="1" applyAlignment="1" applyProtection="1">
      <alignment horizontal="center"/>
      <protection hidden="1"/>
    </xf>
    <xf numFmtId="0" fontId="78" fillId="0" borderId="37" xfId="9" applyFont="1" applyBorder="1" applyAlignment="1" applyProtection="1">
      <alignment horizontal="left" vertical="center"/>
      <protection hidden="1"/>
    </xf>
    <xf numFmtId="0" fontId="78" fillId="0" borderId="39"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116" fillId="0" borderId="0" xfId="84" applyFont="1" applyAlignment="1">
      <alignment horizontal="left" vertical="top" wrapText="1"/>
    </xf>
    <xf numFmtId="0" fontId="111" fillId="0" borderId="0" xfId="84" applyFont="1" applyAlignment="1">
      <alignment horizontal="left" vertical="top" wrapText="1"/>
    </xf>
    <xf numFmtId="0" fontId="112" fillId="0" borderId="0" xfId="89" applyFont="1" applyAlignment="1">
      <alignment horizontal="left" vertical="center"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1">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2026 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219075</xdr:colOff>
      <xdr:row>25</xdr:row>
      <xdr:rowOff>11430</xdr:rowOff>
    </xdr:from>
    <xdr:to>
      <xdr:col>9</xdr:col>
      <xdr:colOff>112395</xdr:colOff>
      <xdr:row>36</xdr:row>
      <xdr:rowOff>156882</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4141134" y="5177342"/>
          <a:ext cx="3176643" cy="14901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egevens/Excel/Calc/AZR/AZR%20psychiatrie.xls" TargetMode="External"/><Relationship Id="rId1" Type="http://schemas.openxmlformats.org/officeDocument/2006/relationships/externalLinkPath" Target="/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B3" sqref="B3"/>
    </sheetView>
  </sheetViews>
  <sheetFormatPr defaultRowHeight="12.6"/>
  <cols>
    <col min="1" max="1" width="27.6640625" customWidth="1"/>
  </cols>
  <sheetData>
    <row r="1" spans="1:13" ht="15.6">
      <c r="A1" s="39" t="s">
        <v>1</v>
      </c>
      <c r="B1" s="40">
        <f>'2-Kosten'!B3</f>
        <v>0</v>
      </c>
    </row>
    <row r="2" spans="1:13" ht="15.6">
      <c r="A2" s="39" t="s">
        <v>2</v>
      </c>
      <c r="B2" s="40" t="str">
        <f ca="1">MID(CELL("bestandsnaam",$B$11),SEARCH("]",CELL("bestandsnaam",$B$11),1)+1,256)</f>
        <v>1-Uitgangspunten</v>
      </c>
    </row>
    <row r="3" spans="1:13" ht="15.6">
      <c r="A3" s="39" t="s">
        <v>3</v>
      </c>
      <c r="B3" s="40">
        <f>'2-Kosten'!B5</f>
        <v>0</v>
      </c>
    </row>
    <row r="4" spans="1:13" ht="15.6">
      <c r="A4" s="39" t="s">
        <v>4</v>
      </c>
      <c r="B4" s="40">
        <f>'2-Kosten'!B6</f>
        <v>0</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AA16"/>
  <sheetViews>
    <sheetView showGridLines="0" zoomScale="85" zoomScaleNormal="85" zoomScaleSheetLayoutView="50" zoomScalePageLayoutView="50" workbookViewId="0">
      <pane ySplit="12" topLeftCell="A13" activePane="bottomLeft" state="frozen"/>
      <selection activeCell="B1" sqref="B1"/>
      <selection pane="bottomLeft" activeCell="D24" sqref="D24"/>
    </sheetView>
  </sheetViews>
  <sheetFormatPr defaultColWidth="13.6640625" defaultRowHeight="13.2"/>
  <cols>
    <col min="1" max="1" width="46.109375" style="184" customWidth="1"/>
    <col min="2" max="2" width="23.33203125" style="185" customWidth="1"/>
    <col min="3" max="3" width="38" style="185" bestFit="1" customWidth="1"/>
    <col min="4" max="4" width="32.5546875" style="185" customWidth="1"/>
    <col min="5" max="5" width="12.109375" style="184" customWidth="1"/>
    <col min="6" max="6" width="30.6640625" style="186" customWidth="1"/>
    <col min="7" max="7" width="16.109375" style="187" customWidth="1"/>
    <col min="8" max="8" width="13.6640625" style="186" customWidth="1"/>
    <col min="9" max="9" width="15.88671875" style="186" customWidth="1"/>
    <col min="10" max="248" width="13.6640625" style="29"/>
    <col min="249" max="249" width="22.109375" style="29" customWidth="1"/>
    <col min="250" max="256" width="13.6640625" style="29" customWidth="1"/>
    <col min="257" max="257" width="15.88671875" style="29" customWidth="1"/>
    <col min="258" max="258" width="16.5546875" style="29" bestFit="1" customWidth="1"/>
    <col min="259" max="259" width="13.6640625" style="29" customWidth="1"/>
    <col min="260" max="260" width="17.109375" style="29" bestFit="1" customWidth="1"/>
    <col min="261" max="261" width="4" style="29" customWidth="1"/>
    <col min="262" max="262" width="13.6640625" style="29" customWidth="1"/>
    <col min="263" max="504" width="13.6640625" style="29"/>
    <col min="505" max="505" width="22.109375" style="29" customWidth="1"/>
    <col min="506" max="512" width="13.6640625" style="29" customWidth="1"/>
    <col min="513" max="513" width="15.88671875" style="29" customWidth="1"/>
    <col min="514" max="514" width="16.5546875" style="29" bestFit="1" customWidth="1"/>
    <col min="515" max="515" width="13.6640625" style="29" customWidth="1"/>
    <col min="516" max="516" width="17.109375" style="29" bestFit="1" customWidth="1"/>
    <col min="517" max="517" width="4" style="29" customWidth="1"/>
    <col min="518" max="518" width="13.6640625" style="29" customWidth="1"/>
    <col min="519" max="760" width="13.6640625" style="29"/>
    <col min="761" max="761" width="22.109375" style="29" customWidth="1"/>
    <col min="762" max="768" width="13.6640625" style="29" customWidth="1"/>
    <col min="769" max="769" width="15.88671875" style="29" customWidth="1"/>
    <col min="770" max="770" width="16.5546875" style="29" bestFit="1" customWidth="1"/>
    <col min="771" max="771" width="13.6640625" style="29" customWidth="1"/>
    <col min="772" max="772" width="17.109375" style="29" bestFit="1" customWidth="1"/>
    <col min="773" max="773" width="4" style="29" customWidth="1"/>
    <col min="774" max="774" width="13.6640625" style="29" customWidth="1"/>
    <col min="775" max="1016" width="13.6640625" style="29"/>
    <col min="1017" max="1017" width="22.109375" style="29" customWidth="1"/>
    <col min="1018" max="1024" width="13.6640625" style="29" customWidth="1"/>
    <col min="1025" max="1025" width="15.88671875" style="29" customWidth="1"/>
    <col min="1026" max="1026" width="16.5546875" style="29" bestFit="1" customWidth="1"/>
    <col min="1027" max="1027" width="13.6640625" style="29" customWidth="1"/>
    <col min="1028" max="1028" width="17.109375" style="29" bestFit="1" customWidth="1"/>
    <col min="1029" max="1029" width="4" style="29" customWidth="1"/>
    <col min="1030" max="1030" width="13.6640625" style="29" customWidth="1"/>
    <col min="1031" max="1272" width="13.6640625" style="29"/>
    <col min="1273" max="1273" width="22.109375" style="29" customWidth="1"/>
    <col min="1274" max="1280" width="13.6640625" style="29" customWidth="1"/>
    <col min="1281" max="1281" width="15.88671875" style="29" customWidth="1"/>
    <col min="1282" max="1282" width="16.5546875" style="29" bestFit="1" customWidth="1"/>
    <col min="1283" max="1283" width="13.6640625" style="29" customWidth="1"/>
    <col min="1284" max="1284" width="17.109375" style="29" bestFit="1" customWidth="1"/>
    <col min="1285" max="1285" width="4" style="29" customWidth="1"/>
    <col min="1286" max="1286" width="13.6640625" style="29" customWidth="1"/>
    <col min="1287" max="1528" width="13.6640625" style="29"/>
    <col min="1529" max="1529" width="22.109375" style="29" customWidth="1"/>
    <col min="1530" max="1536" width="13.6640625" style="29" customWidth="1"/>
    <col min="1537" max="1537" width="15.88671875" style="29" customWidth="1"/>
    <col min="1538" max="1538" width="16.5546875" style="29" bestFit="1" customWidth="1"/>
    <col min="1539" max="1539" width="13.6640625" style="29" customWidth="1"/>
    <col min="1540" max="1540" width="17.109375" style="29" bestFit="1" customWidth="1"/>
    <col min="1541" max="1541" width="4" style="29" customWidth="1"/>
    <col min="1542" max="1542" width="13.6640625" style="29" customWidth="1"/>
    <col min="1543" max="1784" width="13.6640625" style="29"/>
    <col min="1785" max="1785" width="22.109375" style="29" customWidth="1"/>
    <col min="1786" max="1792" width="13.6640625" style="29" customWidth="1"/>
    <col min="1793" max="1793" width="15.88671875" style="29" customWidth="1"/>
    <col min="1794" max="1794" width="16.5546875" style="29" bestFit="1" customWidth="1"/>
    <col min="1795" max="1795" width="13.6640625" style="29" customWidth="1"/>
    <col min="1796" max="1796" width="17.109375" style="29" bestFit="1" customWidth="1"/>
    <col min="1797" max="1797" width="4" style="29" customWidth="1"/>
    <col min="1798" max="1798" width="13.6640625" style="29" customWidth="1"/>
    <col min="1799" max="2040" width="13.6640625" style="29"/>
    <col min="2041" max="2041" width="22.109375" style="29" customWidth="1"/>
    <col min="2042" max="2048" width="13.6640625" style="29" customWidth="1"/>
    <col min="2049" max="2049" width="15.88671875" style="29" customWidth="1"/>
    <col min="2050" max="2050" width="16.5546875" style="29" bestFit="1" customWidth="1"/>
    <col min="2051" max="2051" width="13.6640625" style="29" customWidth="1"/>
    <col min="2052" max="2052" width="17.109375" style="29" bestFit="1" customWidth="1"/>
    <col min="2053" max="2053" width="4" style="29" customWidth="1"/>
    <col min="2054" max="2054" width="13.6640625" style="29" customWidth="1"/>
    <col min="2055" max="2296" width="13.6640625" style="29"/>
    <col min="2297" max="2297" width="22.109375" style="29" customWidth="1"/>
    <col min="2298" max="2304" width="13.6640625" style="29" customWidth="1"/>
    <col min="2305" max="2305" width="15.88671875" style="29" customWidth="1"/>
    <col min="2306" max="2306" width="16.5546875" style="29" bestFit="1" customWidth="1"/>
    <col min="2307" max="2307" width="13.6640625" style="29" customWidth="1"/>
    <col min="2308" max="2308" width="17.109375" style="29" bestFit="1" customWidth="1"/>
    <col min="2309" max="2309" width="4" style="29" customWidth="1"/>
    <col min="2310" max="2310" width="13.6640625" style="29" customWidth="1"/>
    <col min="2311" max="2552" width="13.6640625" style="29"/>
    <col min="2553" max="2553" width="22.109375" style="29" customWidth="1"/>
    <col min="2554" max="2560" width="13.6640625" style="29" customWidth="1"/>
    <col min="2561" max="2561" width="15.88671875" style="29" customWidth="1"/>
    <col min="2562" max="2562" width="16.5546875" style="29" bestFit="1" customWidth="1"/>
    <col min="2563" max="2563" width="13.6640625" style="29" customWidth="1"/>
    <col min="2564" max="2564" width="17.109375" style="29" bestFit="1" customWidth="1"/>
    <col min="2565" max="2565" width="4" style="29" customWidth="1"/>
    <col min="2566" max="2566" width="13.6640625" style="29" customWidth="1"/>
    <col min="2567" max="2808" width="13.6640625" style="29"/>
    <col min="2809" max="2809" width="22.109375" style="29" customWidth="1"/>
    <col min="2810" max="2816" width="13.6640625" style="29" customWidth="1"/>
    <col min="2817" max="2817" width="15.88671875" style="29" customWidth="1"/>
    <col min="2818" max="2818" width="16.5546875" style="29" bestFit="1" customWidth="1"/>
    <col min="2819" max="2819" width="13.6640625" style="29" customWidth="1"/>
    <col min="2820" max="2820" width="17.109375" style="29" bestFit="1" customWidth="1"/>
    <col min="2821" max="2821" width="4" style="29" customWidth="1"/>
    <col min="2822" max="2822" width="13.6640625" style="29" customWidth="1"/>
    <col min="2823" max="3064" width="13.6640625" style="29"/>
    <col min="3065" max="3065" width="22.109375" style="29" customWidth="1"/>
    <col min="3066" max="3072" width="13.6640625" style="29" customWidth="1"/>
    <col min="3073" max="3073" width="15.88671875" style="29" customWidth="1"/>
    <col min="3074" max="3074" width="16.5546875" style="29" bestFit="1" customWidth="1"/>
    <col min="3075" max="3075" width="13.6640625" style="29" customWidth="1"/>
    <col min="3076" max="3076" width="17.109375" style="29" bestFit="1" customWidth="1"/>
    <col min="3077" max="3077" width="4" style="29" customWidth="1"/>
    <col min="3078" max="3078" width="13.6640625" style="29" customWidth="1"/>
    <col min="3079" max="3320" width="13.6640625" style="29"/>
    <col min="3321" max="3321" width="22.109375" style="29" customWidth="1"/>
    <col min="3322" max="3328" width="13.6640625" style="29" customWidth="1"/>
    <col min="3329" max="3329" width="15.88671875" style="29" customWidth="1"/>
    <col min="3330" max="3330" width="16.5546875" style="29" bestFit="1" customWidth="1"/>
    <col min="3331" max="3331" width="13.6640625" style="29" customWidth="1"/>
    <col min="3332" max="3332" width="17.109375" style="29" bestFit="1" customWidth="1"/>
    <col min="3333" max="3333" width="4" style="29" customWidth="1"/>
    <col min="3334" max="3334" width="13.6640625" style="29" customWidth="1"/>
    <col min="3335" max="3576" width="13.6640625" style="29"/>
    <col min="3577" max="3577" width="22.109375" style="29" customWidth="1"/>
    <col min="3578" max="3584" width="13.6640625" style="29" customWidth="1"/>
    <col min="3585" max="3585" width="15.88671875" style="29" customWidth="1"/>
    <col min="3586" max="3586" width="16.5546875" style="29" bestFit="1" customWidth="1"/>
    <col min="3587" max="3587" width="13.6640625" style="29" customWidth="1"/>
    <col min="3588" max="3588" width="17.109375" style="29" bestFit="1" customWidth="1"/>
    <col min="3589" max="3589" width="4" style="29" customWidth="1"/>
    <col min="3590" max="3590" width="13.6640625" style="29" customWidth="1"/>
    <col min="3591" max="3832" width="13.6640625" style="29"/>
    <col min="3833" max="3833" width="22.109375" style="29" customWidth="1"/>
    <col min="3834" max="3840" width="13.6640625" style="29" customWidth="1"/>
    <col min="3841" max="3841" width="15.88671875" style="29" customWidth="1"/>
    <col min="3842" max="3842" width="16.5546875" style="29" bestFit="1" customWidth="1"/>
    <col min="3843" max="3843" width="13.6640625" style="29" customWidth="1"/>
    <col min="3844" max="3844" width="17.109375" style="29" bestFit="1" customWidth="1"/>
    <col min="3845" max="3845" width="4" style="29" customWidth="1"/>
    <col min="3846" max="3846" width="13.6640625" style="29" customWidth="1"/>
    <col min="3847" max="4088" width="13.6640625" style="29"/>
    <col min="4089" max="4089" width="22.109375" style="29" customWidth="1"/>
    <col min="4090" max="4096" width="13.6640625" style="29" customWidth="1"/>
    <col min="4097" max="4097" width="15.88671875" style="29" customWidth="1"/>
    <col min="4098" max="4098" width="16.5546875" style="29" bestFit="1" customWidth="1"/>
    <col min="4099" max="4099" width="13.6640625" style="29" customWidth="1"/>
    <col min="4100" max="4100" width="17.109375" style="29" bestFit="1" customWidth="1"/>
    <col min="4101" max="4101" width="4" style="29" customWidth="1"/>
    <col min="4102" max="4102" width="13.6640625" style="29" customWidth="1"/>
    <col min="4103" max="4344" width="13.6640625" style="29"/>
    <col min="4345" max="4345" width="22.109375" style="29" customWidth="1"/>
    <col min="4346" max="4352" width="13.6640625" style="29" customWidth="1"/>
    <col min="4353" max="4353" width="15.88671875" style="29" customWidth="1"/>
    <col min="4354" max="4354" width="16.5546875" style="29" bestFit="1" customWidth="1"/>
    <col min="4355" max="4355" width="13.6640625" style="29" customWidth="1"/>
    <col min="4356" max="4356" width="17.109375" style="29" bestFit="1" customWidth="1"/>
    <col min="4357" max="4357" width="4" style="29" customWidth="1"/>
    <col min="4358" max="4358" width="13.6640625" style="29" customWidth="1"/>
    <col min="4359" max="4600" width="13.6640625" style="29"/>
    <col min="4601" max="4601" width="22.109375" style="29" customWidth="1"/>
    <col min="4602" max="4608" width="13.6640625" style="29" customWidth="1"/>
    <col min="4609" max="4609" width="15.88671875" style="29" customWidth="1"/>
    <col min="4610" max="4610" width="16.5546875" style="29" bestFit="1" customWidth="1"/>
    <col min="4611" max="4611" width="13.6640625" style="29" customWidth="1"/>
    <col min="4612" max="4612" width="17.109375" style="29" bestFit="1" customWidth="1"/>
    <col min="4613" max="4613" width="4" style="29" customWidth="1"/>
    <col min="4614" max="4614" width="13.6640625" style="29" customWidth="1"/>
    <col min="4615" max="4856" width="13.6640625" style="29"/>
    <col min="4857" max="4857" width="22.109375" style="29" customWidth="1"/>
    <col min="4858" max="4864" width="13.6640625" style="29" customWidth="1"/>
    <col min="4865" max="4865" width="15.88671875" style="29" customWidth="1"/>
    <col min="4866" max="4866" width="16.5546875" style="29" bestFit="1" customWidth="1"/>
    <col min="4867" max="4867" width="13.6640625" style="29" customWidth="1"/>
    <col min="4868" max="4868" width="17.109375" style="29" bestFit="1" customWidth="1"/>
    <col min="4869" max="4869" width="4" style="29" customWidth="1"/>
    <col min="4870" max="4870" width="13.6640625" style="29" customWidth="1"/>
    <col min="4871" max="5112" width="13.6640625" style="29"/>
    <col min="5113" max="5113" width="22.109375" style="29" customWidth="1"/>
    <col min="5114" max="5120" width="13.6640625" style="29" customWidth="1"/>
    <col min="5121" max="5121" width="15.88671875" style="29" customWidth="1"/>
    <col min="5122" max="5122" width="16.5546875" style="29" bestFit="1" customWidth="1"/>
    <col min="5123" max="5123" width="13.6640625" style="29" customWidth="1"/>
    <col min="5124" max="5124" width="17.109375" style="29" bestFit="1" customWidth="1"/>
    <col min="5125" max="5125" width="4" style="29" customWidth="1"/>
    <col min="5126" max="5126" width="13.6640625" style="29" customWidth="1"/>
    <col min="5127" max="5368" width="13.6640625" style="29"/>
    <col min="5369" max="5369" width="22.109375" style="29" customWidth="1"/>
    <col min="5370" max="5376" width="13.6640625" style="29" customWidth="1"/>
    <col min="5377" max="5377" width="15.88671875" style="29" customWidth="1"/>
    <col min="5378" max="5378" width="16.5546875" style="29" bestFit="1" customWidth="1"/>
    <col min="5379" max="5379" width="13.6640625" style="29" customWidth="1"/>
    <col min="5380" max="5380" width="17.109375" style="29" bestFit="1" customWidth="1"/>
    <col min="5381" max="5381" width="4" style="29" customWidth="1"/>
    <col min="5382" max="5382" width="13.6640625" style="29" customWidth="1"/>
    <col min="5383" max="5624" width="13.6640625" style="29"/>
    <col min="5625" max="5625" width="22.109375" style="29" customWidth="1"/>
    <col min="5626" max="5632" width="13.6640625" style="29" customWidth="1"/>
    <col min="5633" max="5633" width="15.88671875" style="29" customWidth="1"/>
    <col min="5634" max="5634" width="16.5546875" style="29" bestFit="1" customWidth="1"/>
    <col min="5635" max="5635" width="13.6640625" style="29" customWidth="1"/>
    <col min="5636" max="5636" width="17.109375" style="29" bestFit="1" customWidth="1"/>
    <col min="5637" max="5637" width="4" style="29" customWidth="1"/>
    <col min="5638" max="5638" width="13.6640625" style="29" customWidth="1"/>
    <col min="5639" max="5880" width="13.6640625" style="29"/>
    <col min="5881" max="5881" width="22.109375" style="29" customWidth="1"/>
    <col min="5882" max="5888" width="13.6640625" style="29" customWidth="1"/>
    <col min="5889" max="5889" width="15.88671875" style="29" customWidth="1"/>
    <col min="5890" max="5890" width="16.5546875" style="29" bestFit="1" customWidth="1"/>
    <col min="5891" max="5891" width="13.6640625" style="29" customWidth="1"/>
    <col min="5892" max="5892" width="17.109375" style="29" bestFit="1" customWidth="1"/>
    <col min="5893" max="5893" width="4" style="29" customWidth="1"/>
    <col min="5894" max="5894" width="13.6640625" style="29" customWidth="1"/>
    <col min="5895" max="6136" width="13.6640625" style="29"/>
    <col min="6137" max="6137" width="22.109375" style="29" customWidth="1"/>
    <col min="6138" max="6144" width="13.6640625" style="29" customWidth="1"/>
    <col min="6145" max="6145" width="15.88671875" style="29" customWidth="1"/>
    <col min="6146" max="6146" width="16.5546875" style="29" bestFit="1" customWidth="1"/>
    <col min="6147" max="6147" width="13.6640625" style="29" customWidth="1"/>
    <col min="6148" max="6148" width="17.109375" style="29" bestFit="1" customWidth="1"/>
    <col min="6149" max="6149" width="4" style="29" customWidth="1"/>
    <col min="6150" max="6150" width="13.6640625" style="29" customWidth="1"/>
    <col min="6151" max="6392" width="13.6640625" style="29"/>
    <col min="6393" max="6393" width="22.109375" style="29" customWidth="1"/>
    <col min="6394" max="6400" width="13.6640625" style="29" customWidth="1"/>
    <col min="6401" max="6401" width="15.88671875" style="29" customWidth="1"/>
    <col min="6402" max="6402" width="16.5546875" style="29" bestFit="1" customWidth="1"/>
    <col min="6403" max="6403" width="13.6640625" style="29" customWidth="1"/>
    <col min="6404" max="6404" width="17.109375" style="29" bestFit="1" customWidth="1"/>
    <col min="6405" max="6405" width="4" style="29" customWidth="1"/>
    <col min="6406" max="6406" width="13.6640625" style="29" customWidth="1"/>
    <col min="6407" max="6648" width="13.6640625" style="29"/>
    <col min="6649" max="6649" width="22.109375" style="29" customWidth="1"/>
    <col min="6650" max="6656" width="13.6640625" style="29" customWidth="1"/>
    <col min="6657" max="6657" width="15.88671875" style="29" customWidth="1"/>
    <col min="6658" max="6658" width="16.5546875" style="29" bestFit="1" customWidth="1"/>
    <col min="6659" max="6659" width="13.6640625" style="29" customWidth="1"/>
    <col min="6660" max="6660" width="17.109375" style="29" bestFit="1" customWidth="1"/>
    <col min="6661" max="6661" width="4" style="29" customWidth="1"/>
    <col min="6662" max="6662" width="13.6640625" style="29" customWidth="1"/>
    <col min="6663" max="6904" width="13.6640625" style="29"/>
    <col min="6905" max="6905" width="22.109375" style="29" customWidth="1"/>
    <col min="6906" max="6912" width="13.6640625" style="29" customWidth="1"/>
    <col min="6913" max="6913" width="15.88671875" style="29" customWidth="1"/>
    <col min="6914" max="6914" width="16.5546875" style="29" bestFit="1" customWidth="1"/>
    <col min="6915" max="6915" width="13.6640625" style="29" customWidth="1"/>
    <col min="6916" max="6916" width="17.109375" style="29" bestFit="1" customWidth="1"/>
    <col min="6917" max="6917" width="4" style="29" customWidth="1"/>
    <col min="6918" max="6918" width="13.6640625" style="29" customWidth="1"/>
    <col min="6919" max="7160" width="13.6640625" style="29"/>
    <col min="7161" max="7161" width="22.109375" style="29" customWidth="1"/>
    <col min="7162" max="7168" width="13.6640625" style="29" customWidth="1"/>
    <col min="7169" max="7169" width="15.88671875" style="29" customWidth="1"/>
    <col min="7170" max="7170" width="16.5546875" style="29" bestFit="1" customWidth="1"/>
    <col min="7171" max="7171" width="13.6640625" style="29" customWidth="1"/>
    <col min="7172" max="7172" width="17.109375" style="29" bestFit="1" customWidth="1"/>
    <col min="7173" max="7173" width="4" style="29" customWidth="1"/>
    <col min="7174" max="7174" width="13.6640625" style="29" customWidth="1"/>
    <col min="7175" max="7416" width="13.6640625" style="29"/>
    <col min="7417" max="7417" width="22.109375" style="29" customWidth="1"/>
    <col min="7418" max="7424" width="13.6640625" style="29" customWidth="1"/>
    <col min="7425" max="7425" width="15.88671875" style="29" customWidth="1"/>
    <col min="7426" max="7426" width="16.5546875" style="29" bestFit="1" customWidth="1"/>
    <col min="7427" max="7427" width="13.6640625" style="29" customWidth="1"/>
    <col min="7428" max="7428" width="17.109375" style="29" bestFit="1" customWidth="1"/>
    <col min="7429" max="7429" width="4" style="29" customWidth="1"/>
    <col min="7430" max="7430" width="13.6640625" style="29" customWidth="1"/>
    <col min="7431" max="7672" width="13.6640625" style="29"/>
    <col min="7673" max="7673" width="22.109375" style="29" customWidth="1"/>
    <col min="7674" max="7680" width="13.6640625" style="29" customWidth="1"/>
    <col min="7681" max="7681" width="15.88671875" style="29" customWidth="1"/>
    <col min="7682" max="7682" width="16.5546875" style="29" bestFit="1" customWidth="1"/>
    <col min="7683" max="7683" width="13.6640625" style="29" customWidth="1"/>
    <col min="7684" max="7684" width="17.109375" style="29" bestFit="1" customWidth="1"/>
    <col min="7685" max="7685" width="4" style="29" customWidth="1"/>
    <col min="7686" max="7686" width="13.6640625" style="29" customWidth="1"/>
    <col min="7687" max="7928" width="13.6640625" style="29"/>
    <col min="7929" max="7929" width="22.109375" style="29" customWidth="1"/>
    <col min="7930" max="7936" width="13.6640625" style="29" customWidth="1"/>
    <col min="7937" max="7937" width="15.88671875" style="29" customWidth="1"/>
    <col min="7938" max="7938" width="16.5546875" style="29" bestFit="1" customWidth="1"/>
    <col min="7939" max="7939" width="13.6640625" style="29" customWidth="1"/>
    <col min="7940" max="7940" width="17.109375" style="29" bestFit="1" customWidth="1"/>
    <col min="7941" max="7941" width="4" style="29" customWidth="1"/>
    <col min="7942" max="7942" width="13.6640625" style="29" customWidth="1"/>
    <col min="7943" max="8184" width="13.6640625" style="29"/>
    <col min="8185" max="8185" width="22.109375" style="29" customWidth="1"/>
    <col min="8186" max="8192" width="13.6640625" style="29" customWidth="1"/>
    <col min="8193" max="8193" width="15.88671875" style="29" customWidth="1"/>
    <col min="8194" max="8194" width="16.5546875" style="29" bestFit="1" customWidth="1"/>
    <col min="8195" max="8195" width="13.6640625" style="29" customWidth="1"/>
    <col min="8196" max="8196" width="17.109375" style="29" bestFit="1" customWidth="1"/>
    <col min="8197" max="8197" width="4" style="29" customWidth="1"/>
    <col min="8198" max="8198" width="13.6640625" style="29" customWidth="1"/>
    <col min="8199" max="8440" width="13.6640625" style="29"/>
    <col min="8441" max="8441" width="22.109375" style="29" customWidth="1"/>
    <col min="8442" max="8448" width="13.6640625" style="29" customWidth="1"/>
    <col min="8449" max="8449" width="15.88671875" style="29" customWidth="1"/>
    <col min="8450" max="8450" width="16.5546875" style="29" bestFit="1" customWidth="1"/>
    <col min="8451" max="8451" width="13.6640625" style="29" customWidth="1"/>
    <col min="8452" max="8452" width="17.109375" style="29" bestFit="1" customWidth="1"/>
    <col min="8453" max="8453" width="4" style="29" customWidth="1"/>
    <col min="8454" max="8454" width="13.6640625" style="29" customWidth="1"/>
    <col min="8455" max="8696" width="13.6640625" style="29"/>
    <col min="8697" max="8697" width="22.109375" style="29" customWidth="1"/>
    <col min="8698" max="8704" width="13.6640625" style="29" customWidth="1"/>
    <col min="8705" max="8705" width="15.88671875" style="29" customWidth="1"/>
    <col min="8706" max="8706" width="16.5546875" style="29" bestFit="1" customWidth="1"/>
    <col min="8707" max="8707" width="13.6640625" style="29" customWidth="1"/>
    <col min="8708" max="8708" width="17.109375" style="29" bestFit="1" customWidth="1"/>
    <col min="8709" max="8709" width="4" style="29" customWidth="1"/>
    <col min="8710" max="8710" width="13.6640625" style="29" customWidth="1"/>
    <col min="8711" max="8952" width="13.6640625" style="29"/>
    <col min="8953" max="8953" width="22.109375" style="29" customWidth="1"/>
    <col min="8954" max="8960" width="13.6640625" style="29" customWidth="1"/>
    <col min="8961" max="8961" width="15.88671875" style="29" customWidth="1"/>
    <col min="8962" max="8962" width="16.5546875" style="29" bestFit="1" customWidth="1"/>
    <col min="8963" max="8963" width="13.6640625" style="29" customWidth="1"/>
    <col min="8964" max="8964" width="17.109375" style="29" bestFit="1" customWidth="1"/>
    <col min="8965" max="8965" width="4" style="29" customWidth="1"/>
    <col min="8966" max="8966" width="13.6640625" style="29" customWidth="1"/>
    <col min="8967" max="9208" width="13.6640625" style="29"/>
    <col min="9209" max="9209" width="22.109375" style="29" customWidth="1"/>
    <col min="9210" max="9216" width="13.6640625" style="29" customWidth="1"/>
    <col min="9217" max="9217" width="15.88671875" style="29" customWidth="1"/>
    <col min="9218" max="9218" width="16.5546875" style="29" bestFit="1" customWidth="1"/>
    <col min="9219" max="9219" width="13.6640625" style="29" customWidth="1"/>
    <col min="9220" max="9220" width="17.109375" style="29" bestFit="1" customWidth="1"/>
    <col min="9221" max="9221" width="4" style="29" customWidth="1"/>
    <col min="9222" max="9222" width="13.6640625" style="29" customWidth="1"/>
    <col min="9223" max="9464" width="13.6640625" style="29"/>
    <col min="9465" max="9465" width="22.109375" style="29" customWidth="1"/>
    <col min="9466" max="9472" width="13.6640625" style="29" customWidth="1"/>
    <col min="9473" max="9473" width="15.88671875" style="29" customWidth="1"/>
    <col min="9474" max="9474" width="16.5546875" style="29" bestFit="1" customWidth="1"/>
    <col min="9475" max="9475" width="13.6640625" style="29" customWidth="1"/>
    <col min="9476" max="9476" width="17.109375" style="29" bestFit="1" customWidth="1"/>
    <col min="9477" max="9477" width="4" style="29" customWidth="1"/>
    <col min="9478" max="9478" width="13.6640625" style="29" customWidth="1"/>
    <col min="9479" max="9720" width="13.6640625" style="29"/>
    <col min="9721" max="9721" width="22.109375" style="29" customWidth="1"/>
    <col min="9722" max="9728" width="13.6640625" style="29" customWidth="1"/>
    <col min="9729" max="9729" width="15.88671875" style="29" customWidth="1"/>
    <col min="9730" max="9730" width="16.5546875" style="29" bestFit="1" customWidth="1"/>
    <col min="9731" max="9731" width="13.6640625" style="29" customWidth="1"/>
    <col min="9732" max="9732" width="17.109375" style="29" bestFit="1" customWidth="1"/>
    <col min="9733" max="9733" width="4" style="29" customWidth="1"/>
    <col min="9734" max="9734" width="13.6640625" style="29" customWidth="1"/>
    <col min="9735" max="9976" width="13.6640625" style="29"/>
    <col min="9977" max="9977" width="22.109375" style="29" customWidth="1"/>
    <col min="9978" max="9984" width="13.6640625" style="29" customWidth="1"/>
    <col min="9985" max="9985" width="15.88671875" style="29" customWidth="1"/>
    <col min="9986" max="9986" width="16.5546875" style="29" bestFit="1" customWidth="1"/>
    <col min="9987" max="9987" width="13.6640625" style="29" customWidth="1"/>
    <col min="9988" max="9988" width="17.109375" style="29" bestFit="1" customWidth="1"/>
    <col min="9989" max="9989" width="4" style="29" customWidth="1"/>
    <col min="9990" max="9990" width="13.6640625" style="29" customWidth="1"/>
    <col min="9991" max="10232" width="13.6640625" style="29"/>
    <col min="10233" max="10233" width="22.109375" style="29" customWidth="1"/>
    <col min="10234" max="10240" width="13.6640625" style="29" customWidth="1"/>
    <col min="10241" max="10241" width="15.88671875" style="29" customWidth="1"/>
    <col min="10242" max="10242" width="16.5546875" style="29" bestFit="1" customWidth="1"/>
    <col min="10243" max="10243" width="13.6640625" style="29" customWidth="1"/>
    <col min="10244" max="10244" width="17.109375" style="29" bestFit="1" customWidth="1"/>
    <col min="10245" max="10245" width="4" style="29" customWidth="1"/>
    <col min="10246" max="10246" width="13.6640625" style="29" customWidth="1"/>
    <col min="10247" max="10488" width="13.6640625" style="29"/>
    <col min="10489" max="10489" width="22.109375" style="29" customWidth="1"/>
    <col min="10490" max="10496" width="13.6640625" style="29" customWidth="1"/>
    <col min="10497" max="10497" width="15.88671875" style="29" customWidth="1"/>
    <col min="10498" max="10498" width="16.5546875" style="29" bestFit="1" customWidth="1"/>
    <col min="10499" max="10499" width="13.6640625" style="29" customWidth="1"/>
    <col min="10500" max="10500" width="17.109375" style="29" bestFit="1" customWidth="1"/>
    <col min="10501" max="10501" width="4" style="29" customWidth="1"/>
    <col min="10502" max="10502" width="13.6640625" style="29" customWidth="1"/>
    <col min="10503" max="10744" width="13.6640625" style="29"/>
    <col min="10745" max="10745" width="22.109375" style="29" customWidth="1"/>
    <col min="10746" max="10752" width="13.6640625" style="29" customWidth="1"/>
    <col min="10753" max="10753" width="15.88671875" style="29" customWidth="1"/>
    <col min="10754" max="10754" width="16.5546875" style="29" bestFit="1" customWidth="1"/>
    <col min="10755" max="10755" width="13.6640625" style="29" customWidth="1"/>
    <col min="10756" max="10756" width="17.109375" style="29" bestFit="1" customWidth="1"/>
    <col min="10757" max="10757" width="4" style="29" customWidth="1"/>
    <col min="10758" max="10758" width="13.6640625" style="29" customWidth="1"/>
    <col min="10759" max="11000" width="13.6640625" style="29"/>
    <col min="11001" max="11001" width="22.109375" style="29" customWidth="1"/>
    <col min="11002" max="11008" width="13.6640625" style="29" customWidth="1"/>
    <col min="11009" max="11009" width="15.88671875" style="29" customWidth="1"/>
    <col min="11010" max="11010" width="16.5546875" style="29" bestFit="1" customWidth="1"/>
    <col min="11011" max="11011" width="13.6640625" style="29" customWidth="1"/>
    <col min="11012" max="11012" width="17.109375" style="29" bestFit="1" customWidth="1"/>
    <col min="11013" max="11013" width="4" style="29" customWidth="1"/>
    <col min="11014" max="11014" width="13.6640625" style="29" customWidth="1"/>
    <col min="11015" max="11256" width="13.6640625" style="29"/>
    <col min="11257" max="11257" width="22.109375" style="29" customWidth="1"/>
    <col min="11258" max="11264" width="13.6640625" style="29" customWidth="1"/>
    <col min="11265" max="11265" width="15.88671875" style="29" customWidth="1"/>
    <col min="11266" max="11266" width="16.5546875" style="29" bestFit="1" customWidth="1"/>
    <col min="11267" max="11267" width="13.6640625" style="29" customWidth="1"/>
    <col min="11268" max="11268" width="17.109375" style="29" bestFit="1" customWidth="1"/>
    <col min="11269" max="11269" width="4" style="29" customWidth="1"/>
    <col min="11270" max="11270" width="13.6640625" style="29" customWidth="1"/>
    <col min="11271" max="11512" width="13.6640625" style="29"/>
    <col min="11513" max="11513" width="22.109375" style="29" customWidth="1"/>
    <col min="11514" max="11520" width="13.6640625" style="29" customWidth="1"/>
    <col min="11521" max="11521" width="15.88671875" style="29" customWidth="1"/>
    <col min="11522" max="11522" width="16.5546875" style="29" bestFit="1" customWidth="1"/>
    <col min="11523" max="11523" width="13.6640625" style="29" customWidth="1"/>
    <col min="11524" max="11524" width="17.109375" style="29" bestFit="1" customWidth="1"/>
    <col min="11525" max="11525" width="4" style="29" customWidth="1"/>
    <col min="11526" max="11526" width="13.6640625" style="29" customWidth="1"/>
    <col min="11527" max="11768" width="13.6640625" style="29"/>
    <col min="11769" max="11769" width="22.109375" style="29" customWidth="1"/>
    <col min="11770" max="11776" width="13.6640625" style="29" customWidth="1"/>
    <col min="11777" max="11777" width="15.88671875" style="29" customWidth="1"/>
    <col min="11778" max="11778" width="16.5546875" style="29" bestFit="1" customWidth="1"/>
    <col min="11779" max="11779" width="13.6640625" style="29" customWidth="1"/>
    <col min="11780" max="11780" width="17.109375" style="29" bestFit="1" customWidth="1"/>
    <col min="11781" max="11781" width="4" style="29" customWidth="1"/>
    <col min="11782" max="11782" width="13.6640625" style="29" customWidth="1"/>
    <col min="11783" max="12024" width="13.6640625" style="29"/>
    <col min="12025" max="12025" width="22.109375" style="29" customWidth="1"/>
    <col min="12026" max="12032" width="13.6640625" style="29" customWidth="1"/>
    <col min="12033" max="12033" width="15.88671875" style="29" customWidth="1"/>
    <col min="12034" max="12034" width="16.5546875" style="29" bestFit="1" customWidth="1"/>
    <col min="12035" max="12035" width="13.6640625" style="29" customWidth="1"/>
    <col min="12036" max="12036" width="17.109375" style="29" bestFit="1" customWidth="1"/>
    <col min="12037" max="12037" width="4" style="29" customWidth="1"/>
    <col min="12038" max="12038" width="13.6640625" style="29" customWidth="1"/>
    <col min="12039" max="12280" width="13.6640625" style="29"/>
    <col min="12281" max="12281" width="22.109375" style="29" customWidth="1"/>
    <col min="12282" max="12288" width="13.6640625" style="29" customWidth="1"/>
    <col min="12289" max="12289" width="15.88671875" style="29" customWidth="1"/>
    <col min="12290" max="12290" width="16.5546875" style="29" bestFit="1" customWidth="1"/>
    <col min="12291" max="12291" width="13.6640625" style="29" customWidth="1"/>
    <col min="12292" max="12292" width="17.109375" style="29" bestFit="1" customWidth="1"/>
    <col min="12293" max="12293" width="4" style="29" customWidth="1"/>
    <col min="12294" max="12294" width="13.6640625" style="29" customWidth="1"/>
    <col min="12295" max="12536" width="13.6640625" style="29"/>
    <col min="12537" max="12537" width="22.109375" style="29" customWidth="1"/>
    <col min="12538" max="12544" width="13.6640625" style="29" customWidth="1"/>
    <col min="12545" max="12545" width="15.88671875" style="29" customWidth="1"/>
    <col min="12546" max="12546" width="16.5546875" style="29" bestFit="1" customWidth="1"/>
    <col min="12547" max="12547" width="13.6640625" style="29" customWidth="1"/>
    <col min="12548" max="12548" width="17.109375" style="29" bestFit="1" customWidth="1"/>
    <col min="12549" max="12549" width="4" style="29" customWidth="1"/>
    <col min="12550" max="12550" width="13.6640625" style="29" customWidth="1"/>
    <col min="12551" max="12792" width="13.6640625" style="29"/>
    <col min="12793" max="12793" width="22.109375" style="29" customWidth="1"/>
    <col min="12794" max="12800" width="13.6640625" style="29" customWidth="1"/>
    <col min="12801" max="12801" width="15.88671875" style="29" customWidth="1"/>
    <col min="12802" max="12802" width="16.5546875" style="29" bestFit="1" customWidth="1"/>
    <col min="12803" max="12803" width="13.6640625" style="29" customWidth="1"/>
    <col min="12804" max="12804" width="17.109375" style="29" bestFit="1" customWidth="1"/>
    <col min="12805" max="12805" width="4" style="29" customWidth="1"/>
    <col min="12806" max="12806" width="13.6640625" style="29" customWidth="1"/>
    <col min="12807" max="13048" width="13.6640625" style="29"/>
    <col min="13049" max="13049" width="22.109375" style="29" customWidth="1"/>
    <col min="13050" max="13056" width="13.6640625" style="29" customWidth="1"/>
    <col min="13057" max="13057" width="15.88671875" style="29" customWidth="1"/>
    <col min="13058" max="13058" width="16.5546875" style="29" bestFit="1" customWidth="1"/>
    <col min="13059" max="13059" width="13.6640625" style="29" customWidth="1"/>
    <col min="13060" max="13060" width="17.109375" style="29" bestFit="1" customWidth="1"/>
    <col min="13061" max="13061" width="4" style="29" customWidth="1"/>
    <col min="13062" max="13062" width="13.6640625" style="29" customWidth="1"/>
    <col min="13063" max="13304" width="13.6640625" style="29"/>
    <col min="13305" max="13305" width="22.109375" style="29" customWidth="1"/>
    <col min="13306" max="13312" width="13.6640625" style="29" customWidth="1"/>
    <col min="13313" max="13313" width="15.88671875" style="29" customWidth="1"/>
    <col min="13314" max="13314" width="16.5546875" style="29" bestFit="1" customWidth="1"/>
    <col min="13315" max="13315" width="13.6640625" style="29" customWidth="1"/>
    <col min="13316" max="13316" width="17.109375" style="29" bestFit="1" customWidth="1"/>
    <col min="13317" max="13317" width="4" style="29" customWidth="1"/>
    <col min="13318" max="13318" width="13.6640625" style="29" customWidth="1"/>
    <col min="13319" max="13560" width="13.6640625" style="29"/>
    <col min="13561" max="13561" width="22.109375" style="29" customWidth="1"/>
    <col min="13562" max="13568" width="13.6640625" style="29" customWidth="1"/>
    <col min="13569" max="13569" width="15.88671875" style="29" customWidth="1"/>
    <col min="13570" max="13570" width="16.5546875" style="29" bestFit="1" customWidth="1"/>
    <col min="13571" max="13571" width="13.6640625" style="29" customWidth="1"/>
    <col min="13572" max="13572" width="17.109375" style="29" bestFit="1" customWidth="1"/>
    <col min="13573" max="13573" width="4" style="29" customWidth="1"/>
    <col min="13574" max="13574" width="13.6640625" style="29" customWidth="1"/>
    <col min="13575" max="13816" width="13.6640625" style="29"/>
    <col min="13817" max="13817" width="22.109375" style="29" customWidth="1"/>
    <col min="13818" max="13824" width="13.6640625" style="29" customWidth="1"/>
    <col min="13825" max="13825" width="15.88671875" style="29" customWidth="1"/>
    <col min="13826" max="13826" width="16.5546875" style="29" bestFit="1" customWidth="1"/>
    <col min="13827" max="13827" width="13.6640625" style="29" customWidth="1"/>
    <col min="13828" max="13828" width="17.109375" style="29" bestFit="1" customWidth="1"/>
    <col min="13829" max="13829" width="4" style="29" customWidth="1"/>
    <col min="13830" max="13830" width="13.6640625" style="29" customWidth="1"/>
    <col min="13831" max="14072" width="13.6640625" style="29"/>
    <col min="14073" max="14073" width="22.109375" style="29" customWidth="1"/>
    <col min="14074" max="14080" width="13.6640625" style="29" customWidth="1"/>
    <col min="14081" max="14081" width="15.88671875" style="29" customWidth="1"/>
    <col min="14082" max="14082" width="16.5546875" style="29" bestFit="1" customWidth="1"/>
    <col min="14083" max="14083" width="13.6640625" style="29" customWidth="1"/>
    <col min="14084" max="14084" width="17.109375" style="29" bestFit="1" customWidth="1"/>
    <col min="14085" max="14085" width="4" style="29" customWidth="1"/>
    <col min="14086" max="14086" width="13.6640625" style="29" customWidth="1"/>
    <col min="14087" max="14328" width="13.6640625" style="29"/>
    <col min="14329" max="14329" width="22.109375" style="29" customWidth="1"/>
    <col min="14330" max="14336" width="13.6640625" style="29" customWidth="1"/>
    <col min="14337" max="14337" width="15.88671875" style="29" customWidth="1"/>
    <col min="14338" max="14338" width="16.5546875" style="29" bestFit="1" customWidth="1"/>
    <col min="14339" max="14339" width="13.6640625" style="29" customWidth="1"/>
    <col min="14340" max="14340" width="17.109375" style="29" bestFit="1" customWidth="1"/>
    <col min="14341" max="14341" width="4" style="29" customWidth="1"/>
    <col min="14342" max="14342" width="13.6640625" style="29" customWidth="1"/>
    <col min="14343" max="14584" width="13.6640625" style="29"/>
    <col min="14585" max="14585" width="22.109375" style="29" customWidth="1"/>
    <col min="14586" max="14592" width="13.6640625" style="29" customWidth="1"/>
    <col min="14593" max="14593" width="15.88671875" style="29" customWidth="1"/>
    <col min="14594" max="14594" width="16.5546875" style="29" bestFit="1" customWidth="1"/>
    <col min="14595" max="14595" width="13.6640625" style="29" customWidth="1"/>
    <col min="14596" max="14596" width="17.109375" style="29" bestFit="1" customWidth="1"/>
    <col min="14597" max="14597" width="4" style="29" customWidth="1"/>
    <col min="14598" max="14598" width="13.6640625" style="29" customWidth="1"/>
    <col min="14599" max="14840" width="13.6640625" style="29"/>
    <col min="14841" max="14841" width="22.109375" style="29" customWidth="1"/>
    <col min="14842" max="14848" width="13.6640625" style="29" customWidth="1"/>
    <col min="14849" max="14849" width="15.88671875" style="29" customWidth="1"/>
    <col min="14850" max="14850" width="16.5546875" style="29" bestFit="1" customWidth="1"/>
    <col min="14851" max="14851" width="13.6640625" style="29" customWidth="1"/>
    <col min="14852" max="14852" width="17.109375" style="29" bestFit="1" customWidth="1"/>
    <col min="14853" max="14853" width="4" style="29" customWidth="1"/>
    <col min="14854" max="14854" width="13.6640625" style="29" customWidth="1"/>
    <col min="14855" max="15096" width="13.6640625" style="29"/>
    <col min="15097" max="15097" width="22.109375" style="29" customWidth="1"/>
    <col min="15098" max="15104" width="13.6640625" style="29" customWidth="1"/>
    <col min="15105" max="15105" width="15.88671875" style="29" customWidth="1"/>
    <col min="15106" max="15106" width="16.5546875" style="29" bestFit="1" customWidth="1"/>
    <col min="15107" max="15107" width="13.6640625" style="29" customWidth="1"/>
    <col min="15108" max="15108" width="17.109375" style="29" bestFit="1" customWidth="1"/>
    <col min="15109" max="15109" width="4" style="29" customWidth="1"/>
    <col min="15110" max="15110" width="13.6640625" style="29" customWidth="1"/>
    <col min="15111" max="15352" width="13.6640625" style="29"/>
    <col min="15353" max="15353" width="22.109375" style="29" customWidth="1"/>
    <col min="15354" max="15360" width="13.6640625" style="29" customWidth="1"/>
    <col min="15361" max="15361" width="15.88671875" style="29" customWidth="1"/>
    <col min="15362" max="15362" width="16.5546875" style="29" bestFit="1" customWidth="1"/>
    <col min="15363" max="15363" width="13.6640625" style="29" customWidth="1"/>
    <col min="15364" max="15364" width="17.109375" style="29" bestFit="1" customWidth="1"/>
    <col min="15365" max="15365" width="4" style="29" customWidth="1"/>
    <col min="15366" max="15366" width="13.6640625" style="29" customWidth="1"/>
    <col min="15367" max="15608" width="13.6640625" style="29"/>
    <col min="15609" max="15609" width="22.109375" style="29" customWidth="1"/>
    <col min="15610" max="15616" width="13.6640625" style="29" customWidth="1"/>
    <col min="15617" max="15617" width="15.88671875" style="29" customWidth="1"/>
    <col min="15618" max="15618" width="16.5546875" style="29" bestFit="1" customWidth="1"/>
    <col min="15619" max="15619" width="13.6640625" style="29" customWidth="1"/>
    <col min="15620" max="15620" width="17.109375" style="29" bestFit="1" customWidth="1"/>
    <col min="15621" max="15621" width="4" style="29" customWidth="1"/>
    <col min="15622" max="15622" width="13.6640625" style="29" customWidth="1"/>
    <col min="15623" max="15864" width="13.6640625" style="29"/>
    <col min="15865" max="15865" width="22.109375" style="29" customWidth="1"/>
    <col min="15866" max="15872" width="13.6640625" style="29" customWidth="1"/>
    <col min="15873" max="15873" width="15.88671875" style="29" customWidth="1"/>
    <col min="15874" max="15874" width="16.5546875" style="29" bestFit="1" customWidth="1"/>
    <col min="15875" max="15875" width="13.6640625" style="29" customWidth="1"/>
    <col min="15876" max="15876" width="17.109375" style="29" bestFit="1" customWidth="1"/>
    <col min="15877" max="15877" width="4" style="29" customWidth="1"/>
    <col min="15878" max="15878" width="13.6640625" style="29" customWidth="1"/>
    <col min="15879" max="16120" width="13.6640625" style="29"/>
    <col min="16121" max="16121" width="22.109375" style="29" customWidth="1"/>
    <col min="16122" max="16128" width="13.6640625" style="29" customWidth="1"/>
    <col min="16129" max="16129" width="15.88671875" style="29" customWidth="1"/>
    <col min="16130" max="16130" width="16.5546875" style="29" bestFit="1" customWidth="1"/>
    <col min="16131" max="16131" width="13.6640625" style="29" customWidth="1"/>
    <col min="16132" max="16132" width="17.109375" style="29" bestFit="1" customWidth="1"/>
    <col min="16133" max="16133" width="4" style="29" customWidth="1"/>
    <col min="16134" max="16134" width="13.6640625" style="29" customWidth="1"/>
    <col min="16135" max="16384" width="13.6640625" style="29"/>
  </cols>
  <sheetData>
    <row r="1" spans="1:27" s="23" customFormat="1">
      <c r="A1" s="502" t="s">
        <v>5</v>
      </c>
      <c r="B1" s="177"/>
      <c r="C1" s="177"/>
      <c r="D1" s="177"/>
      <c r="E1" s="100"/>
      <c r="F1" s="100"/>
      <c r="G1" s="178"/>
      <c r="H1" s="100"/>
      <c r="I1" s="100"/>
    </row>
    <row r="2" spans="1:27" s="23" customFormat="1" ht="48.6">
      <c r="A2" s="100"/>
      <c r="B2" s="177"/>
      <c r="C2" s="177"/>
      <c r="D2" s="177"/>
      <c r="E2" s="179"/>
      <c r="F2" s="471" t="s">
        <v>254</v>
      </c>
      <c r="G2" s="471" t="s">
        <v>255</v>
      </c>
      <c r="H2" s="179"/>
      <c r="I2" s="100"/>
    </row>
    <row r="3" spans="1:27" s="23" customFormat="1" ht="15.6">
      <c r="A3" s="39" t="str">
        <f>'2-Kosten'!A3</f>
        <v>Naam opdrachtgever</v>
      </c>
      <c r="B3" s="158">
        <f>'2-Kosten'!B3</f>
        <v>0</v>
      </c>
      <c r="C3" s="158"/>
      <c r="D3" s="158"/>
      <c r="E3" s="179"/>
      <c r="F3" s="472" t="s">
        <v>256</v>
      </c>
      <c r="G3" s="473"/>
      <c r="H3" s="179"/>
      <c r="I3" s="517" t="s">
        <v>96</v>
      </c>
    </row>
    <row r="4" spans="1:27" s="23" customFormat="1" ht="15.6">
      <c r="A4" s="39" t="str">
        <f>'2-Kosten'!A4</f>
        <v>Calculatie onderdeel</v>
      </c>
      <c r="B4" s="158" t="str">
        <f ca="1">MID(CELL("bestandsnaam",$D$9),SEARCH("]",CELL("bestandsnaam",$D$9),1)+1,256)</f>
        <v>10-Vloeronderhoud</v>
      </c>
      <c r="C4" s="158"/>
      <c r="D4" s="158"/>
      <c r="E4" s="179"/>
      <c r="F4" s="472" t="s">
        <v>257</v>
      </c>
      <c r="G4" s="473"/>
      <c r="H4" s="179"/>
      <c r="I4" s="517" t="s">
        <v>97</v>
      </c>
    </row>
    <row r="5" spans="1:27" s="23" customFormat="1" ht="15.6">
      <c r="A5" s="39" t="str">
        <f>'2-Kosten'!A5</f>
        <v>Gebouw/plaats</v>
      </c>
      <c r="B5" s="158">
        <f>'2-Kosten'!B5</f>
        <v>0</v>
      </c>
      <c r="C5" s="158"/>
      <c r="D5" s="158"/>
      <c r="E5" s="179"/>
      <c r="F5" s="474" t="s">
        <v>258</v>
      </c>
      <c r="G5" s="473"/>
      <c r="H5" s="179"/>
      <c r="I5" s="517" t="s">
        <v>99</v>
      </c>
      <c r="K5" s="25"/>
      <c r="L5" s="24"/>
      <c r="M5" s="25"/>
      <c r="N5" s="25"/>
      <c r="O5" s="24"/>
      <c r="P5" s="26"/>
      <c r="Q5" s="25"/>
      <c r="R5" s="24"/>
      <c r="S5" s="25"/>
      <c r="T5" s="25"/>
      <c r="U5" s="24"/>
      <c r="V5" s="25"/>
      <c r="W5" s="25"/>
      <c r="X5" s="24"/>
      <c r="Y5" s="25"/>
      <c r="Z5" s="25"/>
      <c r="AA5" s="24"/>
    </row>
    <row r="6" spans="1:27" s="23" customFormat="1" ht="17.25" customHeight="1">
      <c r="A6" s="39" t="str">
        <f>'2-Kosten'!A6</f>
        <v>Referentie nummer</v>
      </c>
      <c r="B6" s="158">
        <f>'2-Kosten'!B6</f>
        <v>0</v>
      </c>
      <c r="C6" s="158"/>
      <c r="D6" s="158"/>
      <c r="E6" s="179"/>
      <c r="F6" s="472" t="s">
        <v>259</v>
      </c>
      <c r="G6" s="473"/>
      <c r="H6" s="179"/>
      <c r="I6" s="517" t="s">
        <v>98</v>
      </c>
      <c r="K6" s="27"/>
      <c r="L6" s="28"/>
      <c r="M6" s="25"/>
      <c r="N6" s="27"/>
      <c r="O6" s="28"/>
      <c r="P6" s="26"/>
      <c r="Q6" s="27"/>
      <c r="R6" s="28"/>
      <c r="S6" s="25"/>
      <c r="T6" s="27"/>
      <c r="U6" s="28"/>
      <c r="V6" s="25"/>
      <c r="W6" s="27"/>
      <c r="X6" s="28"/>
      <c r="Y6" s="25"/>
      <c r="Z6" s="27"/>
      <c r="AA6" s="28"/>
    </row>
    <row r="7" spans="1:27" s="23" customFormat="1" ht="17.25" customHeight="1">
      <c r="A7" s="39" t="str">
        <f>'2-Kosten'!A7</f>
        <v>Naam dienstverlener</v>
      </c>
      <c r="B7" s="158">
        <f>'2-Kosten'!B7</f>
        <v>0</v>
      </c>
      <c r="C7" s="158"/>
      <c r="D7" s="122"/>
      <c r="E7" s="179"/>
      <c r="F7" s="472" t="s">
        <v>260</v>
      </c>
      <c r="G7" s="473"/>
      <c r="H7" s="179"/>
      <c r="I7" s="180"/>
    </row>
    <row r="8" spans="1:27" s="23" customFormat="1" ht="17.25" customHeight="1">
      <c r="A8" s="39" t="str">
        <f>'2-Kosten'!A8</f>
        <v>Prijspeil</v>
      </c>
      <c r="B8" s="293">
        <f>'2-Kosten'!B8</f>
        <v>46023</v>
      </c>
      <c r="C8" s="293"/>
      <c r="D8" s="49"/>
      <c r="E8" s="179"/>
      <c r="F8" s="472" t="s">
        <v>246</v>
      </c>
      <c r="G8" s="473"/>
      <c r="H8" s="179"/>
      <c r="I8" s="180"/>
    </row>
    <row r="9" spans="1:27" s="23" customFormat="1" ht="17.25" customHeight="1">
      <c r="A9" s="179"/>
      <c r="B9" s="179"/>
      <c r="C9" s="179"/>
      <c r="D9" s="179"/>
      <c r="E9" s="179"/>
      <c r="F9" s="472" t="s">
        <v>246</v>
      </c>
      <c r="G9" s="473"/>
      <c r="H9" s="179"/>
      <c r="I9" s="180"/>
    </row>
    <row r="10" spans="1:27" s="23" customFormat="1" ht="17.25" customHeight="1">
      <c r="A10" s="179"/>
      <c r="B10" s="179"/>
      <c r="C10" s="179"/>
      <c r="D10" s="179"/>
      <c r="E10" s="179"/>
      <c r="F10" s="472" t="s">
        <v>246</v>
      </c>
      <c r="G10" s="473"/>
      <c r="H10" s="179"/>
      <c r="I10" s="180"/>
    </row>
    <row r="11" spans="1:27" s="23" customFormat="1" ht="15.6">
      <c r="A11" s="181"/>
      <c r="B11" s="179"/>
      <c r="C11" s="179"/>
      <c r="D11" s="179"/>
      <c r="E11" s="182"/>
      <c r="F11" s="179"/>
      <c r="G11" s="183"/>
      <c r="H11" s="182"/>
      <c r="I11" s="180"/>
    </row>
    <row r="12" spans="1:27" s="30" customFormat="1" ht="43.5" customHeight="1">
      <c r="A12" s="475" t="s">
        <v>23</v>
      </c>
      <c r="B12" s="476" t="s">
        <v>261</v>
      </c>
      <c r="C12" s="476" t="s">
        <v>83</v>
      </c>
      <c r="D12" s="476" t="s">
        <v>254</v>
      </c>
      <c r="E12" s="471" t="s">
        <v>248</v>
      </c>
      <c r="F12" s="476" t="s">
        <v>249</v>
      </c>
      <c r="G12" s="476" t="s">
        <v>250</v>
      </c>
      <c r="H12" s="476" t="s">
        <v>251</v>
      </c>
      <c r="I12" s="476" t="s">
        <v>252</v>
      </c>
    </row>
    <row r="13" spans="1:27">
      <c r="A13" s="514" t="s">
        <v>286</v>
      </c>
      <c r="B13" s="474" t="s">
        <v>262</v>
      </c>
      <c r="C13" s="472" t="s">
        <v>97</v>
      </c>
      <c r="D13" s="472" t="s">
        <v>258</v>
      </c>
      <c r="E13" s="487">
        <v>85</v>
      </c>
      <c r="F13" s="488">
        <f t="shared" ref="F13:F14" si="0">VLOOKUP(D13,$F$3:$G$10,2,FALSE)</f>
        <v>0</v>
      </c>
      <c r="G13" s="489">
        <f t="shared" ref="G13:G14" si="1">(E13*F13)</f>
        <v>0</v>
      </c>
      <c r="H13" s="490" t="s">
        <v>263</v>
      </c>
      <c r="I13" s="489">
        <f t="shared" ref="I13:I14" si="2">H13*G13</f>
        <v>0</v>
      </c>
    </row>
    <row r="14" spans="1:27">
      <c r="A14" s="514" t="s">
        <v>286</v>
      </c>
      <c r="B14" s="474" t="s">
        <v>264</v>
      </c>
      <c r="C14" s="472" t="s">
        <v>99</v>
      </c>
      <c r="D14" s="472" t="s">
        <v>258</v>
      </c>
      <c r="E14" s="487">
        <v>2748</v>
      </c>
      <c r="F14" s="488">
        <f t="shared" si="0"/>
        <v>0</v>
      </c>
      <c r="G14" s="489">
        <f t="shared" si="1"/>
        <v>0</v>
      </c>
      <c r="H14" s="490" t="s">
        <v>253</v>
      </c>
      <c r="I14" s="489">
        <f t="shared" si="2"/>
        <v>0</v>
      </c>
    </row>
    <row r="15" spans="1:27">
      <c r="B15" s="184"/>
      <c r="C15" s="184"/>
      <c r="D15" s="184"/>
      <c r="E15" s="294"/>
      <c r="F15" s="294"/>
      <c r="G15" s="294"/>
      <c r="H15" s="294"/>
      <c r="I15" s="294"/>
    </row>
    <row r="16" spans="1:27">
      <c r="A16" s="511" t="s">
        <v>38</v>
      </c>
      <c r="B16" s="512"/>
      <c r="C16" s="513"/>
      <c r="D16" s="513"/>
      <c r="E16" s="482">
        <f>SUM(E13:E14)</f>
        <v>2833</v>
      </c>
      <c r="F16" s="483"/>
      <c r="G16" s="484"/>
      <c r="H16" s="485"/>
      <c r="I16" s="486">
        <f>SUM(I13:I14)</f>
        <v>0</v>
      </c>
    </row>
  </sheetData>
  <autoFilter ref="A12:AA16" xr:uid="{00000000-0009-0000-0000-00000A000000}"/>
  <phoneticPr fontId="72" type="noConversion"/>
  <dataValidations count="2">
    <dataValidation type="list" allowBlank="1" showInputMessage="1" showErrorMessage="1" sqref="D13:D14" xr:uid="{C736CBFC-1565-48E2-8F22-639725E5CCC0}">
      <formula1>$F$3:$F$10</formula1>
    </dataValidation>
    <dataValidation type="list" allowBlank="1" showInputMessage="1" showErrorMessage="1" sqref="C13:C14" xr:uid="{A56903C8-3F9B-4311-A32C-6EDB70957856}">
      <formula1>$I$3:$I$6</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U39"/>
  <sheetViews>
    <sheetView showGridLines="0" zoomScale="90" zoomScaleNormal="90" zoomScaleSheetLayoutView="50" zoomScalePageLayoutView="50" workbookViewId="0">
      <pane ySplit="10" topLeftCell="A11" activePane="bottomLeft" state="frozen"/>
      <selection activeCell="B1" sqref="B1"/>
      <selection pane="bottomLeft" activeCell="I17" sqref="I17:I19"/>
    </sheetView>
  </sheetViews>
  <sheetFormatPr defaultColWidth="13.6640625" defaultRowHeight="13.2"/>
  <cols>
    <col min="1" max="1" width="31.6640625" style="184" customWidth="1"/>
    <col min="2" max="2" width="29.109375" style="185" customWidth="1"/>
    <col min="3" max="3" width="27.5546875" style="185" customWidth="1"/>
    <col min="4" max="4" width="12.109375" style="184" customWidth="1"/>
    <col min="5" max="5" width="21.109375" style="186" bestFit="1" customWidth="1"/>
    <col min="6" max="6" width="16.109375" style="187" customWidth="1"/>
    <col min="7" max="7" width="2.6640625" style="184" customWidth="1"/>
    <col min="8" max="8" width="32" style="184" customWidth="1"/>
    <col min="9" max="9" width="27.88671875" style="184" customWidth="1"/>
    <col min="10" max="10" width="52.6640625" style="184" customWidth="1"/>
    <col min="11" max="11" width="60" style="184" customWidth="1"/>
    <col min="12" max="243" width="13.6640625" style="29"/>
    <col min="244" max="244" width="22.109375" style="29" customWidth="1"/>
    <col min="245" max="251" width="13.6640625" style="29" customWidth="1"/>
    <col min="252" max="252" width="15.88671875" style="29" customWidth="1"/>
    <col min="253" max="253" width="16.5546875" style="29" bestFit="1" customWidth="1"/>
    <col min="254" max="254" width="13.6640625" style="29" customWidth="1"/>
    <col min="255" max="255" width="17.109375" style="29" bestFit="1" customWidth="1"/>
    <col min="256" max="256" width="4" style="29" customWidth="1"/>
    <col min="257" max="257" width="13.6640625" style="29" customWidth="1"/>
    <col min="258" max="499" width="13.6640625" style="29"/>
    <col min="500" max="500" width="22.109375" style="29" customWidth="1"/>
    <col min="501" max="507" width="13.6640625" style="29" customWidth="1"/>
    <col min="508" max="508" width="15.88671875" style="29" customWidth="1"/>
    <col min="509" max="509" width="16.5546875" style="29" bestFit="1" customWidth="1"/>
    <col min="510" max="510" width="13.6640625" style="29" customWidth="1"/>
    <col min="511" max="511" width="17.109375" style="29" bestFit="1" customWidth="1"/>
    <col min="512" max="512" width="4" style="29" customWidth="1"/>
    <col min="513" max="513" width="13.6640625" style="29" customWidth="1"/>
    <col min="514" max="755" width="13.6640625" style="29"/>
    <col min="756" max="756" width="22.109375" style="29" customWidth="1"/>
    <col min="757" max="763" width="13.6640625" style="29" customWidth="1"/>
    <col min="764" max="764" width="15.88671875" style="29" customWidth="1"/>
    <col min="765" max="765" width="16.5546875" style="29" bestFit="1" customWidth="1"/>
    <col min="766" max="766" width="13.6640625" style="29" customWidth="1"/>
    <col min="767" max="767" width="17.109375" style="29" bestFit="1" customWidth="1"/>
    <col min="768" max="768" width="4" style="29" customWidth="1"/>
    <col min="769" max="769" width="13.6640625" style="29" customWidth="1"/>
    <col min="770" max="1011" width="13.6640625" style="29"/>
    <col min="1012" max="1012" width="22.109375" style="29" customWidth="1"/>
    <col min="1013" max="1019" width="13.6640625" style="29" customWidth="1"/>
    <col min="1020" max="1020" width="15.88671875" style="29" customWidth="1"/>
    <col min="1021" max="1021" width="16.5546875" style="29" bestFit="1" customWidth="1"/>
    <col min="1022" max="1022" width="13.6640625" style="29" customWidth="1"/>
    <col min="1023" max="1023" width="17.109375" style="29" bestFit="1" customWidth="1"/>
    <col min="1024" max="1024" width="4" style="29" customWidth="1"/>
    <col min="1025" max="1025" width="13.6640625" style="29" customWidth="1"/>
    <col min="1026" max="1267" width="13.6640625" style="29"/>
    <col min="1268" max="1268" width="22.109375" style="29" customWidth="1"/>
    <col min="1269" max="1275" width="13.6640625" style="29" customWidth="1"/>
    <col min="1276" max="1276" width="15.88671875" style="29" customWidth="1"/>
    <col min="1277" max="1277" width="16.5546875" style="29" bestFit="1" customWidth="1"/>
    <col min="1278" max="1278" width="13.6640625" style="29" customWidth="1"/>
    <col min="1279" max="1279" width="17.109375" style="29" bestFit="1" customWidth="1"/>
    <col min="1280" max="1280" width="4" style="29" customWidth="1"/>
    <col min="1281" max="1281" width="13.6640625" style="29" customWidth="1"/>
    <col min="1282" max="1523" width="13.6640625" style="29"/>
    <col min="1524" max="1524" width="22.109375" style="29" customWidth="1"/>
    <col min="1525" max="1531" width="13.6640625" style="29" customWidth="1"/>
    <col min="1532" max="1532" width="15.88671875" style="29" customWidth="1"/>
    <col min="1533" max="1533" width="16.5546875" style="29" bestFit="1" customWidth="1"/>
    <col min="1534" max="1534" width="13.6640625" style="29" customWidth="1"/>
    <col min="1535" max="1535" width="17.109375" style="29" bestFit="1" customWidth="1"/>
    <col min="1536" max="1536" width="4" style="29" customWidth="1"/>
    <col min="1537" max="1537" width="13.6640625" style="29" customWidth="1"/>
    <col min="1538" max="1779" width="13.6640625" style="29"/>
    <col min="1780" max="1780" width="22.109375" style="29" customWidth="1"/>
    <col min="1781" max="1787" width="13.6640625" style="29" customWidth="1"/>
    <col min="1788" max="1788" width="15.88671875" style="29" customWidth="1"/>
    <col min="1789" max="1789" width="16.5546875" style="29" bestFit="1" customWidth="1"/>
    <col min="1790" max="1790" width="13.6640625" style="29" customWidth="1"/>
    <col min="1791" max="1791" width="17.109375" style="29" bestFit="1" customWidth="1"/>
    <col min="1792" max="1792" width="4" style="29" customWidth="1"/>
    <col min="1793" max="1793" width="13.6640625" style="29" customWidth="1"/>
    <col min="1794" max="2035" width="13.6640625" style="29"/>
    <col min="2036" max="2036" width="22.109375" style="29" customWidth="1"/>
    <col min="2037" max="2043" width="13.6640625" style="29" customWidth="1"/>
    <col min="2044" max="2044" width="15.88671875" style="29" customWidth="1"/>
    <col min="2045" max="2045" width="16.5546875" style="29" bestFit="1" customWidth="1"/>
    <col min="2046" max="2046" width="13.6640625" style="29" customWidth="1"/>
    <col min="2047" max="2047" width="17.109375" style="29" bestFit="1" customWidth="1"/>
    <col min="2048" max="2048" width="4" style="29" customWidth="1"/>
    <col min="2049" max="2049" width="13.6640625" style="29" customWidth="1"/>
    <col min="2050" max="2291" width="13.6640625" style="29"/>
    <col min="2292" max="2292" width="22.109375" style="29" customWidth="1"/>
    <col min="2293" max="2299" width="13.6640625" style="29" customWidth="1"/>
    <col min="2300" max="2300" width="15.88671875" style="29" customWidth="1"/>
    <col min="2301" max="2301" width="16.5546875" style="29" bestFit="1" customWidth="1"/>
    <col min="2302" max="2302" width="13.6640625" style="29" customWidth="1"/>
    <col min="2303" max="2303" width="17.109375" style="29" bestFit="1" customWidth="1"/>
    <col min="2304" max="2304" width="4" style="29" customWidth="1"/>
    <col min="2305" max="2305" width="13.6640625" style="29" customWidth="1"/>
    <col min="2306" max="2547" width="13.6640625" style="29"/>
    <col min="2548" max="2548" width="22.109375" style="29" customWidth="1"/>
    <col min="2549" max="2555" width="13.6640625" style="29" customWidth="1"/>
    <col min="2556" max="2556" width="15.88671875" style="29" customWidth="1"/>
    <col min="2557" max="2557" width="16.5546875" style="29" bestFit="1" customWidth="1"/>
    <col min="2558" max="2558" width="13.6640625" style="29" customWidth="1"/>
    <col min="2559" max="2559" width="17.109375" style="29" bestFit="1" customWidth="1"/>
    <col min="2560" max="2560" width="4" style="29" customWidth="1"/>
    <col min="2561" max="2561" width="13.6640625" style="29" customWidth="1"/>
    <col min="2562" max="2803" width="13.6640625" style="29"/>
    <col min="2804" max="2804" width="22.109375" style="29" customWidth="1"/>
    <col min="2805" max="2811" width="13.6640625" style="29" customWidth="1"/>
    <col min="2812" max="2812" width="15.88671875" style="29" customWidth="1"/>
    <col min="2813" max="2813" width="16.5546875" style="29" bestFit="1" customWidth="1"/>
    <col min="2814" max="2814" width="13.6640625" style="29" customWidth="1"/>
    <col min="2815" max="2815" width="17.109375" style="29" bestFit="1" customWidth="1"/>
    <col min="2816" max="2816" width="4" style="29" customWidth="1"/>
    <col min="2817" max="2817" width="13.6640625" style="29" customWidth="1"/>
    <col min="2818" max="3059" width="13.6640625" style="29"/>
    <col min="3060" max="3060" width="22.109375" style="29" customWidth="1"/>
    <col min="3061" max="3067" width="13.6640625" style="29" customWidth="1"/>
    <col min="3068" max="3068" width="15.88671875" style="29" customWidth="1"/>
    <col min="3069" max="3069" width="16.5546875" style="29" bestFit="1" customWidth="1"/>
    <col min="3070" max="3070" width="13.6640625" style="29" customWidth="1"/>
    <col min="3071" max="3071" width="17.109375" style="29" bestFit="1" customWidth="1"/>
    <col min="3072" max="3072" width="4" style="29" customWidth="1"/>
    <col min="3073" max="3073" width="13.6640625" style="29" customWidth="1"/>
    <col min="3074" max="3315" width="13.6640625" style="29"/>
    <col min="3316" max="3316" width="22.109375" style="29" customWidth="1"/>
    <col min="3317" max="3323" width="13.6640625" style="29" customWidth="1"/>
    <col min="3324" max="3324" width="15.88671875" style="29" customWidth="1"/>
    <col min="3325" max="3325" width="16.5546875" style="29" bestFit="1" customWidth="1"/>
    <col min="3326" max="3326" width="13.6640625" style="29" customWidth="1"/>
    <col min="3327" max="3327" width="17.109375" style="29" bestFit="1" customWidth="1"/>
    <col min="3328" max="3328" width="4" style="29" customWidth="1"/>
    <col min="3329" max="3329" width="13.6640625" style="29" customWidth="1"/>
    <col min="3330" max="3571" width="13.6640625" style="29"/>
    <col min="3572" max="3572" width="22.109375" style="29" customWidth="1"/>
    <col min="3573" max="3579" width="13.6640625" style="29" customWidth="1"/>
    <col min="3580" max="3580" width="15.88671875" style="29" customWidth="1"/>
    <col min="3581" max="3581" width="16.5546875" style="29" bestFit="1" customWidth="1"/>
    <col min="3582" max="3582" width="13.6640625" style="29" customWidth="1"/>
    <col min="3583" max="3583" width="17.109375" style="29" bestFit="1" customWidth="1"/>
    <col min="3584" max="3584" width="4" style="29" customWidth="1"/>
    <col min="3585" max="3585" width="13.6640625" style="29" customWidth="1"/>
    <col min="3586" max="3827" width="13.6640625" style="29"/>
    <col min="3828" max="3828" width="22.109375" style="29" customWidth="1"/>
    <col min="3829" max="3835" width="13.6640625" style="29" customWidth="1"/>
    <col min="3836" max="3836" width="15.88671875" style="29" customWidth="1"/>
    <col min="3837" max="3837" width="16.5546875" style="29" bestFit="1" customWidth="1"/>
    <col min="3838" max="3838" width="13.6640625" style="29" customWidth="1"/>
    <col min="3839" max="3839" width="17.109375" style="29" bestFit="1" customWidth="1"/>
    <col min="3840" max="3840" width="4" style="29" customWidth="1"/>
    <col min="3841" max="3841" width="13.6640625" style="29" customWidth="1"/>
    <col min="3842" max="4083" width="13.6640625" style="29"/>
    <col min="4084" max="4084" width="22.109375" style="29" customWidth="1"/>
    <col min="4085" max="4091" width="13.6640625" style="29" customWidth="1"/>
    <col min="4092" max="4092" width="15.88671875" style="29" customWidth="1"/>
    <col min="4093" max="4093" width="16.5546875" style="29" bestFit="1" customWidth="1"/>
    <col min="4094" max="4094" width="13.6640625" style="29" customWidth="1"/>
    <col min="4095" max="4095" width="17.109375" style="29" bestFit="1" customWidth="1"/>
    <col min="4096" max="4096" width="4" style="29" customWidth="1"/>
    <col min="4097" max="4097" width="13.6640625" style="29" customWidth="1"/>
    <col min="4098" max="4339" width="13.6640625" style="29"/>
    <col min="4340" max="4340" width="22.109375" style="29" customWidth="1"/>
    <col min="4341" max="4347" width="13.6640625" style="29" customWidth="1"/>
    <col min="4348" max="4348" width="15.88671875" style="29" customWidth="1"/>
    <col min="4349" max="4349" width="16.5546875" style="29" bestFit="1" customWidth="1"/>
    <col min="4350" max="4350" width="13.6640625" style="29" customWidth="1"/>
    <col min="4351" max="4351" width="17.109375" style="29" bestFit="1" customWidth="1"/>
    <col min="4352" max="4352" width="4" style="29" customWidth="1"/>
    <col min="4353" max="4353" width="13.6640625" style="29" customWidth="1"/>
    <col min="4354" max="4595" width="13.6640625" style="29"/>
    <col min="4596" max="4596" width="22.109375" style="29" customWidth="1"/>
    <col min="4597" max="4603" width="13.6640625" style="29" customWidth="1"/>
    <col min="4604" max="4604" width="15.88671875" style="29" customWidth="1"/>
    <col min="4605" max="4605" width="16.5546875" style="29" bestFit="1" customWidth="1"/>
    <col min="4606" max="4606" width="13.6640625" style="29" customWidth="1"/>
    <col min="4607" max="4607" width="17.109375" style="29" bestFit="1" customWidth="1"/>
    <col min="4608" max="4608" width="4" style="29" customWidth="1"/>
    <col min="4609" max="4609" width="13.6640625" style="29" customWidth="1"/>
    <col min="4610" max="4851" width="13.6640625" style="29"/>
    <col min="4852" max="4852" width="22.109375" style="29" customWidth="1"/>
    <col min="4853" max="4859" width="13.6640625" style="29" customWidth="1"/>
    <col min="4860" max="4860" width="15.88671875" style="29" customWidth="1"/>
    <col min="4861" max="4861" width="16.5546875" style="29" bestFit="1" customWidth="1"/>
    <col min="4862" max="4862" width="13.6640625" style="29" customWidth="1"/>
    <col min="4863" max="4863" width="17.109375" style="29" bestFit="1" customWidth="1"/>
    <col min="4864" max="4864" width="4" style="29" customWidth="1"/>
    <col min="4865" max="4865" width="13.6640625" style="29" customWidth="1"/>
    <col min="4866" max="5107" width="13.6640625" style="29"/>
    <col min="5108" max="5108" width="22.109375" style="29" customWidth="1"/>
    <col min="5109" max="5115" width="13.6640625" style="29" customWidth="1"/>
    <col min="5116" max="5116" width="15.88671875" style="29" customWidth="1"/>
    <col min="5117" max="5117" width="16.5546875" style="29" bestFit="1" customWidth="1"/>
    <col min="5118" max="5118" width="13.6640625" style="29" customWidth="1"/>
    <col min="5119" max="5119" width="17.109375" style="29" bestFit="1" customWidth="1"/>
    <col min="5120" max="5120" width="4" style="29" customWidth="1"/>
    <col min="5121" max="5121" width="13.6640625" style="29" customWidth="1"/>
    <col min="5122" max="5363" width="13.6640625" style="29"/>
    <col min="5364" max="5364" width="22.109375" style="29" customWidth="1"/>
    <col min="5365" max="5371" width="13.6640625" style="29" customWidth="1"/>
    <col min="5372" max="5372" width="15.88671875" style="29" customWidth="1"/>
    <col min="5373" max="5373" width="16.5546875" style="29" bestFit="1" customWidth="1"/>
    <col min="5374" max="5374" width="13.6640625" style="29" customWidth="1"/>
    <col min="5375" max="5375" width="17.109375" style="29" bestFit="1" customWidth="1"/>
    <col min="5376" max="5376" width="4" style="29" customWidth="1"/>
    <col min="5377" max="5377" width="13.6640625" style="29" customWidth="1"/>
    <col min="5378" max="5619" width="13.6640625" style="29"/>
    <col min="5620" max="5620" width="22.109375" style="29" customWidth="1"/>
    <col min="5621" max="5627" width="13.6640625" style="29" customWidth="1"/>
    <col min="5628" max="5628" width="15.88671875" style="29" customWidth="1"/>
    <col min="5629" max="5629" width="16.5546875" style="29" bestFit="1" customWidth="1"/>
    <col min="5630" max="5630" width="13.6640625" style="29" customWidth="1"/>
    <col min="5631" max="5631" width="17.109375" style="29" bestFit="1" customWidth="1"/>
    <col min="5632" max="5632" width="4" style="29" customWidth="1"/>
    <col min="5633" max="5633" width="13.6640625" style="29" customWidth="1"/>
    <col min="5634" max="5875" width="13.6640625" style="29"/>
    <col min="5876" max="5876" width="22.109375" style="29" customWidth="1"/>
    <col min="5877" max="5883" width="13.6640625" style="29" customWidth="1"/>
    <col min="5884" max="5884" width="15.88671875" style="29" customWidth="1"/>
    <col min="5885" max="5885" width="16.5546875" style="29" bestFit="1" customWidth="1"/>
    <col min="5886" max="5886" width="13.6640625" style="29" customWidth="1"/>
    <col min="5887" max="5887" width="17.109375" style="29" bestFit="1" customWidth="1"/>
    <col min="5888" max="5888" width="4" style="29" customWidth="1"/>
    <col min="5889" max="5889" width="13.6640625" style="29" customWidth="1"/>
    <col min="5890" max="6131" width="13.6640625" style="29"/>
    <col min="6132" max="6132" width="22.109375" style="29" customWidth="1"/>
    <col min="6133" max="6139" width="13.6640625" style="29" customWidth="1"/>
    <col min="6140" max="6140" width="15.88671875" style="29" customWidth="1"/>
    <col min="6141" max="6141" width="16.5546875" style="29" bestFit="1" customWidth="1"/>
    <col min="6142" max="6142" width="13.6640625" style="29" customWidth="1"/>
    <col min="6143" max="6143" width="17.109375" style="29" bestFit="1" customWidth="1"/>
    <col min="6144" max="6144" width="4" style="29" customWidth="1"/>
    <col min="6145" max="6145" width="13.6640625" style="29" customWidth="1"/>
    <col min="6146" max="6387" width="13.6640625" style="29"/>
    <col min="6388" max="6388" width="22.109375" style="29" customWidth="1"/>
    <col min="6389" max="6395" width="13.6640625" style="29" customWidth="1"/>
    <col min="6396" max="6396" width="15.88671875" style="29" customWidth="1"/>
    <col min="6397" max="6397" width="16.5546875" style="29" bestFit="1" customWidth="1"/>
    <col min="6398" max="6398" width="13.6640625" style="29" customWidth="1"/>
    <col min="6399" max="6399" width="17.109375" style="29" bestFit="1" customWidth="1"/>
    <col min="6400" max="6400" width="4" style="29" customWidth="1"/>
    <col min="6401" max="6401" width="13.6640625" style="29" customWidth="1"/>
    <col min="6402" max="6643" width="13.6640625" style="29"/>
    <col min="6644" max="6644" width="22.109375" style="29" customWidth="1"/>
    <col min="6645" max="6651" width="13.6640625" style="29" customWidth="1"/>
    <col min="6652" max="6652" width="15.88671875" style="29" customWidth="1"/>
    <col min="6653" max="6653" width="16.5546875" style="29" bestFit="1" customWidth="1"/>
    <col min="6654" max="6654" width="13.6640625" style="29" customWidth="1"/>
    <col min="6655" max="6655" width="17.109375" style="29" bestFit="1" customWidth="1"/>
    <col min="6656" max="6656" width="4" style="29" customWidth="1"/>
    <col min="6657" max="6657" width="13.6640625" style="29" customWidth="1"/>
    <col min="6658" max="6899" width="13.6640625" style="29"/>
    <col min="6900" max="6900" width="22.109375" style="29" customWidth="1"/>
    <col min="6901" max="6907" width="13.6640625" style="29" customWidth="1"/>
    <col min="6908" max="6908" width="15.88671875" style="29" customWidth="1"/>
    <col min="6909" max="6909" width="16.5546875" style="29" bestFit="1" customWidth="1"/>
    <col min="6910" max="6910" width="13.6640625" style="29" customWidth="1"/>
    <col min="6911" max="6911" width="17.109375" style="29" bestFit="1" customWidth="1"/>
    <col min="6912" max="6912" width="4" style="29" customWidth="1"/>
    <col min="6913" max="6913" width="13.6640625" style="29" customWidth="1"/>
    <col min="6914" max="7155" width="13.6640625" style="29"/>
    <col min="7156" max="7156" width="22.109375" style="29" customWidth="1"/>
    <col min="7157" max="7163" width="13.6640625" style="29" customWidth="1"/>
    <col min="7164" max="7164" width="15.88671875" style="29" customWidth="1"/>
    <col min="7165" max="7165" width="16.5546875" style="29" bestFit="1" customWidth="1"/>
    <col min="7166" max="7166" width="13.6640625" style="29" customWidth="1"/>
    <col min="7167" max="7167" width="17.109375" style="29" bestFit="1" customWidth="1"/>
    <col min="7168" max="7168" width="4" style="29" customWidth="1"/>
    <col min="7169" max="7169" width="13.6640625" style="29" customWidth="1"/>
    <col min="7170" max="7411" width="13.6640625" style="29"/>
    <col min="7412" max="7412" width="22.109375" style="29" customWidth="1"/>
    <col min="7413" max="7419" width="13.6640625" style="29" customWidth="1"/>
    <col min="7420" max="7420" width="15.88671875" style="29" customWidth="1"/>
    <col min="7421" max="7421" width="16.5546875" style="29" bestFit="1" customWidth="1"/>
    <col min="7422" max="7422" width="13.6640625" style="29" customWidth="1"/>
    <col min="7423" max="7423" width="17.109375" style="29" bestFit="1" customWidth="1"/>
    <col min="7424" max="7424" width="4" style="29" customWidth="1"/>
    <col min="7425" max="7425" width="13.6640625" style="29" customWidth="1"/>
    <col min="7426" max="7667" width="13.6640625" style="29"/>
    <col min="7668" max="7668" width="22.109375" style="29" customWidth="1"/>
    <col min="7669" max="7675" width="13.6640625" style="29" customWidth="1"/>
    <col min="7676" max="7676" width="15.88671875" style="29" customWidth="1"/>
    <col min="7677" max="7677" width="16.5546875" style="29" bestFit="1" customWidth="1"/>
    <col min="7678" max="7678" width="13.6640625" style="29" customWidth="1"/>
    <col min="7679" max="7679" width="17.109375" style="29" bestFit="1" customWidth="1"/>
    <col min="7680" max="7680" width="4" style="29" customWidth="1"/>
    <col min="7681" max="7681" width="13.6640625" style="29" customWidth="1"/>
    <col min="7682" max="7923" width="13.6640625" style="29"/>
    <col min="7924" max="7924" width="22.109375" style="29" customWidth="1"/>
    <col min="7925" max="7931" width="13.6640625" style="29" customWidth="1"/>
    <col min="7932" max="7932" width="15.88671875" style="29" customWidth="1"/>
    <col min="7933" max="7933" width="16.5546875" style="29" bestFit="1" customWidth="1"/>
    <col min="7934" max="7934" width="13.6640625" style="29" customWidth="1"/>
    <col min="7935" max="7935" width="17.109375" style="29" bestFit="1" customWidth="1"/>
    <col min="7936" max="7936" width="4" style="29" customWidth="1"/>
    <col min="7937" max="7937" width="13.6640625" style="29" customWidth="1"/>
    <col min="7938" max="8179" width="13.6640625" style="29"/>
    <col min="8180" max="8180" width="22.109375" style="29" customWidth="1"/>
    <col min="8181" max="8187" width="13.6640625" style="29" customWidth="1"/>
    <col min="8188" max="8188" width="15.88671875" style="29" customWidth="1"/>
    <col min="8189" max="8189" width="16.5546875" style="29" bestFit="1" customWidth="1"/>
    <col min="8190" max="8190" width="13.6640625" style="29" customWidth="1"/>
    <col min="8191" max="8191" width="17.109375" style="29" bestFit="1" customWidth="1"/>
    <col min="8192" max="8192" width="4" style="29" customWidth="1"/>
    <col min="8193" max="8193" width="13.6640625" style="29" customWidth="1"/>
    <col min="8194" max="8435" width="13.6640625" style="29"/>
    <col min="8436" max="8436" width="22.109375" style="29" customWidth="1"/>
    <col min="8437" max="8443" width="13.6640625" style="29" customWidth="1"/>
    <col min="8444" max="8444" width="15.88671875" style="29" customWidth="1"/>
    <col min="8445" max="8445" width="16.5546875" style="29" bestFit="1" customWidth="1"/>
    <col min="8446" max="8446" width="13.6640625" style="29" customWidth="1"/>
    <col min="8447" max="8447" width="17.109375" style="29" bestFit="1" customWidth="1"/>
    <col min="8448" max="8448" width="4" style="29" customWidth="1"/>
    <col min="8449" max="8449" width="13.6640625" style="29" customWidth="1"/>
    <col min="8450" max="8691" width="13.6640625" style="29"/>
    <col min="8692" max="8692" width="22.109375" style="29" customWidth="1"/>
    <col min="8693" max="8699" width="13.6640625" style="29" customWidth="1"/>
    <col min="8700" max="8700" width="15.88671875" style="29" customWidth="1"/>
    <col min="8701" max="8701" width="16.5546875" style="29" bestFit="1" customWidth="1"/>
    <col min="8702" max="8702" width="13.6640625" style="29" customWidth="1"/>
    <col min="8703" max="8703" width="17.109375" style="29" bestFit="1" customWidth="1"/>
    <col min="8704" max="8704" width="4" style="29" customWidth="1"/>
    <col min="8705" max="8705" width="13.6640625" style="29" customWidth="1"/>
    <col min="8706" max="8947" width="13.6640625" style="29"/>
    <col min="8948" max="8948" width="22.109375" style="29" customWidth="1"/>
    <col min="8949" max="8955" width="13.6640625" style="29" customWidth="1"/>
    <col min="8956" max="8956" width="15.88671875" style="29" customWidth="1"/>
    <col min="8957" max="8957" width="16.5546875" style="29" bestFit="1" customWidth="1"/>
    <col min="8958" max="8958" width="13.6640625" style="29" customWidth="1"/>
    <col min="8959" max="8959" width="17.109375" style="29" bestFit="1" customWidth="1"/>
    <col min="8960" max="8960" width="4" style="29" customWidth="1"/>
    <col min="8961" max="8961" width="13.6640625" style="29" customWidth="1"/>
    <col min="8962" max="9203" width="13.6640625" style="29"/>
    <col min="9204" max="9204" width="22.109375" style="29" customWidth="1"/>
    <col min="9205" max="9211" width="13.6640625" style="29" customWidth="1"/>
    <col min="9212" max="9212" width="15.88671875" style="29" customWidth="1"/>
    <col min="9213" max="9213" width="16.5546875" style="29" bestFit="1" customWidth="1"/>
    <col min="9214" max="9214" width="13.6640625" style="29" customWidth="1"/>
    <col min="9215" max="9215" width="17.109375" style="29" bestFit="1" customWidth="1"/>
    <col min="9216" max="9216" width="4" style="29" customWidth="1"/>
    <col min="9217" max="9217" width="13.6640625" style="29" customWidth="1"/>
    <col min="9218" max="9459" width="13.6640625" style="29"/>
    <col min="9460" max="9460" width="22.109375" style="29" customWidth="1"/>
    <col min="9461" max="9467" width="13.6640625" style="29" customWidth="1"/>
    <col min="9468" max="9468" width="15.88671875" style="29" customWidth="1"/>
    <col min="9469" max="9469" width="16.5546875" style="29" bestFit="1" customWidth="1"/>
    <col min="9470" max="9470" width="13.6640625" style="29" customWidth="1"/>
    <col min="9471" max="9471" width="17.109375" style="29" bestFit="1" customWidth="1"/>
    <col min="9472" max="9472" width="4" style="29" customWidth="1"/>
    <col min="9473" max="9473" width="13.6640625" style="29" customWidth="1"/>
    <col min="9474" max="9715" width="13.6640625" style="29"/>
    <col min="9716" max="9716" width="22.109375" style="29" customWidth="1"/>
    <col min="9717" max="9723" width="13.6640625" style="29" customWidth="1"/>
    <col min="9724" max="9724" width="15.88671875" style="29" customWidth="1"/>
    <col min="9725" max="9725" width="16.5546875" style="29" bestFit="1" customWidth="1"/>
    <col min="9726" max="9726" width="13.6640625" style="29" customWidth="1"/>
    <col min="9727" max="9727" width="17.109375" style="29" bestFit="1" customWidth="1"/>
    <col min="9728" max="9728" width="4" style="29" customWidth="1"/>
    <col min="9729" max="9729" width="13.6640625" style="29" customWidth="1"/>
    <col min="9730" max="9971" width="13.6640625" style="29"/>
    <col min="9972" max="9972" width="22.109375" style="29" customWidth="1"/>
    <col min="9973" max="9979" width="13.6640625" style="29" customWidth="1"/>
    <col min="9980" max="9980" width="15.88671875" style="29" customWidth="1"/>
    <col min="9981" max="9981" width="16.5546875" style="29" bestFit="1" customWidth="1"/>
    <col min="9982" max="9982" width="13.6640625" style="29" customWidth="1"/>
    <col min="9983" max="9983" width="17.109375" style="29" bestFit="1" customWidth="1"/>
    <col min="9984" max="9984" width="4" style="29" customWidth="1"/>
    <col min="9985" max="9985" width="13.6640625" style="29" customWidth="1"/>
    <col min="9986" max="10227" width="13.6640625" style="29"/>
    <col min="10228" max="10228" width="22.109375" style="29" customWidth="1"/>
    <col min="10229" max="10235" width="13.6640625" style="29" customWidth="1"/>
    <col min="10236" max="10236" width="15.88671875" style="29" customWidth="1"/>
    <col min="10237" max="10237" width="16.5546875" style="29" bestFit="1" customWidth="1"/>
    <col min="10238" max="10238" width="13.6640625" style="29" customWidth="1"/>
    <col min="10239" max="10239" width="17.109375" style="29" bestFit="1" customWidth="1"/>
    <col min="10240" max="10240" width="4" style="29" customWidth="1"/>
    <col min="10241" max="10241" width="13.6640625" style="29" customWidth="1"/>
    <col min="10242" max="10483" width="13.6640625" style="29"/>
    <col min="10484" max="10484" width="22.109375" style="29" customWidth="1"/>
    <col min="10485" max="10491" width="13.6640625" style="29" customWidth="1"/>
    <col min="10492" max="10492" width="15.88671875" style="29" customWidth="1"/>
    <col min="10493" max="10493" width="16.5546875" style="29" bestFit="1" customWidth="1"/>
    <col min="10494" max="10494" width="13.6640625" style="29" customWidth="1"/>
    <col min="10495" max="10495" width="17.109375" style="29" bestFit="1" customWidth="1"/>
    <col min="10496" max="10496" width="4" style="29" customWidth="1"/>
    <col min="10497" max="10497" width="13.6640625" style="29" customWidth="1"/>
    <col min="10498" max="10739" width="13.6640625" style="29"/>
    <col min="10740" max="10740" width="22.109375" style="29" customWidth="1"/>
    <col min="10741" max="10747" width="13.6640625" style="29" customWidth="1"/>
    <col min="10748" max="10748" width="15.88671875" style="29" customWidth="1"/>
    <col min="10749" max="10749" width="16.5546875" style="29" bestFit="1" customWidth="1"/>
    <col min="10750" max="10750" width="13.6640625" style="29" customWidth="1"/>
    <col min="10751" max="10751" width="17.109375" style="29" bestFit="1" customWidth="1"/>
    <col min="10752" max="10752" width="4" style="29" customWidth="1"/>
    <col min="10753" max="10753" width="13.6640625" style="29" customWidth="1"/>
    <col min="10754" max="10995" width="13.6640625" style="29"/>
    <col min="10996" max="10996" width="22.109375" style="29" customWidth="1"/>
    <col min="10997" max="11003" width="13.6640625" style="29" customWidth="1"/>
    <col min="11004" max="11004" width="15.88671875" style="29" customWidth="1"/>
    <col min="11005" max="11005" width="16.5546875" style="29" bestFit="1" customWidth="1"/>
    <col min="11006" max="11006" width="13.6640625" style="29" customWidth="1"/>
    <col min="11007" max="11007" width="17.109375" style="29" bestFit="1" customWidth="1"/>
    <col min="11008" max="11008" width="4" style="29" customWidth="1"/>
    <col min="11009" max="11009" width="13.6640625" style="29" customWidth="1"/>
    <col min="11010" max="11251" width="13.6640625" style="29"/>
    <col min="11252" max="11252" width="22.109375" style="29" customWidth="1"/>
    <col min="11253" max="11259" width="13.6640625" style="29" customWidth="1"/>
    <col min="11260" max="11260" width="15.88671875" style="29" customWidth="1"/>
    <col min="11261" max="11261" width="16.5546875" style="29" bestFit="1" customWidth="1"/>
    <col min="11262" max="11262" width="13.6640625" style="29" customWidth="1"/>
    <col min="11263" max="11263" width="17.109375" style="29" bestFit="1" customWidth="1"/>
    <col min="11264" max="11264" width="4" style="29" customWidth="1"/>
    <col min="11265" max="11265" width="13.6640625" style="29" customWidth="1"/>
    <col min="11266" max="11507" width="13.6640625" style="29"/>
    <col min="11508" max="11508" width="22.109375" style="29" customWidth="1"/>
    <col min="11509" max="11515" width="13.6640625" style="29" customWidth="1"/>
    <col min="11516" max="11516" width="15.88671875" style="29" customWidth="1"/>
    <col min="11517" max="11517" width="16.5546875" style="29" bestFit="1" customWidth="1"/>
    <col min="11518" max="11518" width="13.6640625" style="29" customWidth="1"/>
    <col min="11519" max="11519" width="17.109375" style="29" bestFit="1" customWidth="1"/>
    <col min="11520" max="11520" width="4" style="29" customWidth="1"/>
    <col min="11521" max="11521" width="13.6640625" style="29" customWidth="1"/>
    <col min="11522" max="11763" width="13.6640625" style="29"/>
    <col min="11764" max="11764" width="22.109375" style="29" customWidth="1"/>
    <col min="11765" max="11771" width="13.6640625" style="29" customWidth="1"/>
    <col min="11772" max="11772" width="15.88671875" style="29" customWidth="1"/>
    <col min="11773" max="11773" width="16.5546875" style="29" bestFit="1" customWidth="1"/>
    <col min="11774" max="11774" width="13.6640625" style="29" customWidth="1"/>
    <col min="11775" max="11775" width="17.109375" style="29" bestFit="1" customWidth="1"/>
    <col min="11776" max="11776" width="4" style="29" customWidth="1"/>
    <col min="11777" max="11777" width="13.6640625" style="29" customWidth="1"/>
    <col min="11778" max="12019" width="13.6640625" style="29"/>
    <col min="12020" max="12020" width="22.109375" style="29" customWidth="1"/>
    <col min="12021" max="12027" width="13.6640625" style="29" customWidth="1"/>
    <col min="12028" max="12028" width="15.88671875" style="29" customWidth="1"/>
    <col min="12029" max="12029" width="16.5546875" style="29" bestFit="1" customWidth="1"/>
    <col min="12030" max="12030" width="13.6640625" style="29" customWidth="1"/>
    <col min="12031" max="12031" width="17.109375" style="29" bestFit="1" customWidth="1"/>
    <col min="12032" max="12032" width="4" style="29" customWidth="1"/>
    <col min="12033" max="12033" width="13.6640625" style="29" customWidth="1"/>
    <col min="12034" max="12275" width="13.6640625" style="29"/>
    <col min="12276" max="12276" width="22.109375" style="29" customWidth="1"/>
    <col min="12277" max="12283" width="13.6640625" style="29" customWidth="1"/>
    <col min="12284" max="12284" width="15.88671875" style="29" customWidth="1"/>
    <col min="12285" max="12285" width="16.5546875" style="29" bestFit="1" customWidth="1"/>
    <col min="12286" max="12286" width="13.6640625" style="29" customWidth="1"/>
    <col min="12287" max="12287" width="17.109375" style="29" bestFit="1" customWidth="1"/>
    <col min="12288" max="12288" width="4" style="29" customWidth="1"/>
    <col min="12289" max="12289" width="13.6640625" style="29" customWidth="1"/>
    <col min="12290" max="12531" width="13.6640625" style="29"/>
    <col min="12532" max="12532" width="22.109375" style="29" customWidth="1"/>
    <col min="12533" max="12539" width="13.6640625" style="29" customWidth="1"/>
    <col min="12540" max="12540" width="15.88671875" style="29" customWidth="1"/>
    <col min="12541" max="12541" width="16.5546875" style="29" bestFit="1" customWidth="1"/>
    <col min="12542" max="12542" width="13.6640625" style="29" customWidth="1"/>
    <col min="12543" max="12543" width="17.109375" style="29" bestFit="1" customWidth="1"/>
    <col min="12544" max="12544" width="4" style="29" customWidth="1"/>
    <col min="12545" max="12545" width="13.6640625" style="29" customWidth="1"/>
    <col min="12546" max="12787" width="13.6640625" style="29"/>
    <col min="12788" max="12788" width="22.109375" style="29" customWidth="1"/>
    <col min="12789" max="12795" width="13.6640625" style="29" customWidth="1"/>
    <col min="12796" max="12796" width="15.88671875" style="29" customWidth="1"/>
    <col min="12797" max="12797" width="16.5546875" style="29" bestFit="1" customWidth="1"/>
    <col min="12798" max="12798" width="13.6640625" style="29" customWidth="1"/>
    <col min="12799" max="12799" width="17.109375" style="29" bestFit="1" customWidth="1"/>
    <col min="12800" max="12800" width="4" style="29" customWidth="1"/>
    <col min="12801" max="12801" width="13.6640625" style="29" customWidth="1"/>
    <col min="12802" max="13043" width="13.6640625" style="29"/>
    <col min="13044" max="13044" width="22.109375" style="29" customWidth="1"/>
    <col min="13045" max="13051" width="13.6640625" style="29" customWidth="1"/>
    <col min="13052" max="13052" width="15.88671875" style="29" customWidth="1"/>
    <col min="13053" max="13053" width="16.5546875" style="29" bestFit="1" customWidth="1"/>
    <col min="13054" max="13054" width="13.6640625" style="29" customWidth="1"/>
    <col min="13055" max="13055" width="17.109375" style="29" bestFit="1" customWidth="1"/>
    <col min="13056" max="13056" width="4" style="29" customWidth="1"/>
    <col min="13057" max="13057" width="13.6640625" style="29" customWidth="1"/>
    <col min="13058" max="13299" width="13.6640625" style="29"/>
    <col min="13300" max="13300" width="22.109375" style="29" customWidth="1"/>
    <col min="13301" max="13307" width="13.6640625" style="29" customWidth="1"/>
    <col min="13308" max="13308" width="15.88671875" style="29" customWidth="1"/>
    <col min="13309" max="13309" width="16.5546875" style="29" bestFit="1" customWidth="1"/>
    <col min="13310" max="13310" width="13.6640625" style="29" customWidth="1"/>
    <col min="13311" max="13311" width="17.109375" style="29" bestFit="1" customWidth="1"/>
    <col min="13312" max="13312" width="4" style="29" customWidth="1"/>
    <col min="13313" max="13313" width="13.6640625" style="29" customWidth="1"/>
    <col min="13314" max="13555" width="13.6640625" style="29"/>
    <col min="13556" max="13556" width="22.109375" style="29" customWidth="1"/>
    <col min="13557" max="13563" width="13.6640625" style="29" customWidth="1"/>
    <col min="13564" max="13564" width="15.88671875" style="29" customWidth="1"/>
    <col min="13565" max="13565" width="16.5546875" style="29" bestFit="1" customWidth="1"/>
    <col min="13566" max="13566" width="13.6640625" style="29" customWidth="1"/>
    <col min="13567" max="13567" width="17.109375" style="29" bestFit="1" customWidth="1"/>
    <col min="13568" max="13568" width="4" style="29" customWidth="1"/>
    <col min="13569" max="13569" width="13.6640625" style="29" customWidth="1"/>
    <col min="13570" max="13811" width="13.6640625" style="29"/>
    <col min="13812" max="13812" width="22.109375" style="29" customWidth="1"/>
    <col min="13813" max="13819" width="13.6640625" style="29" customWidth="1"/>
    <col min="13820" max="13820" width="15.88671875" style="29" customWidth="1"/>
    <col min="13821" max="13821" width="16.5546875" style="29" bestFit="1" customWidth="1"/>
    <col min="13822" max="13822" width="13.6640625" style="29" customWidth="1"/>
    <col min="13823" max="13823" width="17.109375" style="29" bestFit="1" customWidth="1"/>
    <col min="13824" max="13824" width="4" style="29" customWidth="1"/>
    <col min="13825" max="13825" width="13.6640625" style="29" customWidth="1"/>
    <col min="13826" max="14067" width="13.6640625" style="29"/>
    <col min="14068" max="14068" width="22.109375" style="29" customWidth="1"/>
    <col min="14069" max="14075" width="13.6640625" style="29" customWidth="1"/>
    <col min="14076" max="14076" width="15.88671875" style="29" customWidth="1"/>
    <col min="14077" max="14077" width="16.5546875" style="29" bestFit="1" customWidth="1"/>
    <col min="14078" max="14078" width="13.6640625" style="29" customWidth="1"/>
    <col min="14079" max="14079" width="17.109375" style="29" bestFit="1" customWidth="1"/>
    <col min="14080" max="14080" width="4" style="29" customWidth="1"/>
    <col min="14081" max="14081" width="13.6640625" style="29" customWidth="1"/>
    <col min="14082" max="14323" width="13.6640625" style="29"/>
    <col min="14324" max="14324" width="22.109375" style="29" customWidth="1"/>
    <col min="14325" max="14331" width="13.6640625" style="29" customWidth="1"/>
    <col min="14332" max="14332" width="15.88671875" style="29" customWidth="1"/>
    <col min="14333" max="14333" width="16.5546875" style="29" bestFit="1" customWidth="1"/>
    <col min="14334" max="14334" width="13.6640625" style="29" customWidth="1"/>
    <col min="14335" max="14335" width="17.109375" style="29" bestFit="1" customWidth="1"/>
    <col min="14336" max="14336" width="4" style="29" customWidth="1"/>
    <col min="14337" max="14337" width="13.6640625" style="29" customWidth="1"/>
    <col min="14338" max="14579" width="13.6640625" style="29"/>
    <col min="14580" max="14580" width="22.109375" style="29" customWidth="1"/>
    <col min="14581" max="14587" width="13.6640625" style="29" customWidth="1"/>
    <col min="14588" max="14588" width="15.88671875" style="29" customWidth="1"/>
    <col min="14589" max="14589" width="16.5546875" style="29" bestFit="1" customWidth="1"/>
    <col min="14590" max="14590" width="13.6640625" style="29" customWidth="1"/>
    <col min="14591" max="14591" width="17.109375" style="29" bestFit="1" customWidth="1"/>
    <col min="14592" max="14592" width="4" style="29" customWidth="1"/>
    <col min="14593" max="14593" width="13.6640625" style="29" customWidth="1"/>
    <col min="14594" max="14835" width="13.6640625" style="29"/>
    <col min="14836" max="14836" width="22.109375" style="29" customWidth="1"/>
    <col min="14837" max="14843" width="13.6640625" style="29" customWidth="1"/>
    <col min="14844" max="14844" width="15.88671875" style="29" customWidth="1"/>
    <col min="14845" max="14845" width="16.5546875" style="29" bestFit="1" customWidth="1"/>
    <col min="14846" max="14846" width="13.6640625" style="29" customWidth="1"/>
    <col min="14847" max="14847" width="17.109375" style="29" bestFit="1" customWidth="1"/>
    <col min="14848" max="14848" width="4" style="29" customWidth="1"/>
    <col min="14849" max="14849" width="13.6640625" style="29" customWidth="1"/>
    <col min="14850" max="15091" width="13.6640625" style="29"/>
    <col min="15092" max="15092" width="22.109375" style="29" customWidth="1"/>
    <col min="15093" max="15099" width="13.6640625" style="29" customWidth="1"/>
    <col min="15100" max="15100" width="15.88671875" style="29" customWidth="1"/>
    <col min="15101" max="15101" width="16.5546875" style="29" bestFit="1" customWidth="1"/>
    <col min="15102" max="15102" width="13.6640625" style="29" customWidth="1"/>
    <col min="15103" max="15103" width="17.109375" style="29" bestFit="1" customWidth="1"/>
    <col min="15104" max="15104" width="4" style="29" customWidth="1"/>
    <col min="15105" max="15105" width="13.6640625" style="29" customWidth="1"/>
    <col min="15106" max="15347" width="13.6640625" style="29"/>
    <col min="15348" max="15348" width="22.109375" style="29" customWidth="1"/>
    <col min="15349" max="15355" width="13.6640625" style="29" customWidth="1"/>
    <col min="15356" max="15356" width="15.88671875" style="29" customWidth="1"/>
    <col min="15357" max="15357" width="16.5546875" style="29" bestFit="1" customWidth="1"/>
    <col min="15358" max="15358" width="13.6640625" style="29" customWidth="1"/>
    <col min="15359" max="15359" width="17.109375" style="29" bestFit="1" customWidth="1"/>
    <col min="15360" max="15360" width="4" style="29" customWidth="1"/>
    <col min="15361" max="15361" width="13.6640625" style="29" customWidth="1"/>
    <col min="15362" max="15603" width="13.6640625" style="29"/>
    <col min="15604" max="15604" width="22.109375" style="29" customWidth="1"/>
    <col min="15605" max="15611" width="13.6640625" style="29" customWidth="1"/>
    <col min="15612" max="15612" width="15.88671875" style="29" customWidth="1"/>
    <col min="15613" max="15613" width="16.5546875" style="29" bestFit="1" customWidth="1"/>
    <col min="15614" max="15614" width="13.6640625" style="29" customWidth="1"/>
    <col min="15615" max="15615" width="17.109375" style="29" bestFit="1" customWidth="1"/>
    <col min="15616" max="15616" width="4" style="29" customWidth="1"/>
    <col min="15617" max="15617" width="13.6640625" style="29" customWidth="1"/>
    <col min="15618" max="15859" width="13.6640625" style="29"/>
    <col min="15860" max="15860" width="22.109375" style="29" customWidth="1"/>
    <col min="15861" max="15867" width="13.6640625" style="29" customWidth="1"/>
    <col min="15868" max="15868" width="15.88671875" style="29" customWidth="1"/>
    <col min="15869" max="15869" width="16.5546875" style="29" bestFit="1" customWidth="1"/>
    <col min="15870" max="15870" width="13.6640625" style="29" customWidth="1"/>
    <col min="15871" max="15871" width="17.109375" style="29" bestFit="1" customWidth="1"/>
    <col min="15872" max="15872" width="4" style="29" customWidth="1"/>
    <col min="15873" max="15873" width="13.6640625" style="29" customWidth="1"/>
    <col min="15874" max="16115" width="13.6640625" style="29"/>
    <col min="16116" max="16116" width="22.109375" style="29" customWidth="1"/>
    <col min="16117" max="16123" width="13.6640625" style="29" customWidth="1"/>
    <col min="16124" max="16124" width="15.88671875" style="29" customWidth="1"/>
    <col min="16125" max="16125" width="16.5546875" style="29" bestFit="1" customWidth="1"/>
    <col min="16126" max="16126" width="13.6640625" style="29" customWidth="1"/>
    <col min="16127" max="16127" width="17.109375" style="29" bestFit="1" customWidth="1"/>
    <col min="16128" max="16128" width="4" style="29" customWidth="1"/>
    <col min="16129" max="16129" width="13.6640625" style="29" customWidth="1"/>
    <col min="16130" max="16384" width="13.6640625" style="29"/>
  </cols>
  <sheetData>
    <row r="1" spans="1:21" s="23" customFormat="1">
      <c r="A1" s="502" t="s">
        <v>5</v>
      </c>
      <c r="B1" s="177"/>
      <c r="C1" s="177"/>
      <c r="D1" s="100"/>
      <c r="E1" s="100"/>
      <c r="F1" s="178"/>
      <c r="G1" s="179"/>
      <c r="H1" s="179"/>
      <c r="I1" s="179"/>
      <c r="J1" s="179"/>
      <c r="K1" s="179"/>
    </row>
    <row r="2" spans="1:21" s="23" customFormat="1" ht="13.2" customHeight="1">
      <c r="A2" s="100"/>
      <c r="B2" s="177"/>
      <c r="C2" s="177"/>
      <c r="D2" s="179"/>
      <c r="E2" s="179"/>
      <c r="F2" s="179"/>
      <c r="G2" s="179"/>
      <c r="H2" s="179"/>
      <c r="I2" s="179"/>
      <c r="J2" s="179"/>
      <c r="K2" s="179"/>
    </row>
    <row r="3" spans="1:21" s="23" customFormat="1" ht="15.6">
      <c r="A3" s="39" t="str">
        <f>'2-Kosten'!A3</f>
        <v>Naam opdrachtgever</v>
      </c>
      <c r="B3" s="158">
        <f>'2-Kosten'!B3</f>
        <v>0</v>
      </c>
      <c r="C3" s="158"/>
      <c r="D3" s="179"/>
      <c r="E3" s="179"/>
      <c r="F3" s="179"/>
      <c r="G3" s="179"/>
      <c r="H3" s="179"/>
      <c r="I3" s="179"/>
      <c r="J3" s="179"/>
      <c r="K3" s="179"/>
    </row>
    <row r="4" spans="1:21" s="23" customFormat="1" ht="15.6">
      <c r="A4" s="39" t="str">
        <f>'2-Kosten'!A4</f>
        <v>Calculatie onderdeel</v>
      </c>
      <c r="B4" s="158" t="str">
        <f ca="1">MID(CELL("bestandsnaam",$C$9),SEARCH("]",CELL("bestandsnaam",$C$9),1)+1,256)</f>
        <v>11-Sanitaire voorzieningen</v>
      </c>
      <c r="C4" s="158"/>
      <c r="D4" s="179"/>
      <c r="E4" s="179"/>
      <c r="F4" s="179"/>
      <c r="G4" s="179"/>
      <c r="H4" s="179"/>
      <c r="I4" s="179"/>
      <c r="J4" s="179"/>
      <c r="K4" s="179"/>
    </row>
    <row r="5" spans="1:21" s="23" customFormat="1" ht="15.6">
      <c r="A5" s="39" t="str">
        <f>'2-Kosten'!A5</f>
        <v>Gebouw/plaats</v>
      </c>
      <c r="B5" s="158">
        <f>'2-Kosten'!B5</f>
        <v>0</v>
      </c>
      <c r="C5" s="158"/>
      <c r="D5" s="179"/>
      <c r="E5" s="179"/>
      <c r="F5" s="179"/>
      <c r="G5" s="179"/>
      <c r="H5" s="179"/>
      <c r="I5" s="182"/>
      <c r="J5" s="182"/>
      <c r="K5" s="180"/>
      <c r="L5" s="24"/>
      <c r="M5" s="25"/>
      <c r="N5" s="25"/>
      <c r="O5" s="24"/>
      <c r="P5" s="25"/>
      <c r="Q5" s="25"/>
      <c r="R5" s="24"/>
      <c r="S5" s="25"/>
      <c r="T5" s="25"/>
      <c r="U5" s="24"/>
    </row>
    <row r="6" spans="1:21" s="23" customFormat="1" ht="17.25" customHeight="1">
      <c r="A6" s="39" t="str">
        <f>'2-Kosten'!A6</f>
        <v>Referentie nummer</v>
      </c>
      <c r="B6" s="158">
        <f>'2-Kosten'!B6</f>
        <v>0</v>
      </c>
      <c r="C6" s="158"/>
      <c r="D6" s="179"/>
      <c r="E6" s="179"/>
      <c r="F6" s="179"/>
      <c r="G6" s="179"/>
      <c r="H6" s="179"/>
      <c r="I6" s="182"/>
      <c r="J6" s="188"/>
      <c r="K6" s="189"/>
      <c r="L6" s="28"/>
      <c r="M6" s="25"/>
      <c r="N6" s="27"/>
      <c r="O6" s="28"/>
      <c r="P6" s="25"/>
      <c r="Q6" s="27"/>
      <c r="R6" s="28"/>
      <c r="S6" s="25"/>
      <c r="T6" s="27"/>
      <c r="U6" s="28"/>
    </row>
    <row r="7" spans="1:21" s="23" customFormat="1" ht="17.25" customHeight="1">
      <c r="A7" s="39" t="str">
        <f>'2-Kosten'!A7</f>
        <v>Naam dienstverlener</v>
      </c>
      <c r="B7" s="158">
        <f>'2-Kosten'!B7</f>
        <v>0</v>
      </c>
      <c r="C7" s="122"/>
      <c r="D7" s="179"/>
      <c r="E7" s="179"/>
      <c r="F7" s="179"/>
      <c r="G7" s="179"/>
      <c r="H7" s="179"/>
      <c r="I7" s="179"/>
      <c r="J7" s="179"/>
      <c r="K7" s="179"/>
    </row>
    <row r="8" spans="1:21" s="23" customFormat="1" ht="17.25" customHeight="1">
      <c r="A8" s="39" t="str">
        <f>'2-Kosten'!A8</f>
        <v>Prijspeil</v>
      </c>
      <c r="B8" s="293">
        <f>'2-Kosten'!B8</f>
        <v>46023</v>
      </c>
      <c r="C8" s="49"/>
      <c r="D8" s="179"/>
      <c r="E8" s="179"/>
      <c r="F8" s="179"/>
      <c r="G8" s="179"/>
      <c r="H8" s="179"/>
      <c r="I8" s="179"/>
      <c r="J8" s="179"/>
      <c r="K8" s="179"/>
    </row>
    <row r="9" spans="1:21" s="23" customFormat="1" ht="17.25" customHeight="1">
      <c r="A9" s="179"/>
      <c r="B9" s="179"/>
      <c r="C9" s="179"/>
      <c r="D9" s="179"/>
      <c r="E9" s="179"/>
      <c r="F9" s="179"/>
      <c r="G9" s="179"/>
      <c r="H9" s="179"/>
      <c r="I9" s="179"/>
      <c r="J9" s="179"/>
      <c r="K9" s="179"/>
    </row>
    <row r="10" spans="1:21" s="30" customFormat="1" ht="43.5" customHeight="1">
      <c r="A10" s="475" t="s">
        <v>23</v>
      </c>
      <c r="B10" s="475" t="s">
        <v>265</v>
      </c>
      <c r="C10" s="476" t="s">
        <v>247</v>
      </c>
      <c r="D10" s="471" t="s">
        <v>434</v>
      </c>
      <c r="E10" s="222" t="s">
        <v>433</v>
      </c>
      <c r="F10" s="223" t="s">
        <v>266</v>
      </c>
      <c r="G10" s="224"/>
      <c r="H10" s="225" t="s">
        <v>267</v>
      </c>
      <c r="I10" s="226" t="s">
        <v>268</v>
      </c>
      <c r="J10" s="226" t="s">
        <v>269</v>
      </c>
    </row>
    <row r="11" spans="1:21">
      <c r="A11" s="514" t="s">
        <v>286</v>
      </c>
      <c r="B11" s="531" t="s">
        <v>427</v>
      </c>
      <c r="C11" s="472"/>
      <c r="D11" s="533">
        <v>135</v>
      </c>
      <c r="E11" s="295"/>
      <c r="F11" s="478">
        <f>E11*D11</f>
        <v>0</v>
      </c>
      <c r="H11" s="531" t="s">
        <v>427</v>
      </c>
      <c r="I11" s="543" t="s">
        <v>428</v>
      </c>
      <c r="J11" s="543" t="s">
        <v>429</v>
      </c>
      <c r="K11" s="29"/>
    </row>
    <row r="12" spans="1:21" ht="26.4">
      <c r="A12" s="514" t="s">
        <v>286</v>
      </c>
      <c r="B12" s="531" t="s">
        <v>430</v>
      </c>
      <c r="C12" s="472"/>
      <c r="D12" s="533">
        <v>180</v>
      </c>
      <c r="E12" s="295"/>
      <c r="F12" s="534">
        <f>E12*D12</f>
        <v>0</v>
      </c>
      <c r="H12" s="190" t="s">
        <v>430</v>
      </c>
      <c r="I12" s="543"/>
      <c r="J12" s="543" t="s">
        <v>435</v>
      </c>
      <c r="K12" s="29"/>
    </row>
    <row r="13" spans="1:21">
      <c r="A13" s="514" t="s">
        <v>286</v>
      </c>
      <c r="B13" s="531" t="s">
        <v>431</v>
      </c>
      <c r="C13" s="474"/>
      <c r="D13" s="477">
        <v>90</v>
      </c>
      <c r="E13" s="295"/>
      <c r="F13" s="478">
        <f>E13*D13</f>
        <v>0</v>
      </c>
      <c r="H13" s="531" t="s">
        <v>431</v>
      </c>
      <c r="I13" s="543" t="s">
        <v>428</v>
      </c>
      <c r="J13" s="543" t="s">
        <v>436</v>
      </c>
      <c r="K13" s="29"/>
    </row>
    <row r="14" spans="1:21">
      <c r="A14" s="514" t="s">
        <v>286</v>
      </c>
      <c r="B14" s="190" t="s">
        <v>432</v>
      </c>
      <c r="C14" s="472"/>
      <c r="D14" s="477">
        <v>18</v>
      </c>
      <c r="E14" s="295"/>
      <c r="F14" s="478">
        <f>E14*D14</f>
        <v>0</v>
      </c>
      <c r="H14" s="190" t="s">
        <v>432</v>
      </c>
      <c r="I14" s="543" t="s">
        <v>428</v>
      </c>
      <c r="J14" s="543" t="s">
        <v>437</v>
      </c>
      <c r="K14" s="29"/>
    </row>
    <row r="15" spans="1:21">
      <c r="B15" s="184"/>
      <c r="C15" s="184"/>
      <c r="E15" s="184"/>
      <c r="F15" s="184"/>
    </row>
    <row r="16" spans="1:21" ht="16.2">
      <c r="A16" s="479" t="s">
        <v>38</v>
      </c>
      <c r="B16" s="480"/>
      <c r="C16" s="481"/>
      <c r="D16" s="491">
        <f>SUM(D11:D14)</f>
        <v>423</v>
      </c>
      <c r="E16" s="191"/>
      <c r="F16" s="535">
        <f>SUM(F11:F14)</f>
        <v>0</v>
      </c>
      <c r="H16" s="538"/>
      <c r="I16" s="539"/>
    </row>
    <row r="17" spans="1:9">
      <c r="H17" s="582"/>
      <c r="I17" s="582"/>
    </row>
    <row r="18" spans="1:9" ht="15.6">
      <c r="A18" s="192" t="s">
        <v>270</v>
      </c>
      <c r="B18" s="193"/>
      <c r="C18" s="162"/>
      <c r="D18" s="41"/>
      <c r="E18" s="165"/>
      <c r="H18" s="582"/>
      <c r="I18" s="582"/>
    </row>
    <row r="19" spans="1:9" ht="48.6" customHeight="1">
      <c r="A19" s="584" t="s">
        <v>271</v>
      </c>
      <c r="B19" s="584"/>
      <c r="C19" s="584"/>
      <c r="D19" s="584"/>
      <c r="E19" s="584"/>
      <c r="H19" s="582"/>
      <c r="I19" s="582"/>
    </row>
    <row r="20" spans="1:9">
      <c r="H20" s="540"/>
      <c r="I20" s="541"/>
    </row>
    <row r="21" spans="1:9">
      <c r="H21" s="300"/>
      <c r="I21" s="542"/>
    </row>
    <row r="22" spans="1:9">
      <c r="H22" s="300"/>
      <c r="I22" s="542"/>
    </row>
    <row r="23" spans="1:9">
      <c r="H23" s="300"/>
      <c r="I23" s="542"/>
    </row>
    <row r="24" spans="1:9">
      <c r="H24" s="300"/>
      <c r="I24" s="542"/>
    </row>
    <row r="25" spans="1:9">
      <c r="H25" s="300"/>
      <c r="I25" s="542"/>
    </row>
    <row r="26" spans="1:9">
      <c r="H26" s="300"/>
      <c r="I26" s="542"/>
    </row>
    <row r="27" spans="1:9">
      <c r="H27" s="583"/>
      <c r="I27" s="583"/>
    </row>
    <row r="28" spans="1:9">
      <c r="H28" s="583"/>
      <c r="I28" s="583"/>
    </row>
    <row r="39" ht="49.95" customHeight="1"/>
  </sheetData>
  <autoFilter ref="A10:V36" xr:uid="{00000000-0009-0000-0000-00000A000000}"/>
  <mergeCells count="4">
    <mergeCell ref="H17:H19"/>
    <mergeCell ref="I17:I19"/>
    <mergeCell ref="H27:I28"/>
    <mergeCell ref="A19:E19"/>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7"/>
  <sheetViews>
    <sheetView showGridLines="0" tabSelected="1" topLeftCell="B1" zoomScale="85" zoomScaleNormal="85" workbookViewId="0">
      <selection activeCell="H36" sqref="H36"/>
    </sheetView>
  </sheetViews>
  <sheetFormatPr defaultColWidth="9.109375" defaultRowHeight="13.2"/>
  <cols>
    <col min="1" max="2" width="35.6640625" style="179" bestFit="1" customWidth="1"/>
    <col min="3" max="3" width="23.6640625" style="179" customWidth="1"/>
    <col min="4" max="6" width="12.88671875" style="179" customWidth="1"/>
    <col min="7" max="7" width="13.5546875" style="179" customWidth="1"/>
    <col min="8" max="12" width="12.88671875" style="179" customWidth="1"/>
    <col min="13" max="13" width="1.6640625" style="179" customWidth="1"/>
    <col min="14" max="14" width="12.88671875" style="179" customWidth="1"/>
    <col min="15" max="15" width="1.5546875" style="179" customWidth="1"/>
    <col min="16" max="17" width="12.88671875" style="179" customWidth="1"/>
    <col min="18" max="16384" width="9.109375" style="23"/>
  </cols>
  <sheetData>
    <row r="1" spans="1:17">
      <c r="A1" s="502" t="s">
        <v>5</v>
      </c>
    </row>
    <row r="2" spans="1:17">
      <c r="A2" s="100"/>
      <c r="B2" s="194"/>
      <c r="C2" s="194"/>
    </row>
    <row r="3" spans="1:17" ht="15.6">
      <c r="A3" s="39" t="str">
        <f>'2-Kosten'!A3</f>
        <v>Naam opdrachtgever</v>
      </c>
      <c r="B3" s="158">
        <f>'2-Kosten'!B3</f>
        <v>0</v>
      </c>
    </row>
    <row r="4" spans="1:17" ht="15.6">
      <c r="A4" s="39" t="str">
        <f>'2-Kosten'!A4</f>
        <v>Calculatie onderdeel</v>
      </c>
      <c r="B4" s="48" t="str">
        <f ca="1">MID(CELL("bestandsnaam",$D$10),SEARCH("]",CELL("bestandsnaam",$D$10),1)+1,256)</f>
        <v>12-Machinekosten</v>
      </c>
    </row>
    <row r="5" spans="1:17" ht="15.6">
      <c r="A5" s="39" t="str">
        <f>'2-Kosten'!A5</f>
        <v>Gebouw/plaats</v>
      </c>
      <c r="B5" s="158">
        <f>'2-Kosten'!B5</f>
        <v>0</v>
      </c>
    </row>
    <row r="6" spans="1:17" ht="15.6">
      <c r="A6" s="39" t="str">
        <f>'2-Kosten'!A6</f>
        <v>Referentie nummer</v>
      </c>
      <c r="B6" s="158">
        <f>'2-Kosten'!B6</f>
        <v>0</v>
      </c>
    </row>
    <row r="7" spans="1:17" ht="15.6">
      <c r="A7" s="39" t="str">
        <f>'2-Kosten'!A7</f>
        <v>Naam dienstverlener</v>
      </c>
      <c r="B7" s="158">
        <f>'2-Kosten'!B7</f>
        <v>0</v>
      </c>
    </row>
    <row r="8" spans="1:17" ht="15.6">
      <c r="A8" s="39" t="str">
        <f>'2-Kosten'!A8</f>
        <v>Prijspeil</v>
      </c>
      <c r="B8" s="296">
        <f>'2-Kosten'!B8</f>
        <v>46023</v>
      </c>
    </row>
    <row r="9" spans="1:17" ht="15.6">
      <c r="A9" s="157"/>
    </row>
    <row r="10" spans="1:17" ht="15.6">
      <c r="A10" s="195"/>
      <c r="B10" s="195"/>
      <c r="C10" s="196"/>
    </row>
    <row r="11" spans="1:17" s="36" customFormat="1" ht="64.8">
      <c r="A11" s="227" t="s">
        <v>23</v>
      </c>
      <c r="B11" s="227" t="s">
        <v>272</v>
      </c>
      <c r="C11" s="227" t="s">
        <v>273</v>
      </c>
      <c r="D11" s="227" t="s">
        <v>274</v>
      </c>
      <c r="E11" s="227" t="s">
        <v>275</v>
      </c>
      <c r="F11" s="227" t="s">
        <v>276</v>
      </c>
      <c r="G11" s="227" t="s">
        <v>277</v>
      </c>
      <c r="H11" s="227" t="s">
        <v>278</v>
      </c>
      <c r="I11" s="227" t="s">
        <v>279</v>
      </c>
      <c r="J11" s="227" t="s">
        <v>280</v>
      </c>
      <c r="K11" s="227" t="s">
        <v>281</v>
      </c>
      <c r="L11" s="227" t="s">
        <v>282</v>
      </c>
      <c r="M11" s="228"/>
      <c r="N11" s="227" t="s">
        <v>283</v>
      </c>
      <c r="O11" s="228"/>
      <c r="P11" s="227" t="s">
        <v>284</v>
      </c>
      <c r="Q11" s="227" t="s">
        <v>285</v>
      </c>
    </row>
    <row r="12" spans="1:17">
      <c r="D12" s="297"/>
      <c r="E12" s="298"/>
      <c r="F12" s="299"/>
      <c r="G12" s="297"/>
      <c r="H12" s="297"/>
      <c r="I12" s="300"/>
      <c r="J12" s="298"/>
      <c r="K12" s="298"/>
      <c r="L12" s="298"/>
      <c r="M12" s="300"/>
      <c r="N12" s="301"/>
      <c r="O12" s="300"/>
      <c r="P12" s="299"/>
      <c r="Q12" s="300"/>
    </row>
    <row r="13" spans="1:17">
      <c r="A13" s="204"/>
      <c r="B13" s="204"/>
      <c r="C13" s="205"/>
      <c r="D13" s="302"/>
      <c r="E13" s="303">
        <f t="shared" ref="E13:E26" si="0">D13*$E$12</f>
        <v>0</v>
      </c>
      <c r="F13" s="304">
        <f>D13-E13</f>
        <v>0</v>
      </c>
      <c r="G13" s="305"/>
      <c r="H13" s="302"/>
      <c r="I13" s="306">
        <f>IF(G13=0,0,(F13-H13)/G13)</f>
        <v>0</v>
      </c>
      <c r="J13" s="307">
        <f>D13*$J$12</f>
        <v>0</v>
      </c>
      <c r="K13" s="306">
        <f>D13*$K$12</f>
        <v>0</v>
      </c>
      <c r="L13" s="308">
        <f>$L$12*D13</f>
        <v>0</v>
      </c>
      <c r="M13" s="300"/>
      <c r="N13" s="309">
        <f>SUM(I13:L13)</f>
        <v>0</v>
      </c>
      <c r="O13" s="300"/>
      <c r="P13" s="305"/>
      <c r="Q13" s="306">
        <f>N13*P13</f>
        <v>0</v>
      </c>
    </row>
    <row r="14" spans="1:17">
      <c r="A14" s="204"/>
      <c r="B14" s="204"/>
      <c r="C14" s="205"/>
      <c r="D14" s="302"/>
      <c r="E14" s="303">
        <f t="shared" si="0"/>
        <v>0</v>
      </c>
      <c r="F14" s="304">
        <f t="shared" ref="F14:F26" si="1">D14-E14</f>
        <v>0</v>
      </c>
      <c r="G14" s="305"/>
      <c r="H14" s="302"/>
      <c r="I14" s="306">
        <f t="shared" ref="I14:I26" si="2">IF(G14=0,0,(F14-H14)/G14)</f>
        <v>0</v>
      </c>
      <c r="J14" s="307">
        <f t="shared" ref="J14:J26" si="3">D14*$J$12</f>
        <v>0</v>
      </c>
      <c r="K14" s="306">
        <f t="shared" ref="K14:K26" si="4">D14*$K$12</f>
        <v>0</v>
      </c>
      <c r="L14" s="308">
        <f t="shared" ref="L14:L26" si="5">$L$12*D14</f>
        <v>0</v>
      </c>
      <c r="M14" s="300"/>
      <c r="N14" s="309">
        <f t="shared" ref="N14:N26" si="6">SUM(I14:L14)</f>
        <v>0</v>
      </c>
      <c r="O14" s="300"/>
      <c r="P14" s="305"/>
      <c r="Q14" s="306">
        <f t="shared" ref="Q14:Q26" si="7">N14*P14</f>
        <v>0</v>
      </c>
    </row>
    <row r="15" spans="1:17">
      <c r="A15" s="204"/>
      <c r="B15" s="204"/>
      <c r="C15" s="205"/>
      <c r="D15" s="302"/>
      <c r="E15" s="303">
        <f t="shared" si="0"/>
        <v>0</v>
      </c>
      <c r="F15" s="304">
        <f t="shared" si="1"/>
        <v>0</v>
      </c>
      <c r="G15" s="305"/>
      <c r="H15" s="302"/>
      <c r="I15" s="306">
        <f t="shared" si="2"/>
        <v>0</v>
      </c>
      <c r="J15" s="307">
        <f t="shared" si="3"/>
        <v>0</v>
      </c>
      <c r="K15" s="306">
        <f t="shared" si="4"/>
        <v>0</v>
      </c>
      <c r="L15" s="308">
        <f t="shared" si="5"/>
        <v>0</v>
      </c>
      <c r="M15" s="300"/>
      <c r="N15" s="309">
        <f t="shared" si="6"/>
        <v>0</v>
      </c>
      <c r="O15" s="300"/>
      <c r="P15" s="305"/>
      <c r="Q15" s="306">
        <f t="shared" si="7"/>
        <v>0</v>
      </c>
    </row>
    <row r="16" spans="1:17">
      <c r="A16" s="204"/>
      <c r="B16" s="204"/>
      <c r="C16" s="205"/>
      <c r="D16" s="302"/>
      <c r="E16" s="303">
        <f t="shared" si="0"/>
        <v>0</v>
      </c>
      <c r="F16" s="304">
        <f t="shared" si="1"/>
        <v>0</v>
      </c>
      <c r="G16" s="305"/>
      <c r="H16" s="302"/>
      <c r="I16" s="306">
        <f t="shared" si="2"/>
        <v>0</v>
      </c>
      <c r="J16" s="307">
        <f t="shared" si="3"/>
        <v>0</v>
      </c>
      <c r="K16" s="306">
        <f t="shared" si="4"/>
        <v>0</v>
      </c>
      <c r="L16" s="308">
        <f t="shared" si="5"/>
        <v>0</v>
      </c>
      <c r="M16" s="300"/>
      <c r="N16" s="309">
        <f t="shared" si="6"/>
        <v>0</v>
      </c>
      <c r="O16" s="300"/>
      <c r="P16" s="305"/>
      <c r="Q16" s="306">
        <f t="shared" si="7"/>
        <v>0</v>
      </c>
    </row>
    <row r="17" spans="1:18">
      <c r="A17" s="204"/>
      <c r="B17" s="204"/>
      <c r="C17" s="205"/>
      <c r="D17" s="302"/>
      <c r="E17" s="303">
        <f t="shared" si="0"/>
        <v>0</v>
      </c>
      <c r="F17" s="304">
        <f t="shared" si="1"/>
        <v>0</v>
      </c>
      <c r="G17" s="305"/>
      <c r="H17" s="302"/>
      <c r="I17" s="306">
        <f t="shared" si="2"/>
        <v>0</v>
      </c>
      <c r="J17" s="307">
        <f t="shared" si="3"/>
        <v>0</v>
      </c>
      <c r="K17" s="306">
        <f t="shared" si="4"/>
        <v>0</v>
      </c>
      <c r="L17" s="308">
        <f t="shared" si="5"/>
        <v>0</v>
      </c>
      <c r="M17" s="300"/>
      <c r="N17" s="309">
        <f t="shared" si="6"/>
        <v>0</v>
      </c>
      <c r="O17" s="300"/>
      <c r="P17" s="305"/>
      <c r="Q17" s="306">
        <f t="shared" si="7"/>
        <v>0</v>
      </c>
    </row>
    <row r="18" spans="1:18">
      <c r="A18" s="204"/>
      <c r="B18" s="204"/>
      <c r="C18" s="205"/>
      <c r="D18" s="302"/>
      <c r="E18" s="303">
        <f t="shared" si="0"/>
        <v>0</v>
      </c>
      <c r="F18" s="304">
        <f t="shared" si="1"/>
        <v>0</v>
      </c>
      <c r="G18" s="305"/>
      <c r="H18" s="302"/>
      <c r="I18" s="306">
        <f t="shared" si="2"/>
        <v>0</v>
      </c>
      <c r="J18" s="307">
        <f t="shared" si="3"/>
        <v>0</v>
      </c>
      <c r="K18" s="306">
        <f t="shared" si="4"/>
        <v>0</v>
      </c>
      <c r="L18" s="308">
        <f t="shared" si="5"/>
        <v>0</v>
      </c>
      <c r="M18" s="300"/>
      <c r="N18" s="309">
        <f t="shared" si="6"/>
        <v>0</v>
      </c>
      <c r="O18" s="300"/>
      <c r="P18" s="305"/>
      <c r="Q18" s="306">
        <f t="shared" si="7"/>
        <v>0</v>
      </c>
    </row>
    <row r="19" spans="1:18">
      <c r="A19" s="204"/>
      <c r="B19" s="204"/>
      <c r="C19" s="205"/>
      <c r="D19" s="302"/>
      <c r="E19" s="303">
        <f t="shared" si="0"/>
        <v>0</v>
      </c>
      <c r="F19" s="304">
        <f t="shared" si="1"/>
        <v>0</v>
      </c>
      <c r="G19" s="305"/>
      <c r="H19" s="302"/>
      <c r="I19" s="306">
        <f t="shared" si="2"/>
        <v>0</v>
      </c>
      <c r="J19" s="307">
        <f t="shared" si="3"/>
        <v>0</v>
      </c>
      <c r="K19" s="306">
        <f t="shared" si="4"/>
        <v>0</v>
      </c>
      <c r="L19" s="308">
        <f t="shared" si="5"/>
        <v>0</v>
      </c>
      <c r="M19" s="300"/>
      <c r="N19" s="309">
        <f t="shared" si="6"/>
        <v>0</v>
      </c>
      <c r="O19" s="300"/>
      <c r="P19" s="305"/>
      <c r="Q19" s="306">
        <f t="shared" si="7"/>
        <v>0</v>
      </c>
    </row>
    <row r="20" spans="1:18">
      <c r="A20" s="204"/>
      <c r="B20" s="204"/>
      <c r="C20" s="205"/>
      <c r="D20" s="302"/>
      <c r="E20" s="303">
        <f t="shared" si="0"/>
        <v>0</v>
      </c>
      <c r="F20" s="304">
        <f t="shared" si="1"/>
        <v>0</v>
      </c>
      <c r="G20" s="305"/>
      <c r="H20" s="302"/>
      <c r="I20" s="306">
        <f t="shared" si="2"/>
        <v>0</v>
      </c>
      <c r="J20" s="307">
        <f t="shared" si="3"/>
        <v>0</v>
      </c>
      <c r="K20" s="306">
        <f t="shared" si="4"/>
        <v>0</v>
      </c>
      <c r="L20" s="308">
        <f t="shared" si="5"/>
        <v>0</v>
      </c>
      <c r="M20" s="300"/>
      <c r="N20" s="309">
        <f t="shared" si="6"/>
        <v>0</v>
      </c>
      <c r="O20" s="300"/>
      <c r="P20" s="305"/>
      <c r="Q20" s="306">
        <f t="shared" si="7"/>
        <v>0</v>
      </c>
    </row>
    <row r="21" spans="1:18">
      <c r="A21" s="204"/>
      <c r="B21" s="204"/>
      <c r="C21" s="205"/>
      <c r="D21" s="302"/>
      <c r="E21" s="303">
        <f t="shared" si="0"/>
        <v>0</v>
      </c>
      <c r="F21" s="304">
        <f t="shared" si="1"/>
        <v>0</v>
      </c>
      <c r="G21" s="305"/>
      <c r="H21" s="302"/>
      <c r="I21" s="306">
        <f t="shared" si="2"/>
        <v>0</v>
      </c>
      <c r="J21" s="307">
        <f t="shared" si="3"/>
        <v>0</v>
      </c>
      <c r="K21" s="306">
        <f t="shared" si="4"/>
        <v>0</v>
      </c>
      <c r="L21" s="308">
        <f t="shared" si="5"/>
        <v>0</v>
      </c>
      <c r="M21" s="300"/>
      <c r="N21" s="309">
        <f t="shared" si="6"/>
        <v>0</v>
      </c>
      <c r="O21" s="300"/>
      <c r="P21" s="305"/>
      <c r="Q21" s="306">
        <f t="shared" si="7"/>
        <v>0</v>
      </c>
    </row>
    <row r="22" spans="1:18">
      <c r="A22" s="204"/>
      <c r="B22" s="204"/>
      <c r="C22" s="205"/>
      <c r="D22" s="302"/>
      <c r="E22" s="303">
        <f t="shared" si="0"/>
        <v>0</v>
      </c>
      <c r="F22" s="304">
        <f t="shared" si="1"/>
        <v>0</v>
      </c>
      <c r="G22" s="305"/>
      <c r="H22" s="302"/>
      <c r="I22" s="306">
        <f t="shared" si="2"/>
        <v>0</v>
      </c>
      <c r="J22" s="307">
        <f t="shared" si="3"/>
        <v>0</v>
      </c>
      <c r="K22" s="306">
        <f t="shared" si="4"/>
        <v>0</v>
      </c>
      <c r="L22" s="308">
        <f t="shared" si="5"/>
        <v>0</v>
      </c>
      <c r="M22" s="300"/>
      <c r="N22" s="309">
        <f t="shared" si="6"/>
        <v>0</v>
      </c>
      <c r="O22" s="300"/>
      <c r="P22" s="305"/>
      <c r="Q22" s="306">
        <f t="shared" si="7"/>
        <v>0</v>
      </c>
    </row>
    <row r="23" spans="1:18">
      <c r="A23" s="204"/>
      <c r="B23" s="204"/>
      <c r="C23" s="205"/>
      <c r="D23" s="302"/>
      <c r="E23" s="303">
        <f t="shared" si="0"/>
        <v>0</v>
      </c>
      <c r="F23" s="304">
        <f t="shared" si="1"/>
        <v>0</v>
      </c>
      <c r="G23" s="305"/>
      <c r="H23" s="302"/>
      <c r="I23" s="306">
        <f t="shared" si="2"/>
        <v>0</v>
      </c>
      <c r="J23" s="307">
        <f t="shared" si="3"/>
        <v>0</v>
      </c>
      <c r="K23" s="306">
        <f t="shared" si="4"/>
        <v>0</v>
      </c>
      <c r="L23" s="308">
        <f t="shared" si="5"/>
        <v>0</v>
      </c>
      <c r="M23" s="300"/>
      <c r="N23" s="309">
        <f t="shared" si="6"/>
        <v>0</v>
      </c>
      <c r="O23" s="300"/>
      <c r="P23" s="305"/>
      <c r="Q23" s="306">
        <f t="shared" si="7"/>
        <v>0</v>
      </c>
    </row>
    <row r="24" spans="1:18">
      <c r="A24" s="204"/>
      <c r="B24" s="204"/>
      <c r="C24" s="205"/>
      <c r="D24" s="302"/>
      <c r="E24" s="303">
        <f t="shared" si="0"/>
        <v>0</v>
      </c>
      <c r="F24" s="304">
        <f t="shared" si="1"/>
        <v>0</v>
      </c>
      <c r="G24" s="305"/>
      <c r="H24" s="302"/>
      <c r="I24" s="306">
        <f t="shared" si="2"/>
        <v>0</v>
      </c>
      <c r="J24" s="307">
        <f t="shared" si="3"/>
        <v>0</v>
      </c>
      <c r="K24" s="306">
        <f t="shared" si="4"/>
        <v>0</v>
      </c>
      <c r="L24" s="308">
        <f t="shared" si="5"/>
        <v>0</v>
      </c>
      <c r="M24" s="300"/>
      <c r="N24" s="309">
        <f t="shared" si="6"/>
        <v>0</v>
      </c>
      <c r="O24" s="300"/>
      <c r="P24" s="305"/>
      <c r="Q24" s="306">
        <f t="shared" si="7"/>
        <v>0</v>
      </c>
    </row>
    <row r="25" spans="1:18">
      <c r="A25" s="204"/>
      <c r="B25" s="204"/>
      <c r="C25" s="205"/>
      <c r="D25" s="302"/>
      <c r="E25" s="303">
        <f t="shared" si="0"/>
        <v>0</v>
      </c>
      <c r="F25" s="304">
        <f t="shared" si="1"/>
        <v>0</v>
      </c>
      <c r="G25" s="305"/>
      <c r="H25" s="302"/>
      <c r="I25" s="306">
        <f t="shared" si="2"/>
        <v>0</v>
      </c>
      <c r="J25" s="307">
        <f t="shared" si="3"/>
        <v>0</v>
      </c>
      <c r="K25" s="306">
        <f t="shared" si="4"/>
        <v>0</v>
      </c>
      <c r="L25" s="308">
        <f t="shared" si="5"/>
        <v>0</v>
      </c>
      <c r="M25" s="300"/>
      <c r="N25" s="309">
        <f t="shared" si="6"/>
        <v>0</v>
      </c>
      <c r="O25" s="300"/>
      <c r="P25" s="305"/>
      <c r="Q25" s="306">
        <f t="shared" si="7"/>
        <v>0</v>
      </c>
    </row>
    <row r="26" spans="1:18">
      <c r="A26" s="204"/>
      <c r="B26" s="204"/>
      <c r="C26" s="205"/>
      <c r="D26" s="302"/>
      <c r="E26" s="303">
        <f t="shared" si="0"/>
        <v>0</v>
      </c>
      <c r="F26" s="304">
        <f t="shared" si="1"/>
        <v>0</v>
      </c>
      <c r="G26" s="305"/>
      <c r="H26" s="302"/>
      <c r="I26" s="306">
        <f t="shared" si="2"/>
        <v>0</v>
      </c>
      <c r="J26" s="307">
        <f t="shared" si="3"/>
        <v>0</v>
      </c>
      <c r="K26" s="306">
        <f t="shared" si="4"/>
        <v>0</v>
      </c>
      <c r="L26" s="308">
        <f t="shared" si="5"/>
        <v>0</v>
      </c>
      <c r="M26" s="300"/>
      <c r="N26" s="309">
        <f t="shared" si="6"/>
        <v>0</v>
      </c>
      <c r="O26" s="300"/>
      <c r="P26" s="305"/>
      <c r="Q26" s="306">
        <f t="shared" si="7"/>
        <v>0</v>
      </c>
    </row>
    <row r="27" spans="1:18">
      <c r="D27" s="300"/>
      <c r="E27" s="300"/>
      <c r="F27" s="300"/>
      <c r="G27" s="300"/>
      <c r="H27" s="300"/>
      <c r="I27" s="300"/>
      <c r="J27" s="300"/>
      <c r="K27" s="300"/>
      <c r="L27" s="300"/>
      <c r="M27" s="300"/>
      <c r="N27" s="300"/>
      <c r="O27" s="300"/>
      <c r="P27" s="300"/>
      <c r="Q27" s="300"/>
    </row>
    <row r="28" spans="1:18">
      <c r="A28" s="197"/>
      <c r="B28" s="197" t="s">
        <v>38</v>
      </c>
      <c r="C28" s="198"/>
      <c r="D28" s="310"/>
      <c r="E28" s="310"/>
      <c r="F28" s="310"/>
      <c r="G28" s="310"/>
      <c r="H28" s="310"/>
      <c r="I28" s="310"/>
      <c r="J28" s="310"/>
      <c r="K28" s="310"/>
      <c r="L28" s="311"/>
      <c r="M28" s="300"/>
      <c r="N28" s="300"/>
      <c r="O28" s="300"/>
      <c r="P28" s="312">
        <f>SUM(P13:P26)</f>
        <v>0</v>
      </c>
      <c r="Q28" s="313">
        <f>SUM(Q13:Q26)</f>
        <v>0</v>
      </c>
    </row>
    <row r="32" spans="1:18">
      <c r="R32" s="37"/>
    </row>
    <row r="37"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5"/>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activeCell="C16" sqref="C16"/>
    </sheetView>
  </sheetViews>
  <sheetFormatPr defaultColWidth="8.6640625" defaultRowHeight="14.1" customHeight="1"/>
  <cols>
    <col min="1" max="1" width="34.6640625" style="41" customWidth="1"/>
    <col min="2" max="2" width="25" style="41" customWidth="1"/>
    <col min="3" max="3" width="20.109375" style="41" customWidth="1"/>
    <col min="4" max="4" width="18.44140625" style="42" customWidth="1"/>
    <col min="5" max="5" width="20.6640625" style="42" customWidth="1"/>
    <col min="6" max="6" width="23.21875" style="42" customWidth="1"/>
    <col min="7" max="7" width="18" style="42" customWidth="1"/>
    <col min="8" max="8" width="15.44140625" style="42" customWidth="1"/>
    <col min="9" max="9" width="18.109375" style="42" customWidth="1"/>
    <col min="10" max="10" width="20" style="42" customWidth="1"/>
    <col min="11" max="11" width="16.88671875" style="42" customWidth="1"/>
    <col min="12" max="12" width="16.21875" style="42" customWidth="1"/>
    <col min="13" max="13" width="22.88671875" style="42" customWidth="1"/>
    <col min="14" max="14" width="24.6640625" style="42" customWidth="1"/>
    <col min="15" max="15" width="19.109375" style="42" customWidth="1"/>
    <col min="16" max="16" width="22.5546875" style="42" customWidth="1"/>
    <col min="17" max="17" width="21.6640625" style="42" customWidth="1"/>
    <col min="18" max="18" width="16.5546875" style="42" customWidth="1"/>
    <col min="19" max="19" width="13.6640625" style="42" customWidth="1"/>
    <col min="20" max="20" width="18.77734375" style="42" customWidth="1"/>
    <col min="21" max="23" width="13.6640625" style="42" customWidth="1"/>
    <col min="24" max="28" width="13.33203125" style="42" customWidth="1"/>
    <col min="29" max="29" width="14.6640625" style="42" customWidth="1"/>
    <col min="30" max="33" width="13.33203125" style="42" customWidth="1"/>
    <col min="34" max="16384" width="8.6640625" style="41"/>
  </cols>
  <sheetData>
    <row r="1" spans="1:33" ht="14.1" customHeight="1">
      <c r="A1" s="314" t="s">
        <v>5</v>
      </c>
      <c r="E1" s="243" t="s">
        <v>6</v>
      </c>
      <c r="F1" s="244"/>
      <c r="G1" s="43"/>
      <c r="J1" s="245" t="s">
        <v>7</v>
      </c>
      <c r="K1" s="246"/>
      <c r="L1" s="246"/>
      <c r="M1" s="246"/>
      <c r="N1" s="246"/>
      <c r="O1" s="247"/>
      <c r="P1" s="229" t="e">
        <f>M22</f>
        <v>#DIV/0!</v>
      </c>
    </row>
    <row r="2" spans="1:33" ht="14.1" customHeight="1">
      <c r="E2" s="230"/>
      <c r="F2" s="44" t="s">
        <v>8</v>
      </c>
      <c r="G2" s="43"/>
      <c r="J2" s="45" t="s">
        <v>9</v>
      </c>
      <c r="K2" s="46"/>
      <c r="L2" s="46"/>
      <c r="M2" s="46"/>
      <c r="N2" s="46"/>
      <c r="O2" s="47">
        <v>0.21</v>
      </c>
      <c r="P2" s="232" t="e">
        <f>O2*P1</f>
        <v>#DIV/0!</v>
      </c>
      <c r="Q2" s="527"/>
    </row>
    <row r="3" spans="1:33" ht="14.1" customHeight="1">
      <c r="A3" s="39" t="s">
        <v>1</v>
      </c>
      <c r="B3" s="201"/>
      <c r="C3" s="202"/>
      <c r="D3" s="43"/>
      <c r="E3" s="43"/>
      <c r="G3" s="43"/>
      <c r="H3" s="43"/>
      <c r="I3" s="43"/>
      <c r="J3" s="45" t="s">
        <v>10</v>
      </c>
      <c r="K3" s="46"/>
      <c r="L3" s="46"/>
      <c r="M3" s="46"/>
      <c r="N3" s="46"/>
      <c r="O3" s="46"/>
      <c r="P3" s="233" t="e">
        <f>P1+P2</f>
        <v>#DIV/0!</v>
      </c>
      <c r="AF3" s="43"/>
      <c r="AG3" s="43"/>
    </row>
    <row r="4" spans="1:33" ht="14.1" customHeight="1">
      <c r="A4" s="39" t="s">
        <v>2</v>
      </c>
      <c r="B4" s="48" t="str">
        <f ca="1">MID(CELL("bestandsnaam",$B$13),SEARCH("]",CELL("bestandsnaam",$B$13),1)+1,256)</f>
        <v>2-Kosten</v>
      </c>
      <c r="C4" s="48"/>
      <c r="D4" s="43"/>
      <c r="E4" s="243" t="s">
        <v>11</v>
      </c>
      <c r="F4" s="244"/>
      <c r="G4" s="43"/>
      <c r="H4" s="43"/>
      <c r="I4" s="43"/>
      <c r="J4" s="46"/>
      <c r="K4" s="46"/>
      <c r="L4" s="46"/>
      <c r="M4" s="46"/>
      <c r="N4" s="46"/>
      <c r="O4" s="46"/>
      <c r="P4" s="231"/>
      <c r="AF4" s="43"/>
      <c r="AG4" s="43"/>
    </row>
    <row r="5" spans="1:33" ht="14.1" customHeight="1">
      <c r="A5" s="39" t="s">
        <v>3</v>
      </c>
      <c r="B5" s="201"/>
      <c r="C5" s="202"/>
      <c r="D5" s="43"/>
      <c r="E5" s="234"/>
      <c r="F5" s="44" t="s">
        <v>12</v>
      </c>
      <c r="G5" s="43"/>
      <c r="H5" s="43"/>
      <c r="I5" s="43"/>
      <c r="J5" s="248" t="s">
        <v>444</v>
      </c>
      <c r="K5" s="249"/>
      <c r="L5" s="249"/>
      <c r="M5" s="249"/>
      <c r="N5" s="249"/>
      <c r="O5" s="249"/>
      <c r="P5" s="235">
        <v>133000</v>
      </c>
      <c r="R5" s="523"/>
      <c r="AF5" s="43"/>
      <c r="AG5" s="43"/>
    </row>
    <row r="6" spans="1:33" ht="14.1" customHeight="1">
      <c r="A6" s="39" t="s">
        <v>4</v>
      </c>
      <c r="B6" s="201"/>
      <c r="C6" s="202"/>
      <c r="D6" s="43"/>
      <c r="E6" s="43"/>
      <c r="F6" s="43"/>
      <c r="G6" s="43"/>
      <c r="H6" s="43"/>
      <c r="I6" s="43"/>
      <c r="J6" s="248" t="s">
        <v>445</v>
      </c>
      <c r="K6" s="249"/>
      <c r="L6" s="249"/>
      <c r="M6" s="249"/>
      <c r="N6" s="249"/>
      <c r="O6" s="249"/>
      <c r="P6" s="235">
        <v>120000</v>
      </c>
      <c r="R6" s="523"/>
      <c r="AF6" s="43"/>
      <c r="AG6" s="43"/>
    </row>
    <row r="7" spans="1:33" ht="14.1" customHeight="1">
      <c r="A7" s="39" t="s">
        <v>13</v>
      </c>
      <c r="B7" s="201"/>
      <c r="C7" s="202"/>
      <c r="D7" s="43"/>
      <c r="E7" s="43"/>
      <c r="F7" s="43"/>
      <c r="G7" s="43"/>
      <c r="H7" s="43"/>
      <c r="I7" s="43"/>
      <c r="J7" s="43"/>
      <c r="K7" s="43"/>
      <c r="V7" s="43"/>
      <c r="W7" s="41"/>
      <c r="X7" s="41"/>
      <c r="Y7" s="41"/>
      <c r="AF7" s="43"/>
      <c r="AG7" s="43"/>
    </row>
    <row r="8" spans="1:33" ht="14.1" customHeight="1">
      <c r="A8" s="39" t="s">
        <v>14</v>
      </c>
      <c r="B8" s="49">
        <v>46023</v>
      </c>
      <c r="C8" s="39"/>
      <c r="D8" s="43"/>
      <c r="E8" s="43"/>
      <c r="F8" s="43"/>
      <c r="G8" s="43"/>
      <c r="H8" s="43"/>
      <c r="I8" s="43"/>
      <c r="J8" s="248" t="s">
        <v>15</v>
      </c>
      <c r="K8" s="249"/>
      <c r="L8" s="249"/>
      <c r="M8" s="249"/>
      <c r="N8" s="249"/>
      <c r="O8" s="249"/>
      <c r="P8" s="509"/>
      <c r="Q8" s="43"/>
      <c r="R8" s="43"/>
      <c r="S8" s="43"/>
      <c r="T8" s="43"/>
      <c r="U8" s="43"/>
      <c r="V8" s="43"/>
      <c r="W8" s="43"/>
      <c r="X8" s="43"/>
      <c r="Y8" s="43"/>
      <c r="Z8" s="43"/>
      <c r="AA8" s="50"/>
      <c r="AB8" s="50"/>
      <c r="AC8" s="50"/>
      <c r="AD8" s="50"/>
      <c r="AE8" s="50"/>
      <c r="AF8" s="43"/>
      <c r="AG8" s="43"/>
    </row>
    <row r="9" spans="1:33" ht="14.1" customHeight="1">
      <c r="A9" s="39" t="s">
        <v>16</v>
      </c>
      <c r="B9" s="51" t="s">
        <v>17</v>
      </c>
      <c r="C9" s="39"/>
      <c r="D9" s="43"/>
      <c r="E9" s="43"/>
      <c r="F9" s="43"/>
      <c r="G9" s="43"/>
      <c r="H9" s="43"/>
      <c r="I9" s="43"/>
      <c r="J9" s="507" t="s">
        <v>18</v>
      </c>
      <c r="K9" s="52"/>
      <c r="M9" s="43"/>
      <c r="N9" s="43"/>
      <c r="Q9" s="43"/>
      <c r="V9" s="43"/>
      <c r="W9" s="41"/>
      <c r="X9" s="41"/>
      <c r="Y9" s="41"/>
      <c r="Z9" s="41"/>
      <c r="AA9" s="41"/>
      <c r="AB9" s="41"/>
      <c r="AC9" s="41"/>
      <c r="AD9" s="41"/>
      <c r="AE9" s="41"/>
      <c r="AF9" s="43"/>
      <c r="AG9" s="43"/>
    </row>
    <row r="10" spans="1:33" ht="14.1" customHeight="1">
      <c r="A10" s="39"/>
      <c r="B10" s="39"/>
      <c r="C10" s="39"/>
      <c r="D10" s="43"/>
      <c r="E10" s="43"/>
      <c r="F10" s="43"/>
      <c r="G10" s="43"/>
      <c r="H10" s="43"/>
      <c r="I10" s="43"/>
      <c r="J10" s="508" t="s">
        <v>19</v>
      </c>
      <c r="K10" s="53"/>
      <c r="Q10" s="43"/>
      <c r="R10" s="43"/>
      <c r="S10" s="43"/>
      <c r="T10" s="43"/>
      <c r="U10" s="43"/>
      <c r="V10" s="43"/>
      <c r="W10" s="43"/>
      <c r="X10" s="43"/>
      <c r="Y10" s="43"/>
      <c r="Z10" s="43"/>
      <c r="AA10" s="43"/>
      <c r="AB10" s="43"/>
      <c r="AC10" s="43"/>
      <c r="AD10" s="43"/>
      <c r="AE10" s="43"/>
      <c r="AF10" s="43"/>
      <c r="AG10" s="43"/>
    </row>
    <row r="11" spans="1:33" ht="14.1" customHeight="1">
      <c r="A11" s="39"/>
      <c r="B11" s="39"/>
      <c r="C11" s="39"/>
      <c r="D11" s="43"/>
      <c r="E11" s="43"/>
      <c r="F11" s="43"/>
      <c r="G11" s="43"/>
      <c r="H11" s="43"/>
      <c r="I11" s="43"/>
      <c r="J11" s="52"/>
      <c r="K11" s="43"/>
      <c r="L11" s="43"/>
      <c r="M11" s="43"/>
      <c r="N11" s="43"/>
      <c r="O11" s="43"/>
      <c r="P11" s="43"/>
      <c r="Q11" s="43"/>
      <c r="R11" s="43"/>
      <c r="S11" s="43"/>
      <c r="T11" s="43"/>
      <c r="U11" s="43"/>
      <c r="V11" s="43"/>
      <c r="W11" s="43"/>
      <c r="X11" s="43"/>
      <c r="Y11" s="43"/>
      <c r="Z11" s="43"/>
      <c r="AA11" s="43"/>
      <c r="AB11" s="43"/>
      <c r="AC11" s="43"/>
      <c r="AD11" s="43"/>
      <c r="AE11" s="43"/>
      <c r="AF11" s="43"/>
      <c r="AG11" s="43"/>
    </row>
    <row r="12" spans="1:33" ht="15.6">
      <c r="C12" s="49"/>
      <c r="J12" s="53"/>
      <c r="AA12" s="43"/>
      <c r="AB12" s="43"/>
      <c r="AC12" s="43"/>
      <c r="AD12" s="43"/>
      <c r="AE12" s="43"/>
      <c r="AF12" s="43"/>
      <c r="AG12" s="43"/>
    </row>
    <row r="13" spans="1:33" ht="18" customHeight="1">
      <c r="A13" s="54"/>
      <c r="B13" s="54"/>
      <c r="C13" s="54"/>
      <c r="D13" s="54"/>
      <c r="E13" s="54"/>
      <c r="F13" s="54"/>
      <c r="G13" s="544" t="s">
        <v>20</v>
      </c>
      <c r="H13" s="545"/>
      <c r="I13" s="545"/>
      <c r="J13" s="546" t="s">
        <v>21</v>
      </c>
      <c r="K13" s="547"/>
      <c r="L13" s="547"/>
      <c r="M13" s="548" t="s">
        <v>22</v>
      </c>
      <c r="N13" s="549"/>
      <c r="O13" s="549"/>
      <c r="Y13" s="43"/>
      <c r="Z13" s="43"/>
      <c r="AA13" s="43"/>
      <c r="AB13" s="43"/>
      <c r="AC13" s="43"/>
      <c r="AD13" s="43"/>
      <c r="AE13" s="43"/>
      <c r="AF13" s="41"/>
      <c r="AG13" s="41"/>
    </row>
    <row r="14" spans="1:33" ht="64.5" customHeight="1">
      <c r="A14" s="315" t="s">
        <v>23</v>
      </c>
      <c r="B14" s="250" t="s">
        <v>24</v>
      </c>
      <c r="C14" s="250" t="s">
        <v>25</v>
      </c>
      <c r="D14" s="251" t="s">
        <v>26</v>
      </c>
      <c r="E14" s="251" t="s">
        <v>27</v>
      </c>
      <c r="F14" s="251" t="s">
        <v>28</v>
      </c>
      <c r="G14" s="252" t="s">
        <v>29</v>
      </c>
      <c r="H14" s="252" t="s">
        <v>30</v>
      </c>
      <c r="I14" s="252" t="s">
        <v>31</v>
      </c>
      <c r="J14" s="252" t="s">
        <v>32</v>
      </c>
      <c r="K14" s="252" t="s">
        <v>33</v>
      </c>
      <c r="L14" s="252" t="s">
        <v>34</v>
      </c>
      <c r="M14" s="252" t="s">
        <v>35</v>
      </c>
      <c r="N14" s="252" t="s">
        <v>36</v>
      </c>
      <c r="O14" s="252" t="s">
        <v>37</v>
      </c>
      <c r="P14" s="43"/>
      <c r="Q14" s="41"/>
      <c r="R14" s="41"/>
      <c r="S14" s="41"/>
      <c r="T14" s="41"/>
      <c r="U14" s="41"/>
      <c r="V14" s="41"/>
      <c r="W14" s="41"/>
      <c r="X14" s="41"/>
      <c r="Y14" s="41"/>
      <c r="Z14" s="41"/>
      <c r="AA14" s="41"/>
      <c r="AB14" s="41"/>
      <c r="AC14" s="41"/>
      <c r="AD14" s="41"/>
      <c r="AE14" s="41"/>
      <c r="AF14" s="41"/>
      <c r="AG14" s="41"/>
    </row>
    <row r="15" spans="1:33" s="55" customFormat="1" ht="15" customHeight="1">
      <c r="A15" s="514" t="s">
        <v>286</v>
      </c>
      <c r="B15" s="492">
        <f>SUMIF('4-Basis ruimtestaat'!B:B,'2-Kosten'!A15,'4-Basis ruimtestaat'!J:J)-SUMIFS('4-Basis ruimtestaat'!J:J,'4-Basis ruimtestaat'!B:B,'2-Kosten'!A15,'4-Basis ruimtestaat'!L:L,"nio")</f>
        <v>1230.0200000000004</v>
      </c>
      <c r="C15" s="236"/>
      <c r="D15" s="237">
        <f>_xlfn.MAXIFS('4-Basis ruimtestaat'!L:L,'4-Basis ruimtestaat'!B:B,'2-Kosten'!A15)</f>
        <v>255</v>
      </c>
      <c r="E15" s="237">
        <f>_xlfn.MAXIFS('4-Basis ruimtestaat'!M:M,'4-Basis ruimtestaat'!B:B,'2-Kosten'!A15)</f>
        <v>102</v>
      </c>
      <c r="F15" s="237">
        <f>_xlfn.MAXIFS('4-Basis ruimtestaat'!N:N,'4-Basis ruimtestaat'!B:B,'2-Kosten'!A15)</f>
        <v>8</v>
      </c>
      <c r="G15" s="494" t="e">
        <f>SUMIF('4-Basis ruimtestaat'!B:B,'2-Kosten'!A15,'4-Basis ruimtestaat'!O:O)</f>
        <v>#DIV/0!</v>
      </c>
      <c r="H15" s="494" t="e">
        <f>SUMIF('4-Basis ruimtestaat'!B:B,'2-Kosten'!A15,'4-Basis ruimtestaat'!P:P)</f>
        <v>#DIV/0!</v>
      </c>
      <c r="I15" s="494" t="e">
        <f>SUMIF('4-Basis ruimtestaat'!B:B,'2-Kosten'!A15,'4-Basis ruimtestaat'!Q:Q)</f>
        <v>#DIV/0!</v>
      </c>
      <c r="J15" s="494" t="e">
        <f t="shared" ref="J15:L16" si="0">IF(G15&lt;(D15*$E$2),D15*$E$2-G15,0)</f>
        <v>#DIV/0!</v>
      </c>
      <c r="K15" s="494" t="e">
        <f t="shared" si="0"/>
        <v>#DIV/0!</v>
      </c>
      <c r="L15" s="494" t="e">
        <f t="shared" si="0"/>
        <v>#DIV/0!</v>
      </c>
      <c r="M15" s="494" t="e">
        <f t="shared" ref="M15:O16" si="1">G15*$E$5</f>
        <v>#DIV/0!</v>
      </c>
      <c r="N15" s="494" t="e">
        <f t="shared" si="1"/>
        <v>#DIV/0!</v>
      </c>
      <c r="O15" s="494" t="e">
        <f t="shared" si="1"/>
        <v>#DIV/0!</v>
      </c>
      <c r="P15" s="43"/>
      <c r="Q15" s="524"/>
      <c r="R15" s="524"/>
      <c r="S15" s="524"/>
    </row>
    <row r="16" spans="1:33" ht="15" customHeight="1">
      <c r="A16" s="318" t="s">
        <v>0</v>
      </c>
      <c r="B16" s="492">
        <f>SUMIF('4-Basis ruimtestaat'!B:B,'2-Kosten'!A16,'4-Basis ruimtestaat'!J:J)</f>
        <v>0</v>
      </c>
      <c r="C16" s="236"/>
      <c r="D16" s="237">
        <f>_xlfn.MAXIFS('4-Basis ruimtestaat'!L:L,'4-Basis ruimtestaat'!B:B,'2-Kosten'!A16)</f>
        <v>0</v>
      </c>
      <c r="E16" s="237">
        <f>_xlfn.MAXIFS('4-Basis ruimtestaat'!M:M,'4-Basis ruimtestaat'!B:B,'2-Kosten'!A16)</f>
        <v>0</v>
      </c>
      <c r="F16" s="237">
        <f>_xlfn.MAXIFS('4-Basis ruimtestaat'!N:N,'4-Basis ruimtestaat'!B:B,'2-Kosten'!A16)</f>
        <v>0</v>
      </c>
      <c r="G16" s="494">
        <f>SUMIF('4-Basis ruimtestaat'!B:B,'2-Kosten'!A16,'4-Basis ruimtestaat'!O:O)</f>
        <v>0</v>
      </c>
      <c r="H16" s="494">
        <f>SUMIF('4-Basis ruimtestaat'!B:B,'2-Kosten'!A16,'4-Basis ruimtestaat'!P:P)</f>
        <v>0</v>
      </c>
      <c r="I16" s="494">
        <f>SUMIF('4-Basis ruimtestaat'!B:B,'2-Kosten'!A16,'4-Basis ruimtestaat'!Q:Q)</f>
        <v>0</v>
      </c>
      <c r="J16" s="494">
        <f t="shared" si="0"/>
        <v>0</v>
      </c>
      <c r="K16" s="494">
        <f t="shared" si="0"/>
        <v>0</v>
      </c>
      <c r="L16" s="494">
        <f t="shared" si="0"/>
        <v>0</v>
      </c>
      <c r="M16" s="494">
        <f t="shared" si="1"/>
        <v>0</v>
      </c>
      <c r="N16" s="494">
        <f t="shared" si="1"/>
        <v>0</v>
      </c>
      <c r="O16" s="494">
        <f t="shared" si="1"/>
        <v>0</v>
      </c>
      <c r="P16" s="43"/>
      <c r="Q16" s="41"/>
      <c r="R16" s="525"/>
      <c r="S16" s="41"/>
      <c r="T16" s="41"/>
      <c r="U16" s="41"/>
      <c r="V16" s="41"/>
      <c r="W16" s="41"/>
      <c r="X16" s="41"/>
      <c r="Y16" s="41"/>
      <c r="Z16" s="41"/>
      <c r="AA16" s="41"/>
      <c r="AB16" s="41"/>
      <c r="AC16" s="41"/>
      <c r="AD16" s="41"/>
      <c r="AE16" s="41"/>
      <c r="AF16" s="41"/>
      <c r="AG16" s="41"/>
    </row>
    <row r="17" spans="1:33" s="58" customFormat="1" ht="15" customHeight="1">
      <c r="A17" s="319" t="s">
        <v>38</v>
      </c>
      <c r="B17" s="493">
        <f>SUM(B15:B16)</f>
        <v>1230.0200000000004</v>
      </c>
      <c r="C17" s="238"/>
      <c r="D17" s="239"/>
      <c r="E17" s="239"/>
      <c r="F17" s="239"/>
      <c r="G17" s="495" t="e">
        <f t="shared" ref="G17:O17" si="2">SUM(G15:G16)</f>
        <v>#DIV/0!</v>
      </c>
      <c r="H17" s="495" t="e">
        <f t="shared" si="2"/>
        <v>#DIV/0!</v>
      </c>
      <c r="I17" s="495" t="e">
        <f t="shared" si="2"/>
        <v>#DIV/0!</v>
      </c>
      <c r="J17" s="495" t="e">
        <f t="shared" si="2"/>
        <v>#DIV/0!</v>
      </c>
      <c r="K17" s="495" t="e">
        <f t="shared" si="2"/>
        <v>#DIV/0!</v>
      </c>
      <c r="L17" s="495" t="e">
        <f t="shared" si="2"/>
        <v>#DIV/0!</v>
      </c>
      <c r="M17" s="495" t="e">
        <f t="shared" si="2"/>
        <v>#DIV/0!</v>
      </c>
      <c r="N17" s="495" t="e">
        <f t="shared" si="2"/>
        <v>#DIV/0!</v>
      </c>
      <c r="O17" s="495" t="e">
        <f t="shared" si="2"/>
        <v>#DIV/0!</v>
      </c>
      <c r="P17" s="43"/>
    </row>
    <row r="18" spans="1:33" s="55" customFormat="1" ht="14.1" customHeight="1">
      <c r="AD18" s="41"/>
    </row>
    <row r="19" spans="1:33" ht="83.4" customHeight="1">
      <c r="A19" s="253" t="s">
        <v>23</v>
      </c>
      <c r="B19" s="254" t="s">
        <v>39</v>
      </c>
      <c r="C19" s="254" t="s">
        <v>40</v>
      </c>
      <c r="D19" s="254" t="s">
        <v>41</v>
      </c>
      <c r="E19" s="254" t="s">
        <v>42</v>
      </c>
      <c r="F19" s="254" t="s">
        <v>43</v>
      </c>
      <c r="G19" s="254" t="s">
        <v>44</v>
      </c>
      <c r="H19" s="252" t="s">
        <v>45</v>
      </c>
      <c r="I19" s="252" t="s">
        <v>46</v>
      </c>
      <c r="J19" s="254" t="s">
        <v>47</v>
      </c>
      <c r="K19" s="254" t="s">
        <v>48</v>
      </c>
      <c r="L19" s="254" t="s">
        <v>49</v>
      </c>
      <c r="M19" s="254" t="s">
        <v>50</v>
      </c>
      <c r="N19" s="254" t="s">
        <v>51</v>
      </c>
      <c r="AA19" s="55"/>
      <c r="AB19" s="41"/>
      <c r="AC19" s="41"/>
      <c r="AD19" s="41"/>
      <c r="AE19" s="41"/>
      <c r="AF19" s="41"/>
      <c r="AG19" s="41"/>
    </row>
    <row r="20" spans="1:33" s="55" customFormat="1" ht="15" customHeight="1">
      <c r="A20" s="317" t="str">
        <f>A15</f>
        <v>Opvanglocatie The View</v>
      </c>
      <c r="B20" s="56" t="e">
        <f>(G15+J15)*'6-Opbouw uurtarief productie'!$E$47</f>
        <v>#DIV/0!</v>
      </c>
      <c r="C20" s="536" t="e">
        <f>(H15+K15)*'6-Opbouw uurtarief productie'!$E$51</f>
        <v>#DIV/0!</v>
      </c>
      <c r="D20" s="536" t="e">
        <f>(I15+L15)*'6-Opbouw uurtarief productie'!$E$53</f>
        <v>#DIV/0!</v>
      </c>
      <c r="E20" s="57" t="e">
        <f>SUM(B20:D20)</f>
        <v>#DIV/0!</v>
      </c>
      <c r="F20" s="57" t="e">
        <f>M15*'7-Opbouw uurtarief toezicht'!$E$46</f>
        <v>#DIV/0!</v>
      </c>
      <c r="G20" s="320" t="e">
        <f>N15*'7-Opbouw uurtarief toezicht'!$E$50</f>
        <v>#DIV/0!</v>
      </c>
      <c r="H20" s="240" t="e">
        <f>O15*'7-Opbouw uurtarief toezicht'!$E$52</f>
        <v>#DIV/0!</v>
      </c>
      <c r="I20" s="241" t="e">
        <f>SUM(F20:H20)</f>
        <v>#DIV/0!</v>
      </c>
      <c r="J20" s="242">
        <f>SUMIF('10-Vloeronderhoud'!A:A,'2-Kosten'!A20,'10-Vloeronderhoud'!I:I)</f>
        <v>0</v>
      </c>
      <c r="K20" s="320">
        <f>SUMIF('8-Additionele kosten'!A:A,'2-Kosten'!A20,'8-Additionele kosten'!H:H)</f>
        <v>0</v>
      </c>
      <c r="L20" s="320">
        <f>SUMIF('11-Sanitaire voorzieningen'!A:A,'2-Kosten'!A20,'11-Sanitaire voorzieningen'!F:F)</f>
        <v>0</v>
      </c>
      <c r="M20" s="320" t="e">
        <f>E20+I20+J20+K20+L20</f>
        <v>#DIV/0!</v>
      </c>
      <c r="N20" s="320" t="e">
        <f>M20/12</f>
        <v>#DIV/0!</v>
      </c>
      <c r="O20" s="42"/>
      <c r="P20" s="42"/>
      <c r="Q20" s="42"/>
      <c r="R20" s="42"/>
      <c r="S20" s="42"/>
    </row>
    <row r="21" spans="1:33" ht="15" customHeight="1">
      <c r="A21" s="317" t="str">
        <f>A16</f>
        <v>Algemeen</v>
      </c>
      <c r="B21" s="56" t="e">
        <f>(G16+J16)*'6-Opbouw uurtarief productie'!$E$47</f>
        <v>#DIV/0!</v>
      </c>
      <c r="C21" s="536" t="e">
        <f>(H16+K16)*'6-Opbouw uurtarief productie'!$E$51</f>
        <v>#DIV/0!</v>
      </c>
      <c r="D21" s="536" t="e">
        <f>(I16+L16)*'6-Opbouw uurtarief productie'!$E$53</f>
        <v>#DIV/0!</v>
      </c>
      <c r="E21" s="57" t="e">
        <f>SUM(B21:D21)</f>
        <v>#DIV/0!</v>
      </c>
      <c r="F21" s="57" t="e">
        <f>M16*'7-Opbouw uurtarief toezicht'!$E$46</f>
        <v>#DIV/0!</v>
      </c>
      <c r="G21" s="320" t="e">
        <f>N16*'7-Opbouw uurtarief toezicht'!$E$50</f>
        <v>#DIV/0!</v>
      </c>
      <c r="H21" s="240" t="e">
        <f>O16*'7-Opbouw uurtarief toezicht'!$E$52</f>
        <v>#DIV/0!</v>
      </c>
      <c r="I21" s="241" t="e">
        <f>SUM(F21:H21)</f>
        <v>#DIV/0!</v>
      </c>
      <c r="J21" s="242">
        <f>SUMIF('10-Vloeronderhoud'!A:A,'2-Kosten'!A21,'10-Vloeronderhoud'!I:I)</f>
        <v>0</v>
      </c>
      <c r="K21" s="320">
        <f>SUMIF('8-Additionele kosten'!A:A,'2-Kosten'!A21,'8-Additionele kosten'!H:H)</f>
        <v>0</v>
      </c>
      <c r="L21" s="320">
        <f>SUMIF('11-Sanitaire voorzieningen'!A:A,'2-Kosten'!A21,'11-Sanitaire voorzieningen'!F:F)</f>
        <v>0</v>
      </c>
      <c r="M21" s="320" t="e">
        <f>E21+I21+J21+K21+L21</f>
        <v>#DIV/0!</v>
      </c>
      <c r="N21" s="320" t="e">
        <f t="shared" ref="N21" si="3">M21/12</f>
        <v>#DIV/0!</v>
      </c>
      <c r="W21" s="55"/>
      <c r="X21" s="55"/>
      <c r="Y21" s="55"/>
      <c r="Z21" s="55"/>
      <c r="AA21" s="55"/>
      <c r="AB21" s="41"/>
      <c r="AC21" s="41"/>
      <c r="AD21" s="41"/>
      <c r="AE21" s="41"/>
      <c r="AF21" s="41"/>
      <c r="AG21" s="41"/>
    </row>
    <row r="22" spans="1:33" s="58" customFormat="1" ht="15" customHeight="1">
      <c r="A22" s="319" t="s">
        <v>38</v>
      </c>
      <c r="B22" s="321" t="e">
        <f>SUM(B20:B21)</f>
        <v>#DIV/0!</v>
      </c>
      <c r="C22" s="537" t="e">
        <f t="shared" ref="C22:N22" si="4">SUM(C20:C21)</f>
        <v>#DIV/0!</v>
      </c>
      <c r="D22" s="537" t="e">
        <f t="shared" si="4"/>
        <v>#DIV/0!</v>
      </c>
      <c r="E22" s="321" t="e">
        <f t="shared" si="4"/>
        <v>#DIV/0!</v>
      </c>
      <c r="F22" s="321" t="e">
        <f t="shared" si="4"/>
        <v>#DIV/0!</v>
      </c>
      <c r="G22" s="321" t="e">
        <f t="shared" si="4"/>
        <v>#DIV/0!</v>
      </c>
      <c r="H22" s="321" t="e">
        <f t="shared" si="4"/>
        <v>#DIV/0!</v>
      </c>
      <c r="I22" s="321" t="e">
        <f t="shared" si="4"/>
        <v>#DIV/0!</v>
      </c>
      <c r="J22" s="321">
        <f t="shared" si="4"/>
        <v>0</v>
      </c>
      <c r="K22" s="321">
        <f t="shared" si="4"/>
        <v>0</v>
      </c>
      <c r="L22" s="321">
        <f t="shared" si="4"/>
        <v>0</v>
      </c>
      <c r="M22" s="321" t="e">
        <f t="shared" si="4"/>
        <v>#DIV/0!</v>
      </c>
      <c r="N22" s="321" t="e">
        <f t="shared" si="4"/>
        <v>#DIV/0!</v>
      </c>
      <c r="W22" s="55"/>
      <c r="X22" s="55"/>
      <c r="Y22" s="55"/>
      <c r="Z22" s="55"/>
      <c r="AA22" s="55"/>
    </row>
    <row r="23" spans="1:33" ht="14.1" customHeight="1">
      <c r="AC23" s="55"/>
      <c r="AD23" s="55"/>
      <c r="AE23" s="55"/>
      <c r="AF23" s="55"/>
      <c r="AG23" s="55"/>
    </row>
    <row r="24" spans="1:33" ht="14.1" customHeight="1">
      <c r="B24" s="520"/>
    </row>
    <row r="25" spans="1:33" ht="14.1" customHeight="1">
      <c r="B25" s="520"/>
    </row>
  </sheetData>
  <mergeCells count="3">
    <mergeCell ref="G13:I13"/>
    <mergeCell ref="J13:L13"/>
    <mergeCell ref="M13:O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P31"/>
  <sheetViews>
    <sheetView showGridLines="0" zoomScale="85" zoomScaleNormal="85" workbookViewId="0">
      <pane ySplit="9" topLeftCell="A10" activePane="bottomLeft" state="frozen"/>
      <selection activeCell="B1" sqref="B1"/>
      <selection pane="bottomLeft" activeCell="K14" sqref="K14"/>
    </sheetView>
  </sheetViews>
  <sheetFormatPr defaultColWidth="9.109375" defaultRowHeight="13.2"/>
  <cols>
    <col min="1" max="1" width="29.6640625" style="59" customWidth="1"/>
    <col min="2" max="3" width="9.109375" style="59" customWidth="1"/>
    <col min="4" max="5" width="9.109375" style="59"/>
    <col min="6" max="6" width="10.6640625" style="59" customWidth="1"/>
    <col min="7" max="7" width="9.109375" style="59"/>
    <col min="8" max="8" width="17.88671875" style="59" customWidth="1"/>
    <col min="9" max="9" width="11.77734375" style="59" customWidth="1"/>
    <col min="10" max="10" width="9.109375" style="59" customWidth="1"/>
    <col min="11" max="11" width="9.109375" style="60"/>
    <col min="12" max="12" width="10.109375" style="59" customWidth="1"/>
    <col min="13" max="13" width="11.6640625" style="59" customWidth="1"/>
    <col min="14" max="14" width="3" style="59" customWidth="1"/>
    <col min="15" max="16" width="9.109375" style="60"/>
    <col min="17" max="17" width="9.109375" style="2"/>
    <col min="18" max="18" width="30.44140625" style="2" customWidth="1"/>
    <col min="19" max="16384" width="9.109375" style="2"/>
  </cols>
  <sheetData>
    <row r="1" spans="1:16">
      <c r="A1" s="501" t="s">
        <v>5</v>
      </c>
    </row>
    <row r="3" spans="1:16" ht="15.6">
      <c r="A3" s="39" t="str">
        <f>'2-Kosten'!A3</f>
        <v>Naam opdrachtgever</v>
      </c>
      <c r="B3" s="48">
        <f>'2-Kosten'!B3</f>
        <v>0</v>
      </c>
      <c r="C3" s="48"/>
      <c r="D3" s="61"/>
    </row>
    <row r="4" spans="1:16" ht="15.6">
      <c r="A4" s="39" t="str">
        <f>'2-Kosten'!A4</f>
        <v>Calculatie onderdeel</v>
      </c>
      <c r="B4" s="48" t="str">
        <f ca="1">MID(CELL("bestandsnaam",$B$7),SEARCH("]",CELL("bestandsnaam",$B$7),1)+1,256)</f>
        <v>3-Productie normen</v>
      </c>
      <c r="C4" s="48"/>
      <c r="D4" s="48"/>
    </row>
    <row r="5" spans="1:16" ht="15.6">
      <c r="A5" s="39" t="str">
        <f>'2-Kosten'!A5</f>
        <v>Gebouw/plaats</v>
      </c>
      <c r="B5" s="48">
        <f>'2-Kosten'!B5</f>
        <v>0</v>
      </c>
      <c r="C5" s="48"/>
      <c r="D5" s="48"/>
    </row>
    <row r="6" spans="1:16" ht="15.6">
      <c r="A6" s="39" t="str">
        <f>'2-Kosten'!A6</f>
        <v>Referentie nummer</v>
      </c>
      <c r="B6" s="48">
        <f>'2-Kosten'!B6</f>
        <v>0</v>
      </c>
      <c r="C6" s="48"/>
      <c r="D6" s="48"/>
      <c r="F6" s="322" t="s">
        <v>52</v>
      </c>
      <c r="G6" s="323"/>
      <c r="H6" s="324" t="e">
        <f>SUM('4-Basis ruimtestaat'!W:W)/SUM('4-Basis ruimtestaat'!O:Q)</f>
        <v>#DIV/0!</v>
      </c>
      <c r="I6" s="325" t="s">
        <v>53</v>
      </c>
    </row>
    <row r="7" spans="1:16">
      <c r="A7" s="62"/>
      <c r="B7" s="63"/>
      <c r="C7" s="63"/>
      <c r="D7" s="63"/>
      <c r="E7" s="64"/>
      <c r="F7" s="65"/>
      <c r="G7" s="65"/>
      <c r="H7" s="66"/>
      <c r="I7" s="67"/>
      <c r="J7" s="68"/>
      <c r="L7" s="69"/>
      <c r="M7" s="69"/>
      <c r="N7" s="68"/>
      <c r="O7" s="70"/>
      <c r="P7" s="70"/>
    </row>
    <row r="8" spans="1:16" ht="27.75" customHeight="1">
      <c r="A8" s="326" t="s">
        <v>54</v>
      </c>
      <c r="B8" s="532">
        <v>12</v>
      </c>
      <c r="C8" s="532">
        <v>52</v>
      </c>
      <c r="D8" s="327">
        <v>104</v>
      </c>
      <c r="E8" s="327">
        <v>156</v>
      </c>
      <c r="F8" s="327">
        <v>255</v>
      </c>
      <c r="G8" s="68"/>
      <c r="H8" s="207"/>
      <c r="I8" s="332"/>
      <c r="K8" s="66"/>
      <c r="L8" s="208"/>
      <c r="M8" s="70"/>
      <c r="N8" s="2"/>
      <c r="O8" s="2"/>
      <c r="P8" s="2"/>
    </row>
    <row r="9" spans="1:16" ht="60.6" customHeight="1">
      <c r="A9" s="328" t="s">
        <v>55</v>
      </c>
      <c r="B9" s="550" t="s">
        <v>56</v>
      </c>
      <c r="C9" s="551"/>
      <c r="D9" s="551"/>
      <c r="E9" s="551"/>
      <c r="F9" s="552"/>
      <c r="G9" s="68"/>
      <c r="H9" s="329" t="s">
        <v>57</v>
      </c>
      <c r="I9" s="330" t="s">
        <v>58</v>
      </c>
      <c r="K9" s="66"/>
      <c r="L9" s="208"/>
      <c r="M9" s="329" t="s">
        <v>59</v>
      </c>
      <c r="N9" s="2"/>
      <c r="O9" s="2"/>
      <c r="P9" s="2"/>
    </row>
    <row r="10" spans="1:16">
      <c r="A10" s="331" t="s">
        <v>60</v>
      </c>
      <c r="B10" s="331"/>
      <c r="C10" s="331"/>
      <c r="D10" s="332"/>
      <c r="E10" s="526"/>
      <c r="F10" s="526"/>
      <c r="G10" s="255"/>
      <c r="H10" s="333">
        <f>SUMIF('4-Basis ruimtestaat'!G:G,'3-Productie normen'!A10,'4-Basis ruimtestaat'!J:J)</f>
        <v>17.420000000000002</v>
      </c>
      <c r="I10" s="72"/>
      <c r="K10" s="68"/>
      <c r="L10" s="68"/>
      <c r="M10" s="334" t="s">
        <v>61</v>
      </c>
      <c r="N10" s="2"/>
      <c r="O10" s="2"/>
      <c r="P10" s="2"/>
    </row>
    <row r="11" spans="1:16">
      <c r="A11" s="331" t="s">
        <v>426</v>
      </c>
      <c r="B11" s="331"/>
      <c r="C11" s="331"/>
      <c r="D11" s="526"/>
      <c r="E11" s="526"/>
      <c r="F11" s="332"/>
      <c r="G11" s="255"/>
      <c r="H11" s="333">
        <f>SUMIF('4-Basis ruimtestaat'!G:G,'3-Productie normen'!A11,'4-Basis ruimtestaat'!J:J)</f>
        <v>40.799999999999997</v>
      </c>
      <c r="I11" s="72"/>
      <c r="K11" s="68"/>
      <c r="L11" s="68"/>
      <c r="M11" s="334" t="s">
        <v>63</v>
      </c>
      <c r="N11" s="2"/>
      <c r="O11" s="2"/>
      <c r="P11" s="2"/>
    </row>
    <row r="12" spans="1:16">
      <c r="A12" s="331" t="s">
        <v>62</v>
      </c>
      <c r="B12" s="331"/>
      <c r="C12" s="331"/>
      <c r="D12" s="526"/>
      <c r="E12" s="526"/>
      <c r="F12" s="332"/>
      <c r="G12" s="255"/>
      <c r="H12" s="333">
        <f>SUMIF('4-Basis ruimtestaat'!G:G,'3-Productie normen'!A12,'4-Basis ruimtestaat'!J:J)</f>
        <v>44.2</v>
      </c>
      <c r="K12" s="59"/>
      <c r="L12" s="68"/>
      <c r="M12" s="334" t="s">
        <v>63</v>
      </c>
      <c r="N12" s="2"/>
      <c r="O12" s="2"/>
      <c r="P12" s="2"/>
    </row>
    <row r="13" spans="1:16">
      <c r="A13" s="331" t="s">
        <v>64</v>
      </c>
      <c r="B13" s="331"/>
      <c r="C13" s="331"/>
      <c r="D13" s="526"/>
      <c r="E13" s="526"/>
      <c r="F13" s="332"/>
      <c r="G13" s="255"/>
      <c r="H13" s="333">
        <f>SUMIF('4-Basis ruimtestaat'!G:G,'3-Productie normen'!A13,'4-Basis ruimtestaat'!J:J)</f>
        <v>467.85</v>
      </c>
      <c r="K13" s="59"/>
      <c r="M13" s="334" t="s">
        <v>65</v>
      </c>
      <c r="N13" s="2"/>
      <c r="O13" s="2"/>
      <c r="P13" s="2"/>
    </row>
    <row r="14" spans="1:16">
      <c r="A14" s="335" t="s">
        <v>66</v>
      </c>
      <c r="B14" s="335"/>
      <c r="C14" s="335"/>
      <c r="D14" s="526"/>
      <c r="E14" s="526"/>
      <c r="F14" s="332"/>
      <c r="G14" s="255"/>
      <c r="H14" s="333">
        <f>SUMIF('4-Basis ruimtestaat'!G:G,'3-Productie normen'!A14,'4-Basis ruimtestaat'!J:J)</f>
        <v>200</v>
      </c>
      <c r="K14" s="59"/>
      <c r="M14" s="334" t="s">
        <v>65</v>
      </c>
      <c r="N14" s="2"/>
      <c r="O14" s="2"/>
      <c r="P14" s="2"/>
    </row>
    <row r="15" spans="1:16">
      <c r="A15" s="335" t="s">
        <v>442</v>
      </c>
      <c r="B15" s="335"/>
      <c r="C15" s="335"/>
      <c r="D15" s="526"/>
      <c r="E15" s="332"/>
      <c r="F15" s="526"/>
      <c r="G15" s="255"/>
      <c r="H15" s="333">
        <f>SUMIF('4-Basis ruimtestaat'!G:G,'3-Productie normen'!A15,'4-Basis ruimtestaat'!J:J)</f>
        <v>32.61</v>
      </c>
      <c r="K15" s="59"/>
      <c r="M15" s="334" t="s">
        <v>65</v>
      </c>
      <c r="N15" s="2"/>
      <c r="O15" s="2"/>
      <c r="P15" s="2"/>
    </row>
    <row r="16" spans="1:16">
      <c r="A16" s="331" t="s">
        <v>67</v>
      </c>
      <c r="B16" s="332"/>
      <c r="C16" s="331"/>
      <c r="D16" s="526"/>
      <c r="E16" s="526"/>
      <c r="F16" s="526"/>
      <c r="G16" s="255"/>
      <c r="H16" s="333">
        <f>SUMIF('4-Basis ruimtestaat'!G:G,'3-Productie normen'!A16,'4-Basis ruimtestaat'!J:J)</f>
        <v>38.849999999999994</v>
      </c>
      <c r="K16" s="59"/>
      <c r="M16" s="334" t="s">
        <v>65</v>
      </c>
      <c r="N16" s="2"/>
      <c r="O16" s="2"/>
      <c r="P16" s="2"/>
    </row>
    <row r="17" spans="1:16">
      <c r="A17" s="331" t="s">
        <v>68</v>
      </c>
      <c r="B17" s="331"/>
      <c r="C17" s="331"/>
      <c r="D17" s="526"/>
      <c r="E17" s="526"/>
      <c r="F17" s="332"/>
      <c r="G17" s="255"/>
      <c r="H17" s="333">
        <f>SUMIF('4-Basis ruimtestaat'!G:G,'3-Productie normen'!A17,'4-Basis ruimtestaat'!J:J)</f>
        <v>304.61</v>
      </c>
      <c r="K17" s="59"/>
      <c r="M17" s="334" t="s">
        <v>65</v>
      </c>
      <c r="N17" s="2"/>
      <c r="O17" s="2"/>
      <c r="P17" s="2"/>
    </row>
    <row r="18" spans="1:16">
      <c r="A18" s="335" t="s">
        <v>69</v>
      </c>
      <c r="B18" s="335"/>
      <c r="C18" s="332"/>
      <c r="D18" s="332"/>
      <c r="E18" s="526"/>
      <c r="F18" s="526"/>
      <c r="G18" s="255"/>
      <c r="H18" s="333">
        <f>SUMIF('4-Basis ruimtestaat'!G:G,'3-Productie normen'!A18,'4-Basis ruimtestaat'!J:J)</f>
        <v>78.260000000000005</v>
      </c>
      <c r="K18" s="73"/>
      <c r="M18" s="334" t="s">
        <v>65</v>
      </c>
      <c r="N18" s="2"/>
      <c r="O18" s="2"/>
      <c r="P18" s="2"/>
    </row>
    <row r="19" spans="1:16">
      <c r="A19" s="335" t="s">
        <v>70</v>
      </c>
      <c r="B19" s="335"/>
      <c r="C19" s="335"/>
      <c r="D19" s="526"/>
      <c r="E19" s="332"/>
      <c r="F19" s="526"/>
      <c r="G19" s="255"/>
      <c r="H19" s="333">
        <f>SUMIF('4-Basis ruimtestaat'!G:G,'3-Productie normen'!A19,'4-Basis ruimtestaat'!J:J)</f>
        <v>5.42</v>
      </c>
      <c r="K19" s="73"/>
      <c r="M19" s="334" t="s">
        <v>65</v>
      </c>
      <c r="N19" s="2"/>
      <c r="O19" s="2"/>
      <c r="P19" s="2"/>
    </row>
    <row r="20" spans="1:16">
      <c r="A20" s="335"/>
      <c r="B20" s="335"/>
      <c r="C20" s="335"/>
      <c r="D20" s="335"/>
      <c r="E20" s="335"/>
      <c r="F20" s="335"/>
      <c r="G20" s="255"/>
      <c r="H20" s="333"/>
      <c r="K20" s="73"/>
      <c r="M20" s="334"/>
      <c r="N20" s="2"/>
      <c r="O20" s="2"/>
      <c r="P20" s="2"/>
    </row>
    <row r="21" spans="1:16">
      <c r="A21" s="335" t="s">
        <v>425</v>
      </c>
      <c r="B21" s="335"/>
      <c r="C21" s="335"/>
      <c r="D21" s="521"/>
      <c r="E21" s="521"/>
      <c r="F21" s="522"/>
      <c r="G21" s="255"/>
      <c r="H21" s="333">
        <f>SUMIF('4-Basis ruimtestaat'!G:G,'3-Productie normen'!A21,'4-Basis ruimtestaat'!J:J)</f>
        <v>1633.1000000000017</v>
      </c>
      <c r="K21" s="68"/>
      <c r="L21" s="71"/>
      <c r="M21" s="334"/>
      <c r="N21" s="2"/>
      <c r="O21" s="2"/>
      <c r="P21" s="2"/>
    </row>
    <row r="22" spans="1:16">
      <c r="A22" s="336" t="s">
        <v>38</v>
      </c>
      <c r="B22" s="336"/>
      <c r="C22" s="336"/>
      <c r="D22" s="337"/>
      <c r="E22" s="337"/>
      <c r="F22" s="338"/>
      <c r="G22" s="256"/>
      <c r="H22" s="339">
        <f>SUM(H10:H21)</f>
        <v>2863.1200000000017</v>
      </c>
      <c r="K22" s="68"/>
      <c r="L22" s="68"/>
      <c r="M22" s="340"/>
      <c r="N22" s="2"/>
      <c r="O22" s="2"/>
      <c r="P22" s="2"/>
    </row>
    <row r="23" spans="1:16">
      <c r="K23" s="59"/>
      <c r="N23" s="68"/>
      <c r="O23" s="59"/>
      <c r="P23" s="59"/>
    </row>
    <row r="24" spans="1:16" ht="16.2">
      <c r="A24" s="341" t="s">
        <v>71</v>
      </c>
      <c r="B24" s="342">
        <v>2</v>
      </c>
      <c r="C24" s="342">
        <v>3</v>
      </c>
      <c r="D24" s="342">
        <v>4</v>
      </c>
      <c r="E24" s="342">
        <v>5</v>
      </c>
      <c r="F24" s="342">
        <v>6</v>
      </c>
      <c r="J24" s="68"/>
    </row>
    <row r="26" spans="1:16">
      <c r="A26" s="199" t="s">
        <v>72</v>
      </c>
      <c r="B26" s="199" t="s">
        <v>73</v>
      </c>
      <c r="C26" s="200" t="s">
        <v>74</v>
      </c>
    </row>
    <row r="27" spans="1:16">
      <c r="A27" s="74" t="s">
        <v>441</v>
      </c>
      <c r="B27" s="75">
        <v>12</v>
      </c>
      <c r="C27" s="209">
        <v>2</v>
      </c>
    </row>
    <row r="28" spans="1:16">
      <c r="A28" s="74" t="s">
        <v>440</v>
      </c>
      <c r="B28" s="75">
        <v>52</v>
      </c>
      <c r="C28" s="209">
        <v>3</v>
      </c>
    </row>
    <row r="29" spans="1:16">
      <c r="A29" s="74" t="s">
        <v>439</v>
      </c>
      <c r="B29" s="75">
        <v>104</v>
      </c>
      <c r="C29" s="209">
        <v>4</v>
      </c>
    </row>
    <row r="30" spans="1:16">
      <c r="A30" s="74" t="s">
        <v>438</v>
      </c>
      <c r="B30" s="75">
        <v>156</v>
      </c>
      <c r="C30" s="209">
        <v>5</v>
      </c>
    </row>
    <row r="31" spans="1:16">
      <c r="A31" s="74" t="s">
        <v>424</v>
      </c>
      <c r="B31" s="75">
        <v>255</v>
      </c>
      <c r="C31" s="209">
        <v>6</v>
      </c>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X392"/>
  <sheetViews>
    <sheetView showGridLines="0" showZeros="0" zoomScale="80" zoomScaleNormal="80" zoomScalePageLayoutView="75" workbookViewId="0">
      <pane xSplit="1" ySplit="9" topLeftCell="B10" activePane="bottomRight" state="frozen"/>
      <selection pane="topRight" activeCell="B1" sqref="B1"/>
      <selection pane="bottomLeft" activeCell="B1" sqref="B1"/>
      <selection pane="bottomRight" activeCell="C7" sqref="C7"/>
    </sheetView>
  </sheetViews>
  <sheetFormatPr defaultColWidth="8.6640625" defaultRowHeight="14.1" customHeight="1"/>
  <cols>
    <col min="1" max="1" width="5" style="59" bestFit="1" customWidth="1"/>
    <col min="2" max="2" width="27.5546875" style="516" customWidth="1"/>
    <col min="3" max="3" width="35.44140625" style="59" customWidth="1"/>
    <col min="4" max="4" width="15.33203125" style="59" customWidth="1"/>
    <col min="5" max="5" width="20.33203125" style="258" bestFit="1" customWidth="1"/>
    <col min="6" max="6" width="23.44140625" style="59" customWidth="1"/>
    <col min="7" max="7" width="28.88671875" style="59" customWidth="1"/>
    <col min="8" max="8" width="12.109375" style="59" bestFit="1" customWidth="1"/>
    <col min="9" max="9" width="42.6640625" style="516" customWidth="1"/>
    <col min="10" max="10" width="8" style="59" bestFit="1" customWidth="1"/>
    <col min="11" max="11" width="10.6640625" style="76" customWidth="1"/>
    <col min="12" max="12" width="9.109375" style="98" customWidth="1"/>
    <col min="13" max="13" width="12.21875" style="98" customWidth="1"/>
    <col min="14" max="14" width="9.109375" style="98" customWidth="1"/>
    <col min="15" max="15" width="17.44140625" style="59" customWidth="1"/>
    <col min="16" max="17" width="9.88671875" style="59" customWidth="1"/>
    <col min="18" max="18" width="12" style="59" bestFit="1" customWidth="1"/>
    <col min="19" max="19" width="13" style="59" customWidth="1"/>
    <col min="20" max="20" width="9.33203125" style="59" customWidth="1"/>
    <col min="21" max="21" width="35.109375" style="59" customWidth="1"/>
    <col min="22" max="22" width="3" style="59" customWidth="1"/>
    <col min="23" max="23" width="11.109375" style="59" customWidth="1"/>
    <col min="24" max="24" width="15.5546875" style="2" bestFit="1" customWidth="1"/>
    <col min="25" max="16384" width="8.6640625" style="2"/>
  </cols>
  <sheetData>
    <row r="1" spans="1:23" ht="13.2">
      <c r="B1" s="59"/>
      <c r="I1" s="59"/>
      <c r="L1" s="59"/>
      <c r="M1" s="59"/>
      <c r="N1" s="59"/>
    </row>
    <row r="2" spans="1:23" ht="14.1" customHeight="1">
      <c r="A2" s="77">
        <v>2</v>
      </c>
      <c r="B2" s="210"/>
      <c r="C2" s="78"/>
      <c r="D2" s="79"/>
      <c r="E2" s="259"/>
      <c r="F2" s="80"/>
      <c r="G2" s="80"/>
      <c r="H2" s="81"/>
      <c r="I2" s="81"/>
      <c r="J2" s="82"/>
      <c r="K2" s="83"/>
      <c r="L2" s="84"/>
      <c r="M2" s="84"/>
      <c r="N2" s="84"/>
      <c r="O2" s="81"/>
      <c r="P2" s="85"/>
      <c r="Q2" s="85"/>
      <c r="R2" s="85"/>
      <c r="S2" s="85"/>
      <c r="T2" s="80"/>
      <c r="U2" s="80"/>
    </row>
    <row r="3" spans="1:23" ht="14.1" customHeight="1">
      <c r="A3" s="77">
        <v>3</v>
      </c>
      <c r="B3" s="39" t="str">
        <f>'2-Kosten'!A3</f>
        <v>Naam opdrachtgever</v>
      </c>
      <c r="C3" s="48">
        <f>'2-Kosten'!B3</f>
        <v>0</v>
      </c>
      <c r="E3" s="260"/>
      <c r="H3" s="81"/>
      <c r="I3" s="81"/>
      <c r="J3" s="82"/>
      <c r="K3" s="83"/>
      <c r="L3" s="84"/>
      <c r="M3" s="84"/>
      <c r="N3" s="84"/>
      <c r="O3" s="81"/>
      <c r="P3" s="85"/>
      <c r="Q3" s="85"/>
      <c r="R3" s="85"/>
      <c r="S3" s="85"/>
      <c r="T3" s="80"/>
      <c r="U3" s="80"/>
    </row>
    <row r="4" spans="1:23" ht="10.8" customHeight="1">
      <c r="A4" s="77">
        <v>4</v>
      </c>
      <c r="B4" s="39" t="str">
        <f>'2-Kosten'!A4</f>
        <v>Calculatie onderdeel</v>
      </c>
      <c r="C4" s="48" t="str">
        <f ca="1">MID(CELL("bestandsnaam",$D$9),SEARCH("]",CELL("bestandsnaam",$D$9),1)+1,256)</f>
        <v>4-Basis ruimtestaat</v>
      </c>
      <c r="E4" s="261"/>
      <c r="H4" s="81"/>
      <c r="I4" s="81"/>
      <c r="J4" s="82"/>
      <c r="K4" s="83"/>
      <c r="L4" s="84"/>
      <c r="M4" s="84"/>
      <c r="N4" s="84"/>
      <c r="O4" s="81"/>
      <c r="P4" s="85"/>
      <c r="Q4" s="85"/>
      <c r="R4" s="85"/>
      <c r="S4" s="85"/>
      <c r="T4" s="80"/>
      <c r="U4" s="80"/>
    </row>
    <row r="5" spans="1:23" ht="13.8" hidden="1" customHeight="1">
      <c r="A5" s="77">
        <v>5</v>
      </c>
      <c r="B5" s="39" t="str">
        <f>'2-Kosten'!A5</f>
        <v>Gebouw/plaats</v>
      </c>
      <c r="C5" s="48">
        <f>'2-Kosten'!B5</f>
        <v>0</v>
      </c>
      <c r="E5" s="260"/>
      <c r="H5" s="81"/>
      <c r="I5" s="81"/>
      <c r="J5" s="82"/>
      <c r="K5" s="83"/>
      <c r="L5" s="84"/>
      <c r="M5" s="84"/>
      <c r="N5" s="84"/>
      <c r="O5" s="81"/>
      <c r="P5" s="85"/>
      <c r="Q5" s="85"/>
      <c r="R5" s="85"/>
      <c r="S5" s="85"/>
      <c r="T5" s="80"/>
      <c r="U5" s="80"/>
    </row>
    <row r="6" spans="1:23" ht="25.2" customHeight="1">
      <c r="A6" s="77">
        <v>6</v>
      </c>
      <c r="B6" s="39" t="str">
        <f>'2-Kosten'!A6</f>
        <v>Referentie nummer</v>
      </c>
      <c r="C6" s="48">
        <f>'2-Kosten'!B6</f>
        <v>0</v>
      </c>
      <c r="E6" s="260"/>
      <c r="H6" s="81"/>
      <c r="I6" s="81"/>
      <c r="J6" s="82"/>
      <c r="K6" s="83"/>
      <c r="L6" s="84"/>
      <c r="M6" s="84"/>
      <c r="N6" s="84"/>
      <c r="O6" s="81"/>
      <c r="P6" s="85"/>
      <c r="Q6" s="85"/>
      <c r="R6" s="85"/>
      <c r="S6" s="553" t="s">
        <v>75</v>
      </c>
      <c r="T6" s="80"/>
      <c r="U6" s="80"/>
    </row>
    <row r="7" spans="1:23" ht="12.75" customHeight="1">
      <c r="A7" s="77">
        <v>7</v>
      </c>
      <c r="B7" s="39" t="str">
        <f>'2-Kosten'!A7</f>
        <v>Naam dienstverlener</v>
      </c>
      <c r="C7" s="48">
        <f>'2-Kosten'!B7</f>
        <v>0</v>
      </c>
      <c r="E7" s="260"/>
      <c r="H7" s="81"/>
      <c r="I7" s="81"/>
      <c r="J7" s="82"/>
      <c r="K7" s="83"/>
      <c r="L7" s="84"/>
      <c r="M7" s="84"/>
      <c r="N7" s="84"/>
      <c r="O7" s="81"/>
      <c r="P7" s="85"/>
      <c r="Q7" s="85"/>
      <c r="R7" s="85"/>
      <c r="S7" s="554"/>
      <c r="T7" s="80"/>
      <c r="U7" s="80"/>
    </row>
    <row r="8" spans="1:23" ht="14.1" customHeight="1">
      <c r="A8" s="77">
        <v>8</v>
      </c>
      <c r="B8" s="80"/>
      <c r="C8" s="80"/>
      <c r="D8" s="79"/>
      <c r="E8" s="259"/>
      <c r="F8" s="80"/>
      <c r="G8" s="80"/>
      <c r="H8" s="81"/>
      <c r="I8" s="81"/>
      <c r="J8" s="82"/>
      <c r="K8" s="83"/>
      <c r="L8" s="84"/>
      <c r="M8" s="84"/>
      <c r="N8" s="84"/>
      <c r="O8" s="81"/>
      <c r="P8" s="81"/>
      <c r="Q8" s="81"/>
      <c r="R8" s="81"/>
      <c r="S8" s="343">
        <f>'3-Productie normen'!I8</f>
        <v>0</v>
      </c>
      <c r="T8" s="80"/>
      <c r="U8" s="80"/>
    </row>
    <row r="9" spans="1:23" ht="61.2" customHeight="1">
      <c r="A9" s="77">
        <v>9</v>
      </c>
      <c r="B9" s="227" t="s">
        <v>76</v>
      </c>
      <c r="C9" s="227" t="s">
        <v>77</v>
      </c>
      <c r="D9" s="227" t="s">
        <v>78</v>
      </c>
      <c r="E9" s="227" t="s">
        <v>79</v>
      </c>
      <c r="F9" s="227" t="s">
        <v>80</v>
      </c>
      <c r="G9" s="227" t="s">
        <v>81</v>
      </c>
      <c r="H9" s="344" t="s">
        <v>82</v>
      </c>
      <c r="I9" s="344" t="s">
        <v>83</v>
      </c>
      <c r="J9" s="345" t="s">
        <v>84</v>
      </c>
      <c r="K9" s="346" t="s">
        <v>85</v>
      </c>
      <c r="L9" s="206" t="s">
        <v>86</v>
      </c>
      <c r="M9" s="206" t="s">
        <v>87</v>
      </c>
      <c r="N9" s="206" t="s">
        <v>88</v>
      </c>
      <c r="O9" s="346" t="s">
        <v>89</v>
      </c>
      <c r="P9" s="346" t="s">
        <v>90</v>
      </c>
      <c r="Q9" s="346" t="s">
        <v>91</v>
      </c>
      <c r="R9" s="346" t="s">
        <v>92</v>
      </c>
      <c r="S9" s="346" t="s">
        <v>58</v>
      </c>
      <c r="T9" s="211" t="s">
        <v>93</v>
      </c>
      <c r="U9" s="211" t="s">
        <v>94</v>
      </c>
      <c r="V9" s="212"/>
      <c r="W9" s="211" t="s">
        <v>95</v>
      </c>
    </row>
    <row r="10" spans="1:23" s="14" customFormat="1" ht="14.1" customHeight="1">
      <c r="A10" s="77">
        <v>10</v>
      </c>
      <c r="B10" s="514" t="s">
        <v>286</v>
      </c>
      <c r="C10" s="331"/>
      <c r="D10" s="347" t="s">
        <v>317</v>
      </c>
      <c r="E10" s="514" t="s">
        <v>287</v>
      </c>
      <c r="F10" s="514" t="s">
        <v>318</v>
      </c>
      <c r="G10" s="335" t="s">
        <v>64</v>
      </c>
      <c r="H10" s="74" t="s">
        <v>264</v>
      </c>
      <c r="I10" s="472" t="s">
        <v>99</v>
      </c>
      <c r="J10" s="347">
        <v>3.98</v>
      </c>
      <c r="K10" s="348">
        <f t="shared" ref="K10:K41" si="0">SUM(L10:N10)</f>
        <v>365</v>
      </c>
      <c r="L10" s="264">
        <v>255</v>
      </c>
      <c r="M10" s="264">
        <v>102</v>
      </c>
      <c r="N10" s="264">
        <v>8</v>
      </c>
      <c r="O10" s="263" t="e">
        <f>IF(L10="nio",0,IF(L10&gt;0,L10*J10/R10,0))*VLOOKUP(B10,'2-Kosten'!$A$14:$C$16,3,FALSE)</f>
        <v>#DIV/0!</v>
      </c>
      <c r="P10" s="263" t="e">
        <f>IF(M10&gt;0,M10*J10/S10,0)*VLOOKUP(B10,'2-Kosten'!$A$14:$C$16,3,FALSE)</f>
        <v>#DIV/0!</v>
      </c>
      <c r="Q10" s="263" t="e">
        <f>IF(N10&gt;0,N10*J10/S10,0)*VLOOKUP(B10,'2-Kosten'!$A$14:$C$16,3,FALSE)</f>
        <v>#DIV/0!</v>
      </c>
      <c r="R10" s="349">
        <f>IF(L10="nio",0,IF(L10&gt;0,VLOOKUP(G10,'3-Productie normen'!A:M,VLOOKUP(L10,'3-Productie normen'!$B$27:$C$31,2,FALSE),FALSE)))</f>
        <v>0</v>
      </c>
      <c r="S10" s="349">
        <f t="shared" ref="S10:S41" si="1">IF((OR(M10&gt;0,N10&gt;0)),R10*$S$8,0)</f>
        <v>0</v>
      </c>
      <c r="T10" s="350" t="s">
        <v>65</v>
      </c>
      <c r="U10" s="350"/>
      <c r="V10" s="59"/>
      <c r="W10" s="351">
        <f t="shared" ref="W10:W41" si="2">K10*J10</f>
        <v>1452.7</v>
      </c>
    </row>
    <row r="11" spans="1:23" ht="14.1" customHeight="1">
      <c r="A11" s="77">
        <v>11</v>
      </c>
      <c r="B11" s="514" t="s">
        <v>286</v>
      </c>
      <c r="C11" s="331"/>
      <c r="D11" s="347" t="s">
        <v>317</v>
      </c>
      <c r="E11" s="514" t="s">
        <v>288</v>
      </c>
      <c r="F11" s="514" t="s">
        <v>319</v>
      </c>
      <c r="G11" s="331" t="s">
        <v>68</v>
      </c>
      <c r="H11" s="74" t="s">
        <v>264</v>
      </c>
      <c r="I11" s="472" t="s">
        <v>99</v>
      </c>
      <c r="J11" s="347">
        <v>266.60000000000002</v>
      </c>
      <c r="K11" s="348">
        <f t="shared" si="0"/>
        <v>365</v>
      </c>
      <c r="L11" s="264">
        <v>255</v>
      </c>
      <c r="M11" s="264">
        <v>102</v>
      </c>
      <c r="N11" s="264">
        <v>8</v>
      </c>
      <c r="O11" s="263" t="e">
        <f>IF(L11="nio",0,IF(L11&gt;0,L11*J11/R11,0))*VLOOKUP(B11,'2-Kosten'!$A$14:$C$16,3,FALSE)</f>
        <v>#DIV/0!</v>
      </c>
      <c r="P11" s="263" t="e">
        <f>IF(M11&gt;0,M11*J11/S11,0)*VLOOKUP(B11,'2-Kosten'!$A$14:$C$16,3,FALSE)</f>
        <v>#DIV/0!</v>
      </c>
      <c r="Q11" s="263" t="e">
        <f>IF(N11&gt;0,N11*J11/S11,0)*VLOOKUP(B11,'2-Kosten'!$A$14:$C$16,3,FALSE)</f>
        <v>#DIV/0!</v>
      </c>
      <c r="R11" s="349">
        <f>IF(L11="nio",0,IF(L11&gt;0,VLOOKUP(G11,'3-Productie normen'!A:M,VLOOKUP(L11,'3-Productie normen'!$B$27:$C$31,2,FALSE),FALSE)))</f>
        <v>0</v>
      </c>
      <c r="S11" s="349">
        <f t="shared" si="1"/>
        <v>0</v>
      </c>
      <c r="T11" s="350" t="s">
        <v>65</v>
      </c>
      <c r="U11" s="350"/>
      <c r="W11" s="351">
        <f t="shared" si="2"/>
        <v>97309.000000000015</v>
      </c>
    </row>
    <row r="12" spans="1:23" ht="14.1" customHeight="1">
      <c r="A12" s="77">
        <v>12</v>
      </c>
      <c r="B12" s="514" t="s">
        <v>286</v>
      </c>
      <c r="C12" s="331"/>
      <c r="D12" s="347" t="s">
        <v>317</v>
      </c>
      <c r="E12" s="514" t="s">
        <v>289</v>
      </c>
      <c r="F12" s="514" t="s">
        <v>70</v>
      </c>
      <c r="G12" s="316" t="s">
        <v>70</v>
      </c>
      <c r="H12" s="74" t="s">
        <v>264</v>
      </c>
      <c r="I12" s="472" t="s">
        <v>99</v>
      </c>
      <c r="J12" s="347">
        <v>5.42</v>
      </c>
      <c r="K12" s="348">
        <f t="shared" si="0"/>
        <v>156</v>
      </c>
      <c r="L12" s="264">
        <v>156</v>
      </c>
      <c r="M12" s="264"/>
      <c r="N12" s="264"/>
      <c r="O12" s="263" t="e">
        <f>IF(L12="nio",0,IF(L12&gt;0,L12*J12/R12,0))*VLOOKUP(B12,'2-Kosten'!$A$14:$C$16,3,FALSE)</f>
        <v>#DIV/0!</v>
      </c>
      <c r="P12" s="263">
        <f>IF(M12&gt;0,M12*J12/S12,0)*VLOOKUP(B12,'2-Kosten'!$A$14:$C$16,3,FALSE)</f>
        <v>0</v>
      </c>
      <c r="Q12" s="263">
        <f>IF(N12&gt;0,N12*J12/S12,0)*VLOOKUP(B12,'2-Kosten'!$A$14:$C$16,3,FALSE)</f>
        <v>0</v>
      </c>
      <c r="R12" s="349">
        <f>IF(L12="nio",0,IF(L12&gt;0,VLOOKUP(G12,'3-Productie normen'!A:M,VLOOKUP(L12,'3-Productie normen'!$B$27:$C$31,2,FALSE),FALSE)))</f>
        <v>0</v>
      </c>
      <c r="S12" s="349">
        <f t="shared" si="1"/>
        <v>0</v>
      </c>
      <c r="T12" s="350" t="s">
        <v>65</v>
      </c>
      <c r="U12" s="350"/>
      <c r="W12" s="351">
        <f t="shared" si="2"/>
        <v>845.52</v>
      </c>
    </row>
    <row r="13" spans="1:23" ht="14.1" customHeight="1">
      <c r="A13" s="77">
        <v>13</v>
      </c>
      <c r="B13" s="514" t="s">
        <v>286</v>
      </c>
      <c r="C13" s="331"/>
      <c r="D13" s="347" t="s">
        <v>317</v>
      </c>
      <c r="E13" s="514" t="s">
        <v>290</v>
      </c>
      <c r="F13" s="514" t="s">
        <v>320</v>
      </c>
      <c r="G13" s="335" t="s">
        <v>64</v>
      </c>
      <c r="H13" s="74" t="s">
        <v>264</v>
      </c>
      <c r="I13" s="472" t="s">
        <v>99</v>
      </c>
      <c r="J13" s="347">
        <v>3.95</v>
      </c>
      <c r="K13" s="348">
        <f t="shared" si="0"/>
        <v>365</v>
      </c>
      <c r="L13" s="264">
        <v>255</v>
      </c>
      <c r="M13" s="264">
        <v>102</v>
      </c>
      <c r="N13" s="264">
        <v>8</v>
      </c>
      <c r="O13" s="263" t="e">
        <f>IF(L13="nio",0,IF(L13&gt;0,L13*J13/R13,0))*VLOOKUP(B13,'2-Kosten'!$A$14:$C$16,3,FALSE)</f>
        <v>#DIV/0!</v>
      </c>
      <c r="P13" s="263" t="e">
        <f>IF(M13&gt;0,M13*J13/S13,0)*VLOOKUP(B13,'2-Kosten'!$A$14:$C$16,3,FALSE)</f>
        <v>#DIV/0!</v>
      </c>
      <c r="Q13" s="263" t="e">
        <f>IF(N13&gt;0,N13*J13/S13,0)*VLOOKUP(B13,'2-Kosten'!$A$14:$C$16,3,FALSE)</f>
        <v>#DIV/0!</v>
      </c>
      <c r="R13" s="349">
        <f>IF(L13="nio",0,IF(L13&gt;0,VLOOKUP(G13,'3-Productie normen'!A:M,VLOOKUP(L13,'3-Productie normen'!$B$27:$C$31,2,FALSE),FALSE)))</f>
        <v>0</v>
      </c>
      <c r="S13" s="349">
        <f t="shared" si="1"/>
        <v>0</v>
      </c>
      <c r="T13" s="350" t="s">
        <v>65</v>
      </c>
      <c r="U13" s="350"/>
      <c r="W13" s="351">
        <f t="shared" si="2"/>
        <v>1441.75</v>
      </c>
    </row>
    <row r="14" spans="1:23" ht="14.1" customHeight="1">
      <c r="A14" s="77">
        <v>14</v>
      </c>
      <c r="B14" s="514" t="s">
        <v>286</v>
      </c>
      <c r="C14" s="335"/>
      <c r="D14" s="347" t="s">
        <v>317</v>
      </c>
      <c r="E14" s="514" t="s">
        <v>291</v>
      </c>
      <c r="F14" s="514" t="s">
        <v>321</v>
      </c>
      <c r="G14" s="316" t="s">
        <v>425</v>
      </c>
      <c r="H14" s="74" t="s">
        <v>264</v>
      </c>
      <c r="I14" s="472" t="s">
        <v>99</v>
      </c>
      <c r="J14" s="347">
        <v>2.2799999999999998</v>
      </c>
      <c r="K14" s="348">
        <f t="shared" si="0"/>
        <v>0</v>
      </c>
      <c r="L14" s="264" t="s">
        <v>420</v>
      </c>
      <c r="M14" s="264"/>
      <c r="N14" s="264"/>
      <c r="O14" s="263">
        <f>IF(L14="nio",0,IF(L14&gt;0,L14*J14/R14,0))*VLOOKUP(B14,'2-Kosten'!$A$14:$C$16,3,FALSE)</f>
        <v>0</v>
      </c>
      <c r="P14" s="263">
        <f>IF(M14&gt;0,M14*J14/S14,0)*VLOOKUP(B14,'2-Kosten'!$A$14:$C$16,3,FALSE)</f>
        <v>0</v>
      </c>
      <c r="Q14" s="263">
        <f>IF(N14&gt;0,N14*J14/S14,0)*VLOOKUP(B14,'2-Kosten'!$A$14:$C$16,3,FALSE)</f>
        <v>0</v>
      </c>
      <c r="R14" s="349">
        <f>IF(L14="nio",0,IF(L14&gt;0,VLOOKUP(G14,'3-Productie normen'!A:M,VLOOKUP(L14,'3-Productie normen'!$B$27:$C$31,2,FALSE),FALSE)))</f>
        <v>0</v>
      </c>
      <c r="S14" s="349">
        <f t="shared" si="1"/>
        <v>0</v>
      </c>
      <c r="T14" s="350">
        <f>VLOOKUP(G14,'3-Productie normen'!A:J,10,FALSE)</f>
        <v>0</v>
      </c>
      <c r="U14" s="350"/>
      <c r="W14" s="351">
        <f t="shared" si="2"/>
        <v>0</v>
      </c>
    </row>
    <row r="15" spans="1:23" ht="14.1" customHeight="1">
      <c r="A15" s="77">
        <v>15</v>
      </c>
      <c r="B15" s="514" t="s">
        <v>286</v>
      </c>
      <c r="C15" s="331"/>
      <c r="D15" s="347" t="s">
        <v>317</v>
      </c>
      <c r="E15" s="514" t="s">
        <v>292</v>
      </c>
      <c r="F15" s="514" t="s">
        <v>322</v>
      </c>
      <c r="G15" s="316" t="s">
        <v>60</v>
      </c>
      <c r="H15" s="74" t="s">
        <v>264</v>
      </c>
      <c r="I15" s="472" t="s">
        <v>99</v>
      </c>
      <c r="J15" s="347">
        <v>17.420000000000002</v>
      </c>
      <c r="K15" s="348">
        <f t="shared" si="0"/>
        <v>104</v>
      </c>
      <c r="L15" s="264">
        <v>104</v>
      </c>
      <c r="M15" s="264"/>
      <c r="N15" s="264"/>
      <c r="O15" s="263" t="e">
        <f>IF(L15="nio",0,IF(L15&gt;0,L15*J15/R15,0))*VLOOKUP(B15,'2-Kosten'!$A$14:$C$16,3,FALSE)</f>
        <v>#DIV/0!</v>
      </c>
      <c r="P15" s="263">
        <f>IF(M15&gt;0,M15*J15/S15,0)*VLOOKUP(B15,'2-Kosten'!$A$14:$C$16,3,FALSE)</f>
        <v>0</v>
      </c>
      <c r="Q15" s="263">
        <f>IF(N15&gt;0,N15*J15/S15,0)*VLOOKUP(B15,'2-Kosten'!$A$14:$C$16,3,FALSE)</f>
        <v>0</v>
      </c>
      <c r="R15" s="349">
        <f>IF(L15="nio",0,IF(L15&gt;0,VLOOKUP(G15,'3-Productie normen'!A:M,VLOOKUP(L15,'3-Productie normen'!$B$27:$C$31,2,FALSE),FALSE)))</f>
        <v>0</v>
      </c>
      <c r="S15" s="349">
        <f t="shared" si="1"/>
        <v>0</v>
      </c>
      <c r="T15" s="350" t="s">
        <v>61</v>
      </c>
      <c r="U15" s="350"/>
      <c r="W15" s="351">
        <f t="shared" si="2"/>
        <v>1811.6800000000003</v>
      </c>
    </row>
    <row r="16" spans="1:23" ht="14.1" customHeight="1">
      <c r="A16" s="77">
        <v>16</v>
      </c>
      <c r="B16" s="514" t="s">
        <v>286</v>
      </c>
      <c r="C16" s="331"/>
      <c r="D16" s="347" t="s">
        <v>317</v>
      </c>
      <c r="E16" s="514" t="s">
        <v>293</v>
      </c>
      <c r="F16" s="514" t="s">
        <v>323</v>
      </c>
      <c r="G16" s="316" t="s">
        <v>64</v>
      </c>
      <c r="H16" s="74" t="s">
        <v>264</v>
      </c>
      <c r="I16" s="472" t="s">
        <v>99</v>
      </c>
      <c r="J16" s="347">
        <v>20.05</v>
      </c>
      <c r="K16" s="348">
        <f t="shared" si="0"/>
        <v>365</v>
      </c>
      <c r="L16" s="264">
        <v>255</v>
      </c>
      <c r="M16" s="264">
        <v>102</v>
      </c>
      <c r="N16" s="264">
        <v>8</v>
      </c>
      <c r="O16" s="263" t="e">
        <f>IF(L16="nio",0,IF(L16&gt;0,L16*J16/R16,0))*VLOOKUP(B16,'2-Kosten'!$A$14:$C$16,3,FALSE)</f>
        <v>#DIV/0!</v>
      </c>
      <c r="P16" s="263" t="e">
        <f>IF(M16&gt;0,M16*J16/S16,0)*VLOOKUP(B16,'2-Kosten'!$A$14:$C$16,3,FALSE)</f>
        <v>#DIV/0!</v>
      </c>
      <c r="Q16" s="263" t="e">
        <f>IF(N16&gt;0,N16*J16/S16,0)*VLOOKUP(B16,'2-Kosten'!$A$14:$C$16,3,FALSE)</f>
        <v>#DIV/0!</v>
      </c>
      <c r="R16" s="349">
        <f>IF(L16="nio",0,IF(L16&gt;0,VLOOKUP(G16,'3-Productie normen'!A:M,VLOOKUP(L16,'3-Productie normen'!$B$27:$C$31,2,FALSE),FALSE)))</f>
        <v>0</v>
      </c>
      <c r="S16" s="349">
        <f t="shared" si="1"/>
        <v>0</v>
      </c>
      <c r="T16" s="350" t="s">
        <v>65</v>
      </c>
      <c r="U16" s="350"/>
      <c r="W16" s="351">
        <f t="shared" si="2"/>
        <v>7318.25</v>
      </c>
    </row>
    <row r="17" spans="1:23" ht="14.1" customHeight="1">
      <c r="A17" s="77">
        <v>17</v>
      </c>
      <c r="B17" s="514" t="s">
        <v>286</v>
      </c>
      <c r="C17" s="331"/>
      <c r="D17" s="347" t="s">
        <v>317</v>
      </c>
      <c r="E17" s="514" t="s">
        <v>294</v>
      </c>
      <c r="F17" s="514" t="s">
        <v>321</v>
      </c>
      <c r="G17" s="316" t="s">
        <v>425</v>
      </c>
      <c r="H17" s="74" t="s">
        <v>264</v>
      </c>
      <c r="I17" s="472" t="s">
        <v>99</v>
      </c>
      <c r="J17" s="347">
        <v>9.0399999999999991</v>
      </c>
      <c r="K17" s="348">
        <f t="shared" si="0"/>
        <v>0</v>
      </c>
      <c r="L17" s="264" t="s">
        <v>420</v>
      </c>
      <c r="M17" s="264"/>
      <c r="N17" s="264"/>
      <c r="O17" s="263">
        <f>IF(L17="nio",0,IF(L17&gt;0,L17*J17/R17,0))*VLOOKUP(B17,'2-Kosten'!$A$14:$C$16,3,FALSE)</f>
        <v>0</v>
      </c>
      <c r="P17" s="263">
        <f>IF(M17&gt;0,M17*J17/S17,0)*VLOOKUP(B17,'2-Kosten'!$A$14:$C$16,3,FALSE)</f>
        <v>0</v>
      </c>
      <c r="Q17" s="263">
        <f>IF(N17&gt;0,N17*J17/S17,0)*VLOOKUP(B17,'2-Kosten'!$A$14:$C$16,3,FALSE)</f>
        <v>0</v>
      </c>
      <c r="R17" s="349">
        <f>IF(L17="nio",0,IF(L17&gt;0,VLOOKUP(G17,'3-Productie normen'!A:M,VLOOKUP(L17,'3-Productie normen'!$B$27:$C$31,2,FALSE),FALSE)))</f>
        <v>0</v>
      </c>
      <c r="S17" s="349">
        <f t="shared" si="1"/>
        <v>0</v>
      </c>
      <c r="T17" s="350">
        <f>VLOOKUP(G17,'3-Productie normen'!A:J,10,FALSE)</f>
        <v>0</v>
      </c>
      <c r="U17" s="350"/>
      <c r="W17" s="351">
        <f t="shared" si="2"/>
        <v>0</v>
      </c>
    </row>
    <row r="18" spans="1:23" ht="14.1" customHeight="1">
      <c r="A18" s="77">
        <v>18</v>
      </c>
      <c r="B18" s="514" t="s">
        <v>286</v>
      </c>
      <c r="C18" s="331"/>
      <c r="D18" s="347" t="s">
        <v>317</v>
      </c>
      <c r="E18" s="514" t="s">
        <v>295</v>
      </c>
      <c r="F18" s="514" t="s">
        <v>324</v>
      </c>
      <c r="G18" s="74" t="s">
        <v>62</v>
      </c>
      <c r="H18" s="74" t="s">
        <v>422</v>
      </c>
      <c r="I18" s="472" t="s">
        <v>97</v>
      </c>
      <c r="J18" s="347">
        <v>7.35</v>
      </c>
      <c r="K18" s="348">
        <f t="shared" si="0"/>
        <v>365</v>
      </c>
      <c r="L18" s="264">
        <v>255</v>
      </c>
      <c r="M18" s="264">
        <v>102</v>
      </c>
      <c r="N18" s="264">
        <v>8</v>
      </c>
      <c r="O18" s="263" t="e">
        <f>IF(L18="nio",0,IF(L18&gt;0,L18*J18/R18,0))*VLOOKUP(B18,'2-Kosten'!$A$14:$C$16,3,FALSE)</f>
        <v>#DIV/0!</v>
      </c>
      <c r="P18" s="263" t="e">
        <f>IF(M18&gt;0,M18*J18/S18,0)*VLOOKUP(B18,'2-Kosten'!$A$14:$C$16,3,FALSE)</f>
        <v>#DIV/0!</v>
      </c>
      <c r="Q18" s="263" t="e">
        <f>IF(N18&gt;0,N18*J18/S18,0)*VLOOKUP(B18,'2-Kosten'!$A$14:$C$16,3,FALSE)</f>
        <v>#DIV/0!</v>
      </c>
      <c r="R18" s="349">
        <f>IF(L18="nio",0,IF(L18&gt;0,VLOOKUP(G18,'3-Productie normen'!A:M,VLOOKUP(L18,'3-Productie normen'!$B$27:$C$31,2,FALSE),FALSE)))</f>
        <v>0</v>
      </c>
      <c r="S18" s="349">
        <f t="shared" si="1"/>
        <v>0</v>
      </c>
      <c r="T18" s="350" t="s">
        <v>63</v>
      </c>
      <c r="U18" s="350"/>
      <c r="W18" s="351">
        <f t="shared" si="2"/>
        <v>2682.75</v>
      </c>
    </row>
    <row r="19" spans="1:23" ht="14.1" customHeight="1">
      <c r="A19" s="77">
        <v>19</v>
      </c>
      <c r="B19" s="514" t="s">
        <v>286</v>
      </c>
      <c r="C19" s="331"/>
      <c r="D19" s="347" t="s">
        <v>317</v>
      </c>
      <c r="E19" s="514" t="s">
        <v>296</v>
      </c>
      <c r="F19" s="514" t="s">
        <v>325</v>
      </c>
      <c r="G19" s="74" t="s">
        <v>62</v>
      </c>
      <c r="H19" s="74" t="s">
        <v>422</v>
      </c>
      <c r="I19" s="472" t="s">
        <v>97</v>
      </c>
      <c r="J19" s="347">
        <v>5.49</v>
      </c>
      <c r="K19" s="348">
        <f t="shared" si="0"/>
        <v>365</v>
      </c>
      <c r="L19" s="264">
        <v>255</v>
      </c>
      <c r="M19" s="264">
        <v>102</v>
      </c>
      <c r="N19" s="264">
        <v>8</v>
      </c>
      <c r="O19" s="263" t="e">
        <f>IF(L19="nio",0,IF(L19&gt;0,L19*J19/R19,0))*VLOOKUP(B19,'2-Kosten'!$A$14:$C$16,3,FALSE)</f>
        <v>#DIV/0!</v>
      </c>
      <c r="P19" s="263" t="e">
        <f>IF(M19&gt;0,M19*J19/S19,0)*VLOOKUP(B19,'2-Kosten'!$A$14:$C$16,3,FALSE)</f>
        <v>#DIV/0!</v>
      </c>
      <c r="Q19" s="263" t="e">
        <f>IF(N19&gt;0,N19*J19/S19,0)*VLOOKUP(B19,'2-Kosten'!$A$14:$C$16,3,FALSE)</f>
        <v>#DIV/0!</v>
      </c>
      <c r="R19" s="349">
        <f>IF(L19="nio",0,IF(L19&gt;0,VLOOKUP(G19,'3-Productie normen'!A:M,VLOOKUP(L19,'3-Productie normen'!$B$27:$C$31,2,FALSE),FALSE)))</f>
        <v>0</v>
      </c>
      <c r="S19" s="349">
        <f t="shared" si="1"/>
        <v>0</v>
      </c>
      <c r="T19" s="350" t="s">
        <v>63</v>
      </c>
      <c r="U19" s="350"/>
      <c r="W19" s="351">
        <f t="shared" si="2"/>
        <v>2003.8500000000001</v>
      </c>
    </row>
    <row r="20" spans="1:23" ht="14.1" customHeight="1">
      <c r="A20" s="77">
        <v>20</v>
      </c>
      <c r="B20" s="514" t="s">
        <v>286</v>
      </c>
      <c r="C20" s="335"/>
      <c r="D20" s="347" t="s">
        <v>317</v>
      </c>
      <c r="E20" s="514" t="s">
        <v>297</v>
      </c>
      <c r="F20" s="514" t="s">
        <v>326</v>
      </c>
      <c r="G20" s="74" t="s">
        <v>62</v>
      </c>
      <c r="H20" s="74" t="s">
        <v>422</v>
      </c>
      <c r="I20" s="472" t="s">
        <v>97</v>
      </c>
      <c r="J20" s="347">
        <v>8.4700000000000006</v>
      </c>
      <c r="K20" s="348">
        <f t="shared" si="0"/>
        <v>365</v>
      </c>
      <c r="L20" s="264">
        <v>255</v>
      </c>
      <c r="M20" s="264">
        <v>102</v>
      </c>
      <c r="N20" s="264">
        <v>8</v>
      </c>
      <c r="O20" s="263" t="e">
        <f>IF(L20="nio",0,IF(L20&gt;0,L20*J20/R20,0))*VLOOKUP(B20,'2-Kosten'!$A$14:$C$16,3,FALSE)</f>
        <v>#DIV/0!</v>
      </c>
      <c r="P20" s="263" t="e">
        <f>IF(M20&gt;0,M20*J20/S20,0)*VLOOKUP(B20,'2-Kosten'!$A$14:$C$16,3,FALSE)</f>
        <v>#DIV/0!</v>
      </c>
      <c r="Q20" s="263" t="e">
        <f>IF(N20&gt;0,N20*J20/S20,0)*VLOOKUP(B20,'2-Kosten'!$A$14:$C$16,3,FALSE)</f>
        <v>#DIV/0!</v>
      </c>
      <c r="R20" s="349">
        <f>IF(L20="nio",0,IF(L20&gt;0,VLOOKUP(G20,'3-Productie normen'!A:M,VLOOKUP(L20,'3-Productie normen'!$B$27:$C$31,2,FALSE),FALSE)))</f>
        <v>0</v>
      </c>
      <c r="S20" s="349">
        <f t="shared" si="1"/>
        <v>0</v>
      </c>
      <c r="T20" s="350" t="s">
        <v>63</v>
      </c>
      <c r="U20" s="350"/>
      <c r="W20" s="351">
        <f t="shared" si="2"/>
        <v>3091.55</v>
      </c>
    </row>
    <row r="21" spans="1:23" ht="14.1" customHeight="1">
      <c r="A21" s="77">
        <v>21</v>
      </c>
      <c r="B21" s="514" t="s">
        <v>286</v>
      </c>
      <c r="C21" s="335"/>
      <c r="D21" s="347" t="s">
        <v>317</v>
      </c>
      <c r="E21" s="514" t="s">
        <v>298</v>
      </c>
      <c r="F21" s="514" t="s">
        <v>323</v>
      </c>
      <c r="G21" s="316" t="s">
        <v>64</v>
      </c>
      <c r="H21" s="74" t="s">
        <v>264</v>
      </c>
      <c r="I21" s="472" t="s">
        <v>99</v>
      </c>
      <c r="J21" s="347">
        <v>138.83000000000001</v>
      </c>
      <c r="K21" s="348">
        <f t="shared" si="0"/>
        <v>365</v>
      </c>
      <c r="L21" s="264">
        <v>255</v>
      </c>
      <c r="M21" s="264">
        <v>102</v>
      </c>
      <c r="N21" s="264">
        <v>8</v>
      </c>
      <c r="O21" s="263" t="e">
        <f>IF(L21="nio",0,IF(L21&gt;0,L21*J21/R21,0))*VLOOKUP(B21,'2-Kosten'!$A$14:$C$16,3,FALSE)</f>
        <v>#DIV/0!</v>
      </c>
      <c r="P21" s="263" t="e">
        <f>IF(M21&gt;0,M21*J21/S21,0)*VLOOKUP(B21,'2-Kosten'!$A$14:$C$16,3,FALSE)</f>
        <v>#DIV/0!</v>
      </c>
      <c r="Q21" s="263" t="e">
        <f>IF(N21&gt;0,N21*J21/S21,0)*VLOOKUP(B21,'2-Kosten'!$A$14:$C$16,3,FALSE)</f>
        <v>#DIV/0!</v>
      </c>
      <c r="R21" s="349">
        <f>IF(L21="nio",0,IF(L21&gt;0,VLOOKUP(G21,'3-Productie normen'!A:M,VLOOKUP(L21,'3-Productie normen'!$B$27:$C$31,2,FALSE),FALSE)))</f>
        <v>0</v>
      </c>
      <c r="S21" s="349">
        <f t="shared" si="1"/>
        <v>0</v>
      </c>
      <c r="T21" s="350" t="s">
        <v>65</v>
      </c>
      <c r="U21" s="350"/>
      <c r="W21" s="351">
        <f t="shared" si="2"/>
        <v>50672.950000000004</v>
      </c>
    </row>
    <row r="22" spans="1:23" ht="14.1" customHeight="1">
      <c r="A22" s="77">
        <v>22</v>
      </c>
      <c r="B22" s="514" t="s">
        <v>286</v>
      </c>
      <c r="C22" s="335"/>
      <c r="D22" s="347" t="s">
        <v>317</v>
      </c>
      <c r="E22" s="514" t="s">
        <v>299</v>
      </c>
      <c r="F22" s="514" t="s">
        <v>327</v>
      </c>
      <c r="G22" s="331" t="s">
        <v>68</v>
      </c>
      <c r="H22" s="74" t="s">
        <v>264</v>
      </c>
      <c r="I22" s="472" t="s">
        <v>99</v>
      </c>
      <c r="J22" s="347">
        <v>38.01</v>
      </c>
      <c r="K22" s="348">
        <f t="shared" si="0"/>
        <v>365</v>
      </c>
      <c r="L22" s="264">
        <v>255</v>
      </c>
      <c r="M22" s="264">
        <v>102</v>
      </c>
      <c r="N22" s="264">
        <v>8</v>
      </c>
      <c r="O22" s="263" t="e">
        <f>IF(L22="nio",0,IF(L22&gt;0,L22*J22/R22,0))*VLOOKUP(B22,'2-Kosten'!$A$14:$C$16,3,FALSE)</f>
        <v>#DIV/0!</v>
      </c>
      <c r="P22" s="263" t="e">
        <f>IF(M22&gt;0,M22*J22/S22,0)*VLOOKUP(B22,'2-Kosten'!$A$14:$C$16,3,FALSE)</f>
        <v>#DIV/0!</v>
      </c>
      <c r="Q22" s="263" t="e">
        <f>IF(N22&gt;0,N22*J22/S22,0)*VLOOKUP(B22,'2-Kosten'!$A$14:$C$16,3,FALSE)</f>
        <v>#DIV/0!</v>
      </c>
      <c r="R22" s="349">
        <f>IF(L22="nio",0,IF(L22&gt;0,VLOOKUP(G22,'3-Productie normen'!A:M,VLOOKUP(L22,'3-Productie normen'!$B$27:$C$31,2,FALSE),FALSE)))</f>
        <v>0</v>
      </c>
      <c r="S22" s="349">
        <f t="shared" si="1"/>
        <v>0</v>
      </c>
      <c r="T22" s="350" t="s">
        <v>65</v>
      </c>
      <c r="U22" s="350"/>
      <c r="W22" s="351">
        <f t="shared" si="2"/>
        <v>13873.65</v>
      </c>
    </row>
    <row r="23" spans="1:23" ht="14.1" customHeight="1">
      <c r="A23" s="77">
        <v>23</v>
      </c>
      <c r="B23" s="514" t="s">
        <v>286</v>
      </c>
      <c r="C23" s="316"/>
      <c r="D23" s="347" t="s">
        <v>317</v>
      </c>
      <c r="E23" s="514" t="s">
        <v>300</v>
      </c>
      <c r="F23" s="514" t="s">
        <v>328</v>
      </c>
      <c r="G23" s="74" t="s">
        <v>426</v>
      </c>
      <c r="H23" s="74" t="s">
        <v>422</v>
      </c>
      <c r="I23" s="472" t="s">
        <v>97</v>
      </c>
      <c r="J23" s="347">
        <v>8.56</v>
      </c>
      <c r="K23" s="348">
        <f t="shared" si="0"/>
        <v>365</v>
      </c>
      <c r="L23" s="264">
        <v>255</v>
      </c>
      <c r="M23" s="264">
        <v>102</v>
      </c>
      <c r="N23" s="264">
        <v>8</v>
      </c>
      <c r="O23" s="263" t="e">
        <f>IF(L23="nio",0,IF(L23&gt;0,L23*J23/R23,0))*VLOOKUP(B23,'2-Kosten'!$A$14:$C$16,3,FALSE)</f>
        <v>#DIV/0!</v>
      </c>
      <c r="P23" s="263" t="e">
        <f>IF(M23&gt;0,M23*J23/S23,0)*VLOOKUP(B23,'2-Kosten'!$A$14:$C$16,3,FALSE)</f>
        <v>#DIV/0!</v>
      </c>
      <c r="Q23" s="263" t="e">
        <f>IF(N23&gt;0,N23*J23/S23,0)*VLOOKUP(B23,'2-Kosten'!$A$14:$C$16,3,FALSE)</f>
        <v>#DIV/0!</v>
      </c>
      <c r="R23" s="349">
        <f>IF(L23="nio",0,IF(L23&gt;0,VLOOKUP(G23,'3-Productie normen'!A:M,VLOOKUP(L23,'3-Productie normen'!$B$27:$C$31,2,FALSE),FALSE)))</f>
        <v>0</v>
      </c>
      <c r="S23" s="349">
        <f t="shared" si="1"/>
        <v>0</v>
      </c>
      <c r="T23" s="350" t="s">
        <v>63</v>
      </c>
      <c r="U23" s="350"/>
      <c r="W23" s="351">
        <f t="shared" si="2"/>
        <v>3124.4</v>
      </c>
    </row>
    <row r="24" spans="1:23" ht="14.1" customHeight="1">
      <c r="A24" s="77">
        <v>24</v>
      </c>
      <c r="B24" s="514" t="s">
        <v>286</v>
      </c>
      <c r="C24" s="316"/>
      <c r="D24" s="347" t="s">
        <v>317</v>
      </c>
      <c r="E24" s="514" t="s">
        <v>301</v>
      </c>
      <c r="F24" s="514" t="s">
        <v>329</v>
      </c>
      <c r="G24" s="331" t="s">
        <v>426</v>
      </c>
      <c r="H24" s="74" t="s">
        <v>422</v>
      </c>
      <c r="I24" s="472" t="s">
        <v>97</v>
      </c>
      <c r="J24" s="347">
        <v>9.3000000000000007</v>
      </c>
      <c r="K24" s="348">
        <f t="shared" si="0"/>
        <v>365</v>
      </c>
      <c r="L24" s="264">
        <v>255</v>
      </c>
      <c r="M24" s="264">
        <v>102</v>
      </c>
      <c r="N24" s="264">
        <v>8</v>
      </c>
      <c r="O24" s="263" t="e">
        <f>IF(L24="nio",0,IF(L24&gt;0,L24*J24/R24,0))*VLOOKUP(B24,'2-Kosten'!$A$14:$C$16,3,FALSE)</f>
        <v>#DIV/0!</v>
      </c>
      <c r="P24" s="263" t="e">
        <f>IF(M24&gt;0,M24*J24/S24,0)*VLOOKUP(B24,'2-Kosten'!$A$14:$C$16,3,FALSE)</f>
        <v>#DIV/0!</v>
      </c>
      <c r="Q24" s="263" t="e">
        <f>IF(N24&gt;0,N24*J24/S24,0)*VLOOKUP(B24,'2-Kosten'!$A$14:$C$16,3,FALSE)</f>
        <v>#DIV/0!</v>
      </c>
      <c r="R24" s="349">
        <f>IF(L24="nio",0,IF(L24&gt;0,VLOOKUP(G24,'3-Productie normen'!A:M,VLOOKUP(L24,'3-Productie normen'!$B$27:$C$31,2,FALSE),FALSE)))</f>
        <v>0</v>
      </c>
      <c r="S24" s="349">
        <f t="shared" si="1"/>
        <v>0</v>
      </c>
      <c r="T24" s="350" t="s">
        <v>63</v>
      </c>
      <c r="U24" s="350"/>
      <c r="W24" s="351">
        <f t="shared" si="2"/>
        <v>3394.5000000000005</v>
      </c>
    </row>
    <row r="25" spans="1:23" ht="14.1" customHeight="1">
      <c r="A25" s="77">
        <v>25</v>
      </c>
      <c r="B25" s="514" t="s">
        <v>286</v>
      </c>
      <c r="C25" s="316"/>
      <c r="D25" s="347" t="s">
        <v>317</v>
      </c>
      <c r="E25" s="514" t="s">
        <v>302</v>
      </c>
      <c r="F25" s="514" t="s">
        <v>330</v>
      </c>
      <c r="G25" s="331" t="s">
        <v>67</v>
      </c>
      <c r="H25" s="74" t="s">
        <v>264</v>
      </c>
      <c r="I25" s="472" t="s">
        <v>99</v>
      </c>
      <c r="J25" s="347">
        <v>2.16</v>
      </c>
      <c r="K25" s="348">
        <f t="shared" si="0"/>
        <v>12</v>
      </c>
      <c r="L25" s="264">
        <v>12</v>
      </c>
      <c r="M25" s="264"/>
      <c r="N25" s="264"/>
      <c r="O25" s="263" t="e">
        <f>IF(L25="nio",0,IF(L25&gt;0,L25*J25/R25,0))*VLOOKUP(B25,'2-Kosten'!$A$14:$C$16,3,FALSE)</f>
        <v>#DIV/0!</v>
      </c>
      <c r="P25" s="263">
        <f>IF(M25&gt;0,M25*J25/S25,0)*VLOOKUP(B25,'2-Kosten'!$A$14:$C$16,3,FALSE)</f>
        <v>0</v>
      </c>
      <c r="Q25" s="263">
        <f>IF(N25&gt;0,N25*J25/S25,0)*VLOOKUP(B25,'2-Kosten'!$A$14:$C$16,3,FALSE)</f>
        <v>0</v>
      </c>
      <c r="R25" s="349">
        <f>IF(L25="nio",0,IF(L25&gt;0,VLOOKUP(G25,'3-Productie normen'!A:M,VLOOKUP(L25,'3-Productie normen'!$B$27:$C$31,2,FALSE),FALSE)))</f>
        <v>0</v>
      </c>
      <c r="S25" s="349">
        <f t="shared" si="1"/>
        <v>0</v>
      </c>
      <c r="T25" s="350" t="s">
        <v>65</v>
      </c>
      <c r="U25" s="350"/>
      <c r="W25" s="351">
        <f t="shared" si="2"/>
        <v>25.92</v>
      </c>
    </row>
    <row r="26" spans="1:23" ht="14.1" customHeight="1">
      <c r="A26" s="77">
        <v>26</v>
      </c>
      <c r="B26" s="514" t="s">
        <v>286</v>
      </c>
      <c r="D26" s="347" t="s">
        <v>317</v>
      </c>
      <c r="E26" s="514" t="s">
        <v>303</v>
      </c>
      <c r="F26" s="514" t="s">
        <v>331</v>
      </c>
      <c r="G26" s="316" t="s">
        <v>425</v>
      </c>
      <c r="H26" s="74" t="s">
        <v>264</v>
      </c>
      <c r="I26" s="472" t="s">
        <v>99</v>
      </c>
      <c r="J26" s="347">
        <v>43.03</v>
      </c>
      <c r="K26" s="348">
        <f t="shared" si="0"/>
        <v>0</v>
      </c>
      <c r="L26" s="264" t="s">
        <v>420</v>
      </c>
      <c r="M26" s="264"/>
      <c r="N26" s="264"/>
      <c r="O26" s="263">
        <f>IF(L26="nio",0,IF(L26&gt;0,L26*J26/R26,0))*VLOOKUP(B26,'2-Kosten'!$A$14:$C$16,3,FALSE)</f>
        <v>0</v>
      </c>
      <c r="P26" s="263">
        <f>IF(M26&gt;0,M26*J26/S26,0)*VLOOKUP(B26,'2-Kosten'!$A$14:$C$16,3,FALSE)</f>
        <v>0</v>
      </c>
      <c r="Q26" s="263">
        <f>IF(N26&gt;0,N26*J26/S26,0)*VLOOKUP(B26,'2-Kosten'!$A$14:$C$16,3,FALSE)</f>
        <v>0</v>
      </c>
      <c r="R26" s="349">
        <f>IF(L26="nio",0,IF(L26&gt;0,VLOOKUP(G26,'3-Productie normen'!A:M,VLOOKUP(L26,'3-Productie normen'!$B$27:$C$31,2,FALSE),FALSE)))</f>
        <v>0</v>
      </c>
      <c r="S26" s="349">
        <f t="shared" si="1"/>
        <v>0</v>
      </c>
      <c r="T26" s="350">
        <f>VLOOKUP(G26,'3-Productie normen'!A:J,10,FALSE)</f>
        <v>0</v>
      </c>
      <c r="U26" s="350"/>
      <c r="W26" s="351">
        <f t="shared" si="2"/>
        <v>0</v>
      </c>
    </row>
    <row r="27" spans="1:23" ht="14.1" customHeight="1">
      <c r="A27" s="77">
        <v>27</v>
      </c>
      <c r="B27" s="514" t="s">
        <v>286</v>
      </c>
      <c r="C27" s="316"/>
      <c r="D27" s="347" t="s">
        <v>317</v>
      </c>
      <c r="E27" s="514" t="s">
        <v>304</v>
      </c>
      <c r="F27" s="514" t="s">
        <v>331</v>
      </c>
      <c r="G27" s="316" t="s">
        <v>425</v>
      </c>
      <c r="H27" s="74" t="s">
        <v>264</v>
      </c>
      <c r="I27" s="472" t="s">
        <v>99</v>
      </c>
      <c r="J27" s="347">
        <v>39.76</v>
      </c>
      <c r="K27" s="348">
        <f t="shared" si="0"/>
        <v>0</v>
      </c>
      <c r="L27" s="264" t="s">
        <v>420</v>
      </c>
      <c r="M27" s="264"/>
      <c r="N27" s="264"/>
      <c r="O27" s="263">
        <f>IF(L27="nio",0,IF(L27&gt;0,L27*J27/R27,0))*VLOOKUP(B27,'2-Kosten'!$A$14:$C$16,3,FALSE)</f>
        <v>0</v>
      </c>
      <c r="P27" s="263">
        <f>IF(M27&gt;0,M27*J27/S27,0)*VLOOKUP(B27,'2-Kosten'!$A$14:$C$16,3,FALSE)</f>
        <v>0</v>
      </c>
      <c r="Q27" s="263">
        <f>IF(N27&gt;0,N27*J27/S27,0)*VLOOKUP(B27,'2-Kosten'!$A$14:$C$16,3,FALSE)</f>
        <v>0</v>
      </c>
      <c r="R27" s="349">
        <f>IF(L27="nio",0,IF(L27&gt;0,VLOOKUP(G27,'3-Productie normen'!A:M,VLOOKUP(L27,'3-Productie normen'!$B$27:$C$31,2,FALSE),FALSE)))</f>
        <v>0</v>
      </c>
      <c r="S27" s="349">
        <f t="shared" si="1"/>
        <v>0</v>
      </c>
      <c r="T27" s="350">
        <f>VLOOKUP(G27,'3-Productie normen'!A:J,10,FALSE)</f>
        <v>0</v>
      </c>
      <c r="U27" s="350"/>
      <c r="W27" s="351">
        <f t="shared" si="2"/>
        <v>0</v>
      </c>
    </row>
    <row r="28" spans="1:23" ht="14.1" customHeight="1">
      <c r="A28" s="77">
        <v>28</v>
      </c>
      <c r="B28" s="514" t="s">
        <v>286</v>
      </c>
      <c r="C28" s="316"/>
      <c r="D28" s="347" t="s">
        <v>317</v>
      </c>
      <c r="E28" s="514" t="s">
        <v>305</v>
      </c>
      <c r="F28" s="514" t="s">
        <v>331</v>
      </c>
      <c r="G28" s="316" t="s">
        <v>425</v>
      </c>
      <c r="H28" s="74" t="s">
        <v>264</v>
      </c>
      <c r="I28" s="472" t="s">
        <v>99</v>
      </c>
      <c r="J28" s="347">
        <v>39.76</v>
      </c>
      <c r="K28" s="348">
        <f t="shared" si="0"/>
        <v>0</v>
      </c>
      <c r="L28" s="264" t="s">
        <v>420</v>
      </c>
      <c r="M28" s="264"/>
      <c r="N28" s="264"/>
      <c r="O28" s="263">
        <f>IF(L28="nio",0,IF(L28&gt;0,L28*J28/R28,0))*VLOOKUP(B28,'2-Kosten'!$A$14:$C$16,3,FALSE)</f>
        <v>0</v>
      </c>
      <c r="P28" s="263">
        <f>IF(M28&gt;0,M28*J28/S28,0)*VLOOKUP(B28,'2-Kosten'!$A$14:$C$16,3,FALSE)</f>
        <v>0</v>
      </c>
      <c r="Q28" s="263">
        <f>IF(N28&gt;0,N28*J28/S28,0)*VLOOKUP(B28,'2-Kosten'!$A$14:$C$16,3,FALSE)</f>
        <v>0</v>
      </c>
      <c r="R28" s="349">
        <f>IF(L28="nio",0,IF(L28&gt;0,VLOOKUP(G28,'3-Productie normen'!A:M,VLOOKUP(L28,'3-Productie normen'!$B$27:$C$31,2,FALSE),FALSE)))</f>
        <v>0</v>
      </c>
      <c r="S28" s="349">
        <f t="shared" si="1"/>
        <v>0</v>
      </c>
      <c r="T28" s="350">
        <f>VLOOKUP(G28,'3-Productie normen'!A:J,10,FALSE)</f>
        <v>0</v>
      </c>
      <c r="U28" s="350"/>
      <c r="W28" s="351">
        <f t="shared" si="2"/>
        <v>0</v>
      </c>
    </row>
    <row r="29" spans="1:23" ht="14.1" customHeight="1">
      <c r="A29" s="77">
        <v>29</v>
      </c>
      <c r="B29" s="514" t="s">
        <v>286</v>
      </c>
      <c r="C29" s="316"/>
      <c r="D29" s="347" t="s">
        <v>317</v>
      </c>
      <c r="E29" s="514" t="s">
        <v>306</v>
      </c>
      <c r="F29" s="514" t="s">
        <v>331</v>
      </c>
      <c r="G29" s="316" t="s">
        <v>425</v>
      </c>
      <c r="H29" s="74" t="s">
        <v>264</v>
      </c>
      <c r="I29" s="472" t="s">
        <v>99</v>
      </c>
      <c r="J29" s="347">
        <v>39.729999999999997</v>
      </c>
      <c r="K29" s="348">
        <f t="shared" si="0"/>
        <v>0</v>
      </c>
      <c r="L29" s="264" t="s">
        <v>420</v>
      </c>
      <c r="M29" s="264"/>
      <c r="N29" s="264"/>
      <c r="O29" s="263">
        <f>IF(L29="nio",0,IF(L29&gt;0,L29*J29/R29,0))*VLOOKUP(B29,'2-Kosten'!$A$14:$C$16,3,FALSE)</f>
        <v>0</v>
      </c>
      <c r="P29" s="263">
        <f>IF(M29&gt;0,M29*J29/S29,0)*VLOOKUP(B29,'2-Kosten'!$A$14:$C$16,3,FALSE)</f>
        <v>0</v>
      </c>
      <c r="Q29" s="263">
        <f>IF(N29&gt;0,N29*J29/S29,0)*VLOOKUP(B29,'2-Kosten'!$A$14:$C$16,3,FALSE)</f>
        <v>0</v>
      </c>
      <c r="R29" s="349">
        <f>IF(L29="nio",0,IF(L29&gt;0,VLOOKUP(G29,'3-Productie normen'!A:M,VLOOKUP(L29,'3-Productie normen'!$B$27:$C$31,2,FALSE),FALSE)))</f>
        <v>0</v>
      </c>
      <c r="S29" s="349">
        <f t="shared" si="1"/>
        <v>0</v>
      </c>
      <c r="T29" s="350">
        <f>VLOOKUP(G29,'3-Productie normen'!A:J,10,FALSE)</f>
        <v>0</v>
      </c>
      <c r="U29" s="350"/>
      <c r="W29" s="351">
        <f t="shared" si="2"/>
        <v>0</v>
      </c>
    </row>
    <row r="30" spans="1:23" ht="14.1" customHeight="1">
      <c r="A30" s="77">
        <v>30</v>
      </c>
      <c r="B30" s="514" t="s">
        <v>286</v>
      </c>
      <c r="C30" s="316"/>
      <c r="D30" s="347" t="s">
        <v>317</v>
      </c>
      <c r="E30" s="514" t="s">
        <v>307</v>
      </c>
      <c r="F30" s="514" t="s">
        <v>332</v>
      </c>
      <c r="G30" s="316" t="s">
        <v>425</v>
      </c>
      <c r="H30" s="74" t="s">
        <v>264</v>
      </c>
      <c r="I30" s="472" t="s">
        <v>99</v>
      </c>
      <c r="J30" s="347">
        <v>59.78</v>
      </c>
      <c r="K30" s="348">
        <f t="shared" si="0"/>
        <v>0</v>
      </c>
      <c r="L30" s="264" t="s">
        <v>420</v>
      </c>
      <c r="M30" s="264"/>
      <c r="N30" s="264"/>
      <c r="O30" s="263">
        <f>IF(L30="nio",0,IF(L30&gt;0,L30*J30/R30,0))*VLOOKUP(B30,'2-Kosten'!$A$14:$C$16,3,FALSE)</f>
        <v>0</v>
      </c>
      <c r="P30" s="263">
        <f>IF(M30&gt;0,M30*J30/S30,0)*VLOOKUP(B30,'2-Kosten'!$A$14:$C$16,3,FALSE)</f>
        <v>0</v>
      </c>
      <c r="Q30" s="263">
        <f>IF(N30&gt;0,N30*J30/S30,0)*VLOOKUP(B30,'2-Kosten'!$A$14:$C$16,3,FALSE)</f>
        <v>0</v>
      </c>
      <c r="R30" s="349">
        <f>IF(L30="nio",0,IF(L30&gt;0,VLOOKUP(G30,'3-Productie normen'!A:M,VLOOKUP(L30,'3-Productie normen'!$B$27:$C$31,2,FALSE),FALSE)))</f>
        <v>0</v>
      </c>
      <c r="S30" s="349">
        <f t="shared" si="1"/>
        <v>0</v>
      </c>
      <c r="T30" s="350">
        <f>VLOOKUP(G30,'3-Productie normen'!A:J,10,FALSE)</f>
        <v>0</v>
      </c>
      <c r="U30" s="350"/>
      <c r="W30" s="351">
        <f t="shared" si="2"/>
        <v>0</v>
      </c>
    </row>
    <row r="31" spans="1:23" ht="14.1" customHeight="1">
      <c r="A31" s="77">
        <v>31</v>
      </c>
      <c r="B31" s="514" t="s">
        <v>286</v>
      </c>
      <c r="C31" s="316"/>
      <c r="D31" s="347" t="s">
        <v>317</v>
      </c>
      <c r="E31" s="514" t="s">
        <v>308</v>
      </c>
      <c r="F31" s="514" t="s">
        <v>333</v>
      </c>
      <c r="G31" s="335" t="s">
        <v>442</v>
      </c>
      <c r="H31" s="74" t="s">
        <v>264</v>
      </c>
      <c r="I31" s="472" t="s">
        <v>99</v>
      </c>
      <c r="J31" s="347">
        <v>32.61</v>
      </c>
      <c r="K31" s="348">
        <f t="shared" si="0"/>
        <v>156</v>
      </c>
      <c r="L31" s="264">
        <v>156</v>
      </c>
      <c r="M31" s="264"/>
      <c r="N31" s="264"/>
      <c r="O31" s="263" t="e">
        <f>IF(L31="nio",0,IF(L31&gt;0,L31*J31/R31,0))*VLOOKUP(B31,'2-Kosten'!$A$14:$C$16,3,FALSE)</f>
        <v>#DIV/0!</v>
      </c>
      <c r="P31" s="263">
        <f>IF(M31&gt;0,M31*J31/S31,0)*VLOOKUP(B31,'2-Kosten'!$A$14:$C$16,3,FALSE)</f>
        <v>0</v>
      </c>
      <c r="Q31" s="263">
        <f>IF(N31&gt;0,N31*J31/S31,0)*VLOOKUP(B31,'2-Kosten'!$A$14:$C$16,3,FALSE)</f>
        <v>0</v>
      </c>
      <c r="R31" s="349">
        <f>IF(L31="nio",0,IF(L31&gt;0,VLOOKUP(G31,'3-Productie normen'!A:M,VLOOKUP(L31,'3-Productie normen'!$B$27:$C$31,2,FALSE),FALSE)))</f>
        <v>0</v>
      </c>
      <c r="S31" s="349">
        <f t="shared" si="1"/>
        <v>0</v>
      </c>
      <c r="T31" s="350" t="s">
        <v>65</v>
      </c>
      <c r="U31" s="350"/>
      <c r="W31" s="351">
        <f t="shared" si="2"/>
        <v>5087.16</v>
      </c>
    </row>
    <row r="32" spans="1:23" ht="14.1" customHeight="1">
      <c r="A32" s="77">
        <v>32</v>
      </c>
      <c r="B32" s="514" t="s">
        <v>286</v>
      </c>
      <c r="C32" s="316"/>
      <c r="D32" s="347" t="s">
        <v>317</v>
      </c>
      <c r="E32" s="514" t="s">
        <v>309</v>
      </c>
      <c r="F32" s="514" t="s">
        <v>334</v>
      </c>
      <c r="G32" s="331" t="s">
        <v>67</v>
      </c>
      <c r="H32" s="74" t="s">
        <v>264</v>
      </c>
      <c r="I32" s="472" t="s">
        <v>99</v>
      </c>
      <c r="J32" s="347">
        <v>36.69</v>
      </c>
      <c r="K32" s="348">
        <f t="shared" si="0"/>
        <v>12</v>
      </c>
      <c r="L32" s="264">
        <v>12</v>
      </c>
      <c r="M32" s="264"/>
      <c r="N32" s="264"/>
      <c r="O32" s="263" t="e">
        <f>IF(L32="nio",0,IF(L32&gt;0,L32*J32/R32,0))*VLOOKUP(B32,'2-Kosten'!$A$14:$C$16,3,FALSE)</f>
        <v>#DIV/0!</v>
      </c>
      <c r="P32" s="263">
        <f>IF(M32&gt;0,M32*J32/S32,0)*VLOOKUP(B32,'2-Kosten'!$A$14:$C$16,3,FALSE)</f>
        <v>0</v>
      </c>
      <c r="Q32" s="263">
        <f>IF(N32&gt;0,N32*J32/S32,0)*VLOOKUP(B32,'2-Kosten'!$A$14:$C$16,3,FALSE)</f>
        <v>0</v>
      </c>
      <c r="R32" s="349">
        <f>IF(L32="nio",0,IF(L32&gt;0,VLOOKUP(G32,'3-Productie normen'!A:M,VLOOKUP(L32,'3-Productie normen'!$B$27:$C$31,2,FALSE),FALSE)))</f>
        <v>0</v>
      </c>
      <c r="S32" s="349">
        <f t="shared" si="1"/>
        <v>0</v>
      </c>
      <c r="T32" s="350" t="s">
        <v>65</v>
      </c>
      <c r="U32" s="350"/>
      <c r="W32" s="351">
        <f t="shared" si="2"/>
        <v>440.28</v>
      </c>
    </row>
    <row r="33" spans="1:23" ht="14.1" customHeight="1">
      <c r="A33" s="77">
        <v>33</v>
      </c>
      <c r="B33" s="514" t="s">
        <v>286</v>
      </c>
      <c r="C33" s="316"/>
      <c r="D33" s="347" t="s">
        <v>317</v>
      </c>
      <c r="E33" s="514" t="s">
        <v>310</v>
      </c>
      <c r="F33" s="514" t="s">
        <v>335</v>
      </c>
      <c r="G33" s="316" t="s">
        <v>425</v>
      </c>
      <c r="H33" s="74" t="s">
        <v>264</v>
      </c>
      <c r="I33" s="472" t="s">
        <v>99</v>
      </c>
      <c r="J33" s="347">
        <v>33.6</v>
      </c>
      <c r="K33" s="348">
        <f t="shared" si="0"/>
        <v>0</v>
      </c>
      <c r="L33" s="264" t="s">
        <v>420</v>
      </c>
      <c r="M33" s="264"/>
      <c r="N33" s="264"/>
      <c r="O33" s="263">
        <f>IF(L33="nio",0,IF(L33&gt;0,L33*J33/R33,0))*VLOOKUP(B33,'2-Kosten'!$A$14:$C$16,3,FALSE)</f>
        <v>0</v>
      </c>
      <c r="P33" s="263">
        <f>IF(M33&gt;0,M33*J33/S33,0)*VLOOKUP(B33,'2-Kosten'!$A$14:$C$16,3,FALSE)</f>
        <v>0</v>
      </c>
      <c r="Q33" s="263">
        <f>IF(N33&gt;0,N33*J33/S33,0)*VLOOKUP(B33,'2-Kosten'!$A$14:$C$16,3,FALSE)</f>
        <v>0</v>
      </c>
      <c r="R33" s="349">
        <f>IF(L33="nio",0,IF(L33&gt;0,VLOOKUP(G33,'3-Productie normen'!A:M,VLOOKUP(L33,'3-Productie normen'!$B$27:$C$31,2,FALSE),FALSE)))</f>
        <v>0</v>
      </c>
      <c r="S33" s="349">
        <f t="shared" si="1"/>
        <v>0</v>
      </c>
      <c r="T33" s="350">
        <f>VLOOKUP(G33,'3-Productie normen'!A:J,10,FALSE)</f>
        <v>0</v>
      </c>
      <c r="U33" s="350"/>
      <c r="W33" s="351">
        <f t="shared" si="2"/>
        <v>0</v>
      </c>
    </row>
    <row r="34" spans="1:23" ht="14.1" customHeight="1">
      <c r="A34" s="77">
        <v>34</v>
      </c>
      <c r="B34" s="514" t="s">
        <v>286</v>
      </c>
      <c r="C34" s="316"/>
      <c r="D34" s="347" t="s">
        <v>317</v>
      </c>
      <c r="E34" s="514" t="s">
        <v>311</v>
      </c>
      <c r="F34" s="514" t="s">
        <v>336</v>
      </c>
      <c r="G34" s="316" t="s">
        <v>425</v>
      </c>
      <c r="H34" s="74" t="s">
        <v>264</v>
      </c>
      <c r="I34" s="472" t="s">
        <v>99</v>
      </c>
      <c r="J34" s="347">
        <v>22.95</v>
      </c>
      <c r="K34" s="348">
        <f t="shared" si="0"/>
        <v>0</v>
      </c>
      <c r="L34" s="264" t="s">
        <v>420</v>
      </c>
      <c r="M34" s="264"/>
      <c r="N34" s="264"/>
      <c r="O34" s="263">
        <f>IF(L34="nio",0,IF(L34&gt;0,L34*J34/R34,0))*VLOOKUP(B34,'2-Kosten'!$A$14:$C$16,3,FALSE)</f>
        <v>0</v>
      </c>
      <c r="P34" s="263">
        <f>IF(M34&gt;0,M34*J34/S34,0)*VLOOKUP(B34,'2-Kosten'!$A$14:$C$16,3,FALSE)</f>
        <v>0</v>
      </c>
      <c r="Q34" s="263">
        <f>IF(N34&gt;0,N34*J34/S34,0)*VLOOKUP(B34,'2-Kosten'!$A$14:$C$16,3,FALSE)</f>
        <v>0</v>
      </c>
      <c r="R34" s="349">
        <f>IF(L34="nio",0,IF(L34&gt;0,VLOOKUP(G34,'3-Productie normen'!A:M,VLOOKUP(L34,'3-Productie normen'!$B$27:$C$31,2,FALSE),FALSE)))</f>
        <v>0</v>
      </c>
      <c r="S34" s="349">
        <f t="shared" si="1"/>
        <v>0</v>
      </c>
      <c r="T34" s="350">
        <f>VLOOKUP(G34,'3-Productie normen'!A:J,10,FALSE)</f>
        <v>0</v>
      </c>
      <c r="U34" s="350"/>
      <c r="W34" s="351">
        <f t="shared" si="2"/>
        <v>0</v>
      </c>
    </row>
    <row r="35" spans="1:23" ht="14.1" customHeight="1">
      <c r="A35" s="77">
        <v>35</v>
      </c>
      <c r="B35" s="514" t="s">
        <v>286</v>
      </c>
      <c r="C35" s="316"/>
      <c r="D35" s="347" t="s">
        <v>317</v>
      </c>
      <c r="E35" s="514" t="s">
        <v>312</v>
      </c>
      <c r="F35" s="514" t="s">
        <v>331</v>
      </c>
      <c r="G35" s="316" t="s">
        <v>425</v>
      </c>
      <c r="H35" s="74" t="s">
        <v>264</v>
      </c>
      <c r="I35" s="472" t="s">
        <v>99</v>
      </c>
      <c r="J35" s="347">
        <v>39.950000000000003</v>
      </c>
      <c r="K35" s="348">
        <f t="shared" si="0"/>
        <v>0</v>
      </c>
      <c r="L35" s="264" t="s">
        <v>420</v>
      </c>
      <c r="M35" s="264"/>
      <c r="N35" s="264"/>
      <c r="O35" s="263">
        <f>IF(L35="nio",0,IF(L35&gt;0,L35*J35/R35,0))*VLOOKUP(B35,'2-Kosten'!$A$14:$C$16,3,FALSE)</f>
        <v>0</v>
      </c>
      <c r="P35" s="263">
        <f>IF(M35&gt;0,M35*J35/S35,0)*VLOOKUP(B35,'2-Kosten'!$A$14:$C$16,3,FALSE)</f>
        <v>0</v>
      </c>
      <c r="Q35" s="263">
        <f>IF(N35&gt;0,N35*J35/S35,0)*VLOOKUP(B35,'2-Kosten'!$A$14:$C$16,3,FALSE)</f>
        <v>0</v>
      </c>
      <c r="R35" s="349">
        <f>IF(L35="nio",0,IF(L35&gt;0,VLOOKUP(G35,'3-Productie normen'!A:M,VLOOKUP(L35,'3-Productie normen'!$B$27:$C$31,2,FALSE),FALSE)))</f>
        <v>0</v>
      </c>
      <c r="S35" s="349">
        <f t="shared" si="1"/>
        <v>0</v>
      </c>
      <c r="T35" s="350">
        <f>VLOOKUP(G35,'3-Productie normen'!A:J,10,FALSE)</f>
        <v>0</v>
      </c>
      <c r="U35" s="350"/>
      <c r="W35" s="351">
        <f t="shared" si="2"/>
        <v>0</v>
      </c>
    </row>
    <row r="36" spans="1:23" ht="14.1" customHeight="1">
      <c r="A36" s="77">
        <v>36</v>
      </c>
      <c r="B36" s="514" t="s">
        <v>286</v>
      </c>
      <c r="C36" s="316"/>
      <c r="D36" s="347" t="s">
        <v>317</v>
      </c>
      <c r="E36" s="514" t="s">
        <v>313</v>
      </c>
      <c r="F36" s="514" t="s">
        <v>331</v>
      </c>
      <c r="G36" s="316" t="s">
        <v>425</v>
      </c>
      <c r="H36" s="74" t="s">
        <v>264</v>
      </c>
      <c r="I36" s="472" t="s">
        <v>99</v>
      </c>
      <c r="J36" s="347">
        <v>40</v>
      </c>
      <c r="K36" s="348">
        <f t="shared" si="0"/>
        <v>0</v>
      </c>
      <c r="L36" s="264" t="s">
        <v>420</v>
      </c>
      <c r="M36" s="264"/>
      <c r="N36" s="264"/>
      <c r="O36" s="263">
        <f>IF(L36="nio",0,IF(L36&gt;0,L36*J36/R36,0))*VLOOKUP(B36,'2-Kosten'!$A$14:$C$16,3,FALSE)</f>
        <v>0</v>
      </c>
      <c r="P36" s="263">
        <f>IF(M36&gt;0,M36*J36/S36,0)*VLOOKUP(B36,'2-Kosten'!$A$14:$C$16,3,FALSE)</f>
        <v>0</v>
      </c>
      <c r="Q36" s="263">
        <f>IF(N36&gt;0,N36*J36/S36,0)*VLOOKUP(B36,'2-Kosten'!$A$14:$C$16,3,FALSE)</f>
        <v>0</v>
      </c>
      <c r="R36" s="349">
        <f>IF(L36="nio",0,IF(L36&gt;0,VLOOKUP(G36,'3-Productie normen'!A:M,VLOOKUP(L36,'3-Productie normen'!$B$27:$C$31,2,FALSE),FALSE)))</f>
        <v>0</v>
      </c>
      <c r="S36" s="349">
        <f t="shared" si="1"/>
        <v>0</v>
      </c>
      <c r="T36" s="350">
        <f>VLOOKUP(G36,'3-Productie normen'!A:J,10,FALSE)</f>
        <v>0</v>
      </c>
      <c r="U36" s="350"/>
      <c r="W36" s="351">
        <f t="shared" si="2"/>
        <v>0</v>
      </c>
    </row>
    <row r="37" spans="1:23" ht="14.1" customHeight="1">
      <c r="A37" s="77">
        <v>37</v>
      </c>
      <c r="B37" s="514" t="s">
        <v>286</v>
      </c>
      <c r="C37" s="316"/>
      <c r="D37" s="347" t="s">
        <v>317</v>
      </c>
      <c r="E37" s="514" t="s">
        <v>314</v>
      </c>
      <c r="F37" s="514" t="s">
        <v>337</v>
      </c>
      <c r="G37" s="316" t="s">
        <v>425</v>
      </c>
      <c r="H37" s="74" t="s">
        <v>264</v>
      </c>
      <c r="I37" s="472" t="s">
        <v>99</v>
      </c>
      <c r="J37" s="347">
        <v>56.08</v>
      </c>
      <c r="K37" s="348">
        <f t="shared" si="0"/>
        <v>0</v>
      </c>
      <c r="L37" s="264" t="s">
        <v>420</v>
      </c>
      <c r="M37" s="264"/>
      <c r="N37" s="264"/>
      <c r="O37" s="263">
        <f>IF(L37="nio",0,IF(L37&gt;0,L37*J37/R37,0))*VLOOKUP(B37,'2-Kosten'!$A$14:$C$16,3,FALSE)</f>
        <v>0</v>
      </c>
      <c r="P37" s="263">
        <f>IF(M37&gt;0,M37*J37/S37,0)*VLOOKUP(B37,'2-Kosten'!$A$14:$C$16,3,FALSE)</f>
        <v>0</v>
      </c>
      <c r="Q37" s="263">
        <f>IF(N37&gt;0,N37*J37/S37,0)*VLOOKUP(B37,'2-Kosten'!$A$14:$C$16,3,FALSE)</f>
        <v>0</v>
      </c>
      <c r="R37" s="349">
        <f>IF(L37="nio",0,IF(L37&gt;0,VLOOKUP(G37,'3-Productie normen'!A:M,VLOOKUP(L37,'3-Productie normen'!$B$27:$C$31,2,FALSE),FALSE)))</f>
        <v>0</v>
      </c>
      <c r="S37" s="349">
        <f t="shared" si="1"/>
        <v>0</v>
      </c>
      <c r="T37" s="350">
        <f>VLOOKUP(G37,'3-Productie normen'!A:J,10,FALSE)</f>
        <v>0</v>
      </c>
      <c r="U37" s="350"/>
      <c r="W37" s="351">
        <f t="shared" si="2"/>
        <v>0</v>
      </c>
    </row>
    <row r="38" spans="1:23" ht="14.1" customHeight="1">
      <c r="A38" s="77">
        <v>38</v>
      </c>
      <c r="B38" s="514" t="s">
        <v>286</v>
      </c>
      <c r="C38" s="316"/>
      <c r="D38" s="347" t="s">
        <v>317</v>
      </c>
      <c r="E38" s="514" t="s">
        <v>315</v>
      </c>
      <c r="F38" s="514" t="s">
        <v>338</v>
      </c>
      <c r="G38" s="74" t="s">
        <v>69</v>
      </c>
      <c r="H38" s="74" t="s">
        <v>443</v>
      </c>
      <c r="I38" s="514" t="s">
        <v>98</v>
      </c>
      <c r="J38" s="347">
        <v>11.69</v>
      </c>
      <c r="K38" s="348">
        <f t="shared" si="0"/>
        <v>52</v>
      </c>
      <c r="L38" s="264">
        <v>52</v>
      </c>
      <c r="M38" s="264"/>
      <c r="N38" s="264"/>
      <c r="O38" s="263" t="e">
        <f>IF(L38="nio",0,IF(L38&gt;0,L38*J38/R38,0))*VLOOKUP(B38,'2-Kosten'!$A$14:$C$16,3,FALSE)</f>
        <v>#DIV/0!</v>
      </c>
      <c r="P38" s="263">
        <f>IF(M38&gt;0,M38*J38/S38,0)*VLOOKUP(B38,'2-Kosten'!$A$14:$C$16,3,FALSE)</f>
        <v>0</v>
      </c>
      <c r="Q38" s="263">
        <f>IF(N38&gt;0,N38*J38/S38,0)*VLOOKUP(B38,'2-Kosten'!$A$14:$C$16,3,FALSE)</f>
        <v>0</v>
      </c>
      <c r="R38" s="349">
        <f>IF(L38="nio",0,IF(L38&gt;0,VLOOKUP(G38,'3-Productie normen'!A:M,VLOOKUP(L38,'3-Productie normen'!$B$27:$C$31,2,FALSE),FALSE)))</f>
        <v>0</v>
      </c>
      <c r="S38" s="349">
        <f t="shared" si="1"/>
        <v>0</v>
      </c>
      <c r="T38" s="350" t="s">
        <v>65</v>
      </c>
      <c r="U38" s="350"/>
      <c r="W38" s="351">
        <f t="shared" si="2"/>
        <v>607.88</v>
      </c>
    </row>
    <row r="39" spans="1:23" ht="14.1" customHeight="1">
      <c r="A39" s="77">
        <v>39</v>
      </c>
      <c r="B39" s="514" t="s">
        <v>286</v>
      </c>
      <c r="C39" s="316"/>
      <c r="D39" s="347" t="s">
        <v>317</v>
      </c>
      <c r="E39" s="514" t="s">
        <v>316</v>
      </c>
      <c r="F39" s="514" t="s">
        <v>339</v>
      </c>
      <c r="G39" s="316" t="s">
        <v>425</v>
      </c>
      <c r="H39" s="74" t="s">
        <v>264</v>
      </c>
      <c r="I39" s="472" t="s">
        <v>99</v>
      </c>
      <c r="J39" s="347">
        <v>9.36</v>
      </c>
      <c r="K39" s="348">
        <f t="shared" si="0"/>
        <v>0</v>
      </c>
      <c r="L39" s="264" t="s">
        <v>420</v>
      </c>
      <c r="M39" s="264"/>
      <c r="N39" s="264"/>
      <c r="O39" s="263">
        <f>IF(L39="nio",0,IF(L39&gt;0,L39*J39/R39,0))*VLOOKUP(B39,'2-Kosten'!$A$14:$C$16,3,FALSE)</f>
        <v>0</v>
      </c>
      <c r="P39" s="263">
        <f>IF(M39&gt;0,M39*J39/S39,0)*VLOOKUP(B39,'2-Kosten'!$A$14:$C$16,3,FALSE)</f>
        <v>0</v>
      </c>
      <c r="Q39" s="263">
        <f>IF(N39&gt;0,N39*J39/S39,0)*VLOOKUP(B39,'2-Kosten'!$A$14:$C$16,3,FALSE)</f>
        <v>0</v>
      </c>
      <c r="R39" s="349">
        <f>IF(L39="nio",0,IF(L39&gt;0,VLOOKUP(G39,'3-Productie normen'!A:M,VLOOKUP(L39,'3-Productie normen'!$B$27:$C$31,2,FALSE),FALSE)))</f>
        <v>0</v>
      </c>
      <c r="S39" s="349">
        <f t="shared" si="1"/>
        <v>0</v>
      </c>
      <c r="T39" s="350">
        <f>VLOOKUP(G39,'3-Productie normen'!A:J,10,FALSE)</f>
        <v>0</v>
      </c>
      <c r="U39" s="350"/>
      <c r="W39" s="351">
        <f t="shared" si="2"/>
        <v>0</v>
      </c>
    </row>
    <row r="40" spans="1:23" ht="14.1" customHeight="1">
      <c r="A40" s="77">
        <v>40</v>
      </c>
      <c r="B40" s="514" t="s">
        <v>286</v>
      </c>
      <c r="C40" s="316"/>
      <c r="D40" s="347">
        <v>1</v>
      </c>
      <c r="E40" s="514" t="s">
        <v>340</v>
      </c>
      <c r="F40" s="514" t="s">
        <v>323</v>
      </c>
      <c r="G40" s="316" t="s">
        <v>64</v>
      </c>
      <c r="H40" s="74" t="s">
        <v>264</v>
      </c>
      <c r="I40" s="472" t="s">
        <v>99</v>
      </c>
      <c r="J40" s="347">
        <v>45.55</v>
      </c>
      <c r="K40" s="348">
        <f t="shared" si="0"/>
        <v>365</v>
      </c>
      <c r="L40" s="264">
        <v>255</v>
      </c>
      <c r="M40" s="264">
        <v>102</v>
      </c>
      <c r="N40" s="264">
        <v>8</v>
      </c>
      <c r="O40" s="263" t="e">
        <f>IF(L40="nio",0,IF(L40&gt;0,L40*J40/R40,0))*VLOOKUP(B40,'2-Kosten'!$A$14:$C$16,3,FALSE)</f>
        <v>#DIV/0!</v>
      </c>
      <c r="P40" s="263" t="e">
        <f>IF(M40&gt;0,M40*J40/S40,0)*VLOOKUP(B40,'2-Kosten'!$A$14:$C$16,3,FALSE)</f>
        <v>#DIV/0!</v>
      </c>
      <c r="Q40" s="263" t="e">
        <f>IF(N40&gt;0,N40*J40/S40,0)*VLOOKUP(B40,'2-Kosten'!$A$14:$C$16,3,FALSE)</f>
        <v>#DIV/0!</v>
      </c>
      <c r="R40" s="349">
        <f>IF(L40="nio",0,IF(L40&gt;0,VLOOKUP(G40,'3-Productie normen'!A:M,VLOOKUP(L40,'3-Productie normen'!$B$27:$C$31,2,FALSE),FALSE)))</f>
        <v>0</v>
      </c>
      <c r="S40" s="349">
        <f t="shared" si="1"/>
        <v>0</v>
      </c>
      <c r="T40" s="350" t="s">
        <v>65</v>
      </c>
      <c r="U40" s="350"/>
      <c r="W40" s="351">
        <f t="shared" si="2"/>
        <v>16625.75</v>
      </c>
    </row>
    <row r="41" spans="1:23" ht="14.1" customHeight="1">
      <c r="A41" s="77">
        <v>41</v>
      </c>
      <c r="B41" s="514" t="s">
        <v>286</v>
      </c>
      <c r="C41" s="316"/>
      <c r="D41" s="347">
        <v>1</v>
      </c>
      <c r="E41" s="514" t="s">
        <v>341</v>
      </c>
      <c r="F41" s="514" t="s">
        <v>328</v>
      </c>
      <c r="G41" s="74" t="s">
        <v>426</v>
      </c>
      <c r="H41" s="74" t="s">
        <v>422</v>
      </c>
      <c r="I41" s="472" t="s">
        <v>97</v>
      </c>
      <c r="J41" s="347">
        <v>5.45</v>
      </c>
      <c r="K41" s="348">
        <f t="shared" si="0"/>
        <v>365</v>
      </c>
      <c r="L41" s="264">
        <v>255</v>
      </c>
      <c r="M41" s="264">
        <v>102</v>
      </c>
      <c r="N41" s="264">
        <v>8</v>
      </c>
      <c r="O41" s="263" t="e">
        <f>IF(L41="nio",0,IF(L41&gt;0,L41*J41/R41,0))*VLOOKUP(B41,'2-Kosten'!$A$14:$C$16,3,FALSE)</f>
        <v>#DIV/0!</v>
      </c>
      <c r="P41" s="263" t="e">
        <f>IF(M41&gt;0,M41*J41/S41,0)*VLOOKUP(B41,'2-Kosten'!$A$14:$C$16,3,FALSE)</f>
        <v>#DIV/0!</v>
      </c>
      <c r="Q41" s="263" t="e">
        <f>IF(N41&gt;0,N41*J41/S41,0)*VLOOKUP(B41,'2-Kosten'!$A$14:$C$16,3,FALSE)</f>
        <v>#DIV/0!</v>
      </c>
      <c r="R41" s="349">
        <f>IF(L41="nio",0,IF(L41&gt;0,VLOOKUP(G41,'3-Productie normen'!A:M,VLOOKUP(L41,'3-Productie normen'!$B$27:$C$31,2,FALSE),FALSE)))</f>
        <v>0</v>
      </c>
      <c r="S41" s="349">
        <f t="shared" si="1"/>
        <v>0</v>
      </c>
      <c r="T41" s="350" t="s">
        <v>63</v>
      </c>
      <c r="U41" s="350"/>
      <c r="W41" s="351">
        <f t="shared" si="2"/>
        <v>1989.25</v>
      </c>
    </row>
    <row r="42" spans="1:23" ht="14.1" customHeight="1">
      <c r="A42" s="77">
        <v>42</v>
      </c>
      <c r="B42" s="514" t="s">
        <v>286</v>
      </c>
      <c r="C42" s="316"/>
      <c r="D42" s="347">
        <v>1</v>
      </c>
      <c r="E42" s="514" t="s">
        <v>342</v>
      </c>
      <c r="F42" s="514" t="s">
        <v>329</v>
      </c>
      <c r="G42" s="74" t="s">
        <v>426</v>
      </c>
      <c r="H42" s="74" t="s">
        <v>422</v>
      </c>
      <c r="I42" s="472" t="s">
        <v>97</v>
      </c>
      <c r="J42" s="347">
        <v>5.45</v>
      </c>
      <c r="K42" s="348">
        <f t="shared" ref="K42:K73" si="3">SUM(L42:N42)</f>
        <v>365</v>
      </c>
      <c r="L42" s="264">
        <v>255</v>
      </c>
      <c r="M42" s="264">
        <v>102</v>
      </c>
      <c r="N42" s="264">
        <v>8</v>
      </c>
      <c r="O42" s="263" t="e">
        <f>IF(L42="nio",0,IF(L42&gt;0,L42*J42/R42,0))*VLOOKUP(B42,'2-Kosten'!$A$14:$C$16,3,FALSE)</f>
        <v>#DIV/0!</v>
      </c>
      <c r="P42" s="263" t="e">
        <f>IF(M42&gt;0,M42*J42/S42,0)*VLOOKUP(B42,'2-Kosten'!$A$14:$C$16,3,FALSE)</f>
        <v>#DIV/0!</v>
      </c>
      <c r="Q42" s="263" t="e">
        <f>IF(N42&gt;0,N42*J42/S42,0)*VLOOKUP(B42,'2-Kosten'!$A$14:$C$16,3,FALSE)</f>
        <v>#DIV/0!</v>
      </c>
      <c r="R42" s="349">
        <f>IF(L42="nio",0,IF(L42&gt;0,VLOOKUP(G42,'3-Productie normen'!A:M,VLOOKUP(L42,'3-Productie normen'!$B$27:$C$31,2,FALSE),FALSE)))</f>
        <v>0</v>
      </c>
      <c r="S42" s="349">
        <f t="shared" ref="S42:S73" si="4">IF((OR(M42&gt;0,N42&gt;0)),R42*$S$8,0)</f>
        <v>0</v>
      </c>
      <c r="T42" s="350" t="s">
        <v>63</v>
      </c>
      <c r="U42" s="350"/>
      <c r="W42" s="351">
        <f t="shared" ref="W42:W73" si="5">K42*J42</f>
        <v>1989.25</v>
      </c>
    </row>
    <row r="43" spans="1:23" ht="14.1" customHeight="1">
      <c r="A43" s="77">
        <v>43</v>
      </c>
      <c r="B43" s="514" t="s">
        <v>286</v>
      </c>
      <c r="C43" s="316"/>
      <c r="D43" s="347">
        <v>1</v>
      </c>
      <c r="E43" s="514" t="s">
        <v>343</v>
      </c>
      <c r="F43" s="514" t="s">
        <v>323</v>
      </c>
      <c r="G43" s="316" t="s">
        <v>64</v>
      </c>
      <c r="H43" s="74" t="s">
        <v>264</v>
      </c>
      <c r="I43" s="472" t="s">
        <v>99</v>
      </c>
      <c r="J43" s="347">
        <v>44.24</v>
      </c>
      <c r="K43" s="348">
        <f t="shared" si="3"/>
        <v>365</v>
      </c>
      <c r="L43" s="264">
        <v>255</v>
      </c>
      <c r="M43" s="264">
        <v>102</v>
      </c>
      <c r="N43" s="264">
        <v>8</v>
      </c>
      <c r="O43" s="263" t="e">
        <f>IF(L43="nio",0,IF(L43&gt;0,L43*J43/R43,0))*VLOOKUP(B43,'2-Kosten'!$A$14:$C$16,3,FALSE)</f>
        <v>#DIV/0!</v>
      </c>
      <c r="P43" s="263" t="e">
        <f>IF(M43&gt;0,M43*J43/S43,0)*VLOOKUP(B43,'2-Kosten'!$A$14:$C$16,3,FALSE)</f>
        <v>#DIV/0!</v>
      </c>
      <c r="Q43" s="263" t="e">
        <f>IF(N43&gt;0,N43*J43/S43,0)*VLOOKUP(B43,'2-Kosten'!$A$14:$C$16,3,FALSE)</f>
        <v>#DIV/0!</v>
      </c>
      <c r="R43" s="349">
        <f>IF(L43="nio",0,IF(L43&gt;0,VLOOKUP(G43,'3-Productie normen'!A:M,VLOOKUP(L43,'3-Productie normen'!$B$27:$C$31,2,FALSE),FALSE)))</f>
        <v>0</v>
      </c>
      <c r="S43" s="349">
        <f t="shared" si="4"/>
        <v>0</v>
      </c>
      <c r="T43" s="350" t="s">
        <v>65</v>
      </c>
      <c r="U43" s="350"/>
      <c r="W43" s="351">
        <f t="shared" si="5"/>
        <v>16147.6</v>
      </c>
    </row>
    <row r="44" spans="1:23" ht="14.1" customHeight="1">
      <c r="A44" s="77">
        <v>44</v>
      </c>
      <c r="B44" s="514" t="s">
        <v>286</v>
      </c>
      <c r="C44" s="316"/>
      <c r="D44" s="347">
        <v>1</v>
      </c>
      <c r="E44" s="514" t="s">
        <v>344</v>
      </c>
      <c r="F44" s="514" t="s">
        <v>335</v>
      </c>
      <c r="G44" s="316" t="s">
        <v>425</v>
      </c>
      <c r="H44" s="74" t="s">
        <v>264</v>
      </c>
      <c r="I44" s="472" t="s">
        <v>99</v>
      </c>
      <c r="J44" s="347">
        <v>27.85</v>
      </c>
      <c r="K44" s="348">
        <f t="shared" si="3"/>
        <v>0</v>
      </c>
      <c r="L44" s="264" t="s">
        <v>420</v>
      </c>
      <c r="M44" s="264"/>
      <c r="N44" s="264"/>
      <c r="O44" s="263">
        <f>IF(L44="nio",0,IF(L44&gt;0,L44*J44/R44,0))*VLOOKUP(B44,'2-Kosten'!$A$14:$C$16,3,FALSE)</f>
        <v>0</v>
      </c>
      <c r="P44" s="263">
        <f>IF(M44&gt;0,M44*J44/S44,0)*VLOOKUP(B44,'2-Kosten'!$A$14:$C$16,3,FALSE)</f>
        <v>0</v>
      </c>
      <c r="Q44" s="263">
        <f>IF(N44&gt;0,N44*J44/S44,0)*VLOOKUP(B44,'2-Kosten'!$A$14:$C$16,3,FALSE)</f>
        <v>0</v>
      </c>
      <c r="R44" s="349">
        <f>IF(L44="nio",0,IF(L44&gt;0,VLOOKUP(G44,'3-Productie normen'!A:M,VLOOKUP(L44,'3-Productie normen'!$B$27:$C$31,2,FALSE),FALSE)))</f>
        <v>0</v>
      </c>
      <c r="S44" s="349">
        <f t="shared" si="4"/>
        <v>0</v>
      </c>
      <c r="T44" s="350">
        <f>VLOOKUP(G44,'3-Productie normen'!A:J,10,FALSE)</f>
        <v>0</v>
      </c>
      <c r="U44" s="350"/>
      <c r="W44" s="351">
        <f t="shared" si="5"/>
        <v>0</v>
      </c>
    </row>
    <row r="45" spans="1:23" ht="14.1" customHeight="1">
      <c r="A45" s="77">
        <v>45</v>
      </c>
      <c r="B45" s="514" t="s">
        <v>286</v>
      </c>
      <c r="C45" s="316"/>
      <c r="D45" s="347">
        <v>1</v>
      </c>
      <c r="E45" s="514" t="s">
        <v>345</v>
      </c>
      <c r="F45" s="514" t="s">
        <v>377</v>
      </c>
      <c r="G45" s="316" t="s">
        <v>425</v>
      </c>
      <c r="H45" s="74" t="s">
        <v>264</v>
      </c>
      <c r="I45" s="472" t="s">
        <v>99</v>
      </c>
      <c r="J45" s="347">
        <v>8.4</v>
      </c>
      <c r="K45" s="348">
        <f t="shared" si="3"/>
        <v>0</v>
      </c>
      <c r="L45" s="264" t="s">
        <v>420</v>
      </c>
      <c r="M45" s="264"/>
      <c r="N45" s="264"/>
      <c r="O45" s="263">
        <f>IF(L45="nio",0,IF(L45&gt;0,L45*J45/R45,0))*VLOOKUP(B45,'2-Kosten'!$A$14:$C$16,3,FALSE)</f>
        <v>0</v>
      </c>
      <c r="P45" s="263">
        <f>IF(M45&gt;0,M45*J45/S45,0)*VLOOKUP(B45,'2-Kosten'!$A$14:$C$16,3,FALSE)</f>
        <v>0</v>
      </c>
      <c r="Q45" s="263">
        <f>IF(N45&gt;0,N45*J45/S45,0)*VLOOKUP(B45,'2-Kosten'!$A$14:$C$16,3,FALSE)</f>
        <v>0</v>
      </c>
      <c r="R45" s="349">
        <f>IF(L45="nio",0,IF(L45&gt;0,VLOOKUP(G45,'3-Productie normen'!A:M,VLOOKUP(L45,'3-Productie normen'!$B$27:$C$31,2,FALSE),FALSE)))</f>
        <v>0</v>
      </c>
      <c r="S45" s="349">
        <f t="shared" si="4"/>
        <v>0</v>
      </c>
      <c r="T45" s="350">
        <f>VLOOKUP(G45,'3-Productie normen'!A:J,10,FALSE)</f>
        <v>0</v>
      </c>
      <c r="U45" s="350"/>
      <c r="W45" s="351">
        <f t="shared" si="5"/>
        <v>0</v>
      </c>
    </row>
    <row r="46" spans="1:23" ht="14.1" customHeight="1">
      <c r="A46" s="77">
        <v>46</v>
      </c>
      <c r="B46" s="514" t="s">
        <v>286</v>
      </c>
      <c r="C46" s="316"/>
      <c r="D46" s="347">
        <v>1</v>
      </c>
      <c r="E46" s="514" t="s">
        <v>346</v>
      </c>
      <c r="F46" s="514" t="s">
        <v>336</v>
      </c>
      <c r="G46" s="316" t="s">
        <v>425</v>
      </c>
      <c r="H46" s="74" t="s">
        <v>264</v>
      </c>
      <c r="I46" s="472" t="s">
        <v>99</v>
      </c>
      <c r="J46" s="347">
        <v>18.579999999999998</v>
      </c>
      <c r="K46" s="348">
        <f t="shared" si="3"/>
        <v>0</v>
      </c>
      <c r="L46" s="264" t="s">
        <v>420</v>
      </c>
      <c r="M46" s="264"/>
      <c r="N46" s="264"/>
      <c r="O46" s="263">
        <f>IF(L46="nio",0,IF(L46&gt;0,L46*J46/R46,0))*VLOOKUP(B46,'2-Kosten'!$A$14:$C$16,3,FALSE)</f>
        <v>0</v>
      </c>
      <c r="P46" s="263">
        <f>IF(M46&gt;0,M46*J46/S46,0)*VLOOKUP(B46,'2-Kosten'!$A$14:$C$16,3,FALSE)</f>
        <v>0</v>
      </c>
      <c r="Q46" s="263">
        <f>IF(N46&gt;0,N46*J46/S46,0)*VLOOKUP(B46,'2-Kosten'!$A$14:$C$16,3,FALSE)</f>
        <v>0</v>
      </c>
      <c r="R46" s="349">
        <f>IF(L46="nio",0,IF(L46&gt;0,VLOOKUP(G46,'3-Productie normen'!A:M,VLOOKUP(L46,'3-Productie normen'!$B$27:$C$31,2,FALSE),FALSE)))</f>
        <v>0</v>
      </c>
      <c r="S46" s="349">
        <f t="shared" si="4"/>
        <v>0</v>
      </c>
      <c r="T46" s="350">
        <f>VLOOKUP(G46,'3-Productie normen'!A:J,10,FALSE)</f>
        <v>0</v>
      </c>
      <c r="U46" s="350"/>
      <c r="W46" s="351">
        <f t="shared" si="5"/>
        <v>0</v>
      </c>
    </row>
    <row r="47" spans="1:23" ht="14.1" customHeight="1">
      <c r="A47" s="77">
        <v>47</v>
      </c>
      <c r="B47" s="514" t="s">
        <v>286</v>
      </c>
      <c r="C47" s="316"/>
      <c r="D47" s="347">
        <v>1</v>
      </c>
      <c r="E47" s="514" t="s">
        <v>347</v>
      </c>
      <c r="F47" s="514" t="s">
        <v>336</v>
      </c>
      <c r="G47" s="316" t="s">
        <v>425</v>
      </c>
      <c r="H47" s="74" t="s">
        <v>264</v>
      </c>
      <c r="I47" s="472" t="s">
        <v>99</v>
      </c>
      <c r="J47" s="347">
        <v>18.72</v>
      </c>
      <c r="K47" s="348">
        <f t="shared" si="3"/>
        <v>0</v>
      </c>
      <c r="L47" s="264" t="s">
        <v>420</v>
      </c>
      <c r="M47" s="264"/>
      <c r="N47" s="264"/>
      <c r="O47" s="263">
        <f>IF(L47="nio",0,IF(L47&gt;0,L47*J47/R47,0))*VLOOKUP(B47,'2-Kosten'!$A$14:$C$16,3,FALSE)</f>
        <v>0</v>
      </c>
      <c r="P47" s="263">
        <f>IF(M47&gt;0,M47*J47/S47,0)*VLOOKUP(B47,'2-Kosten'!$A$14:$C$16,3,FALSE)</f>
        <v>0</v>
      </c>
      <c r="Q47" s="263">
        <f>IF(N47&gt;0,N47*J47/S47,0)*VLOOKUP(B47,'2-Kosten'!$A$14:$C$16,3,FALSE)</f>
        <v>0</v>
      </c>
      <c r="R47" s="349">
        <f>IF(L47="nio",0,IF(L47&gt;0,VLOOKUP(G47,'3-Productie normen'!A:M,VLOOKUP(L47,'3-Productie normen'!$B$27:$C$31,2,FALSE),FALSE)))</f>
        <v>0</v>
      </c>
      <c r="S47" s="349">
        <f t="shared" si="4"/>
        <v>0</v>
      </c>
      <c r="T47" s="350">
        <f>VLOOKUP(G47,'3-Productie normen'!A:J,10,FALSE)</f>
        <v>0</v>
      </c>
      <c r="U47" s="350"/>
      <c r="W47" s="351">
        <f t="shared" si="5"/>
        <v>0</v>
      </c>
    </row>
    <row r="48" spans="1:23" ht="14.1" customHeight="1">
      <c r="A48" s="77">
        <v>48</v>
      </c>
      <c r="B48" s="514" t="s">
        <v>286</v>
      </c>
      <c r="C48" s="316"/>
      <c r="D48" s="347">
        <v>1</v>
      </c>
      <c r="E48" s="514" t="s">
        <v>348</v>
      </c>
      <c r="F48" s="514" t="s">
        <v>336</v>
      </c>
      <c r="G48" s="316" t="s">
        <v>425</v>
      </c>
      <c r="H48" s="74" t="s">
        <v>264</v>
      </c>
      <c r="I48" s="472" t="s">
        <v>99</v>
      </c>
      <c r="J48" s="347">
        <v>18.68</v>
      </c>
      <c r="K48" s="348">
        <f t="shared" si="3"/>
        <v>0</v>
      </c>
      <c r="L48" s="264" t="s">
        <v>420</v>
      </c>
      <c r="M48" s="264"/>
      <c r="N48" s="264"/>
      <c r="O48" s="263">
        <f>IF(L48="nio",0,IF(L48&gt;0,L48*J48/R48,0))*VLOOKUP(B48,'2-Kosten'!$A$14:$C$16,3,FALSE)</f>
        <v>0</v>
      </c>
      <c r="P48" s="263">
        <f>IF(M48&gt;0,M48*J48/S48,0)*VLOOKUP(B48,'2-Kosten'!$A$14:$C$16,3,FALSE)</f>
        <v>0</v>
      </c>
      <c r="Q48" s="263">
        <f>IF(N48&gt;0,N48*J48/S48,0)*VLOOKUP(B48,'2-Kosten'!$A$14:$C$16,3,FALSE)</f>
        <v>0</v>
      </c>
      <c r="R48" s="349">
        <f>IF(L48="nio",0,IF(L48&gt;0,VLOOKUP(G48,'3-Productie normen'!A:M,VLOOKUP(L48,'3-Productie normen'!$B$27:$C$31,2,FALSE),FALSE)))</f>
        <v>0</v>
      </c>
      <c r="S48" s="349">
        <f t="shared" si="4"/>
        <v>0</v>
      </c>
      <c r="T48" s="350">
        <f>VLOOKUP(G48,'3-Productie normen'!A:J,10,FALSE)</f>
        <v>0</v>
      </c>
      <c r="U48" s="350"/>
      <c r="W48" s="351">
        <f t="shared" si="5"/>
        <v>0</v>
      </c>
    </row>
    <row r="49" spans="1:23" ht="14.1" customHeight="1">
      <c r="A49" s="77">
        <v>49</v>
      </c>
      <c r="B49" s="514" t="s">
        <v>286</v>
      </c>
      <c r="C49" s="316"/>
      <c r="D49" s="347">
        <v>1</v>
      </c>
      <c r="E49" s="514" t="s">
        <v>349</v>
      </c>
      <c r="F49" s="514" t="s">
        <v>336</v>
      </c>
      <c r="G49" s="316" t="s">
        <v>425</v>
      </c>
      <c r="H49" s="74" t="s">
        <v>264</v>
      </c>
      <c r="I49" s="472" t="s">
        <v>99</v>
      </c>
      <c r="J49" s="347">
        <v>18.7</v>
      </c>
      <c r="K49" s="348">
        <f t="shared" si="3"/>
        <v>0</v>
      </c>
      <c r="L49" s="264" t="s">
        <v>420</v>
      </c>
      <c r="M49" s="264"/>
      <c r="N49" s="264"/>
      <c r="O49" s="263">
        <f>IF(L49="nio",0,IF(L49&gt;0,L49*J49/R49,0))*VLOOKUP(B49,'2-Kosten'!$A$14:$C$16,3,FALSE)</f>
        <v>0</v>
      </c>
      <c r="P49" s="263">
        <f>IF(M49&gt;0,M49*J49/S49,0)*VLOOKUP(B49,'2-Kosten'!$A$14:$C$16,3,FALSE)</f>
        <v>0</v>
      </c>
      <c r="Q49" s="263">
        <f>IF(N49&gt;0,N49*J49/S49,0)*VLOOKUP(B49,'2-Kosten'!$A$14:$C$16,3,FALSE)</f>
        <v>0</v>
      </c>
      <c r="R49" s="349">
        <f>IF(L49="nio",0,IF(L49&gt;0,VLOOKUP(G49,'3-Productie normen'!A:M,VLOOKUP(L49,'3-Productie normen'!$B$27:$C$31,2,FALSE),FALSE)))</f>
        <v>0</v>
      </c>
      <c r="S49" s="349">
        <f t="shared" si="4"/>
        <v>0</v>
      </c>
      <c r="T49" s="350">
        <f>VLOOKUP(G49,'3-Productie normen'!A:J,10,FALSE)</f>
        <v>0</v>
      </c>
      <c r="U49" s="350"/>
      <c r="W49" s="351">
        <f t="shared" si="5"/>
        <v>0</v>
      </c>
    </row>
    <row r="50" spans="1:23" ht="14.1" customHeight="1">
      <c r="A50" s="77">
        <v>50</v>
      </c>
      <c r="B50" s="514" t="s">
        <v>286</v>
      </c>
      <c r="C50" s="316"/>
      <c r="D50" s="347">
        <v>1</v>
      </c>
      <c r="E50" s="514" t="s">
        <v>350</v>
      </c>
      <c r="F50" s="514" t="s">
        <v>336</v>
      </c>
      <c r="G50" s="316" t="s">
        <v>425</v>
      </c>
      <c r="H50" s="74" t="s">
        <v>264</v>
      </c>
      <c r="I50" s="472" t="s">
        <v>99</v>
      </c>
      <c r="J50" s="347">
        <v>17.940000000000001</v>
      </c>
      <c r="K50" s="348">
        <f t="shared" si="3"/>
        <v>0</v>
      </c>
      <c r="L50" s="264" t="s">
        <v>420</v>
      </c>
      <c r="M50" s="264"/>
      <c r="N50" s="264"/>
      <c r="O50" s="263">
        <f>IF(L50="nio",0,IF(L50&gt;0,L50*J50/R50,0))*VLOOKUP(B50,'2-Kosten'!$A$14:$C$16,3,FALSE)</f>
        <v>0</v>
      </c>
      <c r="P50" s="263">
        <f>IF(M50&gt;0,M50*J50/S50,0)*VLOOKUP(B50,'2-Kosten'!$A$14:$C$16,3,FALSE)</f>
        <v>0</v>
      </c>
      <c r="Q50" s="263">
        <f>IF(N50&gt;0,N50*J50/S50,0)*VLOOKUP(B50,'2-Kosten'!$A$14:$C$16,3,FALSE)</f>
        <v>0</v>
      </c>
      <c r="R50" s="349">
        <f>IF(L50="nio",0,IF(L50&gt;0,VLOOKUP(G50,'3-Productie normen'!A:M,VLOOKUP(L50,'3-Productie normen'!$B$27:$C$31,2,FALSE),FALSE)))</f>
        <v>0</v>
      </c>
      <c r="S50" s="349">
        <f t="shared" si="4"/>
        <v>0</v>
      </c>
      <c r="T50" s="350">
        <f>VLOOKUP(G50,'3-Productie normen'!A:J,10,FALSE)</f>
        <v>0</v>
      </c>
      <c r="U50" s="350"/>
      <c r="W50" s="351">
        <f t="shared" si="5"/>
        <v>0</v>
      </c>
    </row>
    <row r="51" spans="1:23" ht="14.1" customHeight="1">
      <c r="A51" s="77">
        <v>51</v>
      </c>
      <c r="B51" s="514" t="s">
        <v>286</v>
      </c>
      <c r="C51" s="316"/>
      <c r="D51" s="347">
        <v>1</v>
      </c>
      <c r="E51" s="514" t="s">
        <v>351</v>
      </c>
      <c r="F51" s="514" t="s">
        <v>69</v>
      </c>
      <c r="G51" s="74" t="s">
        <v>69</v>
      </c>
      <c r="H51" s="74" t="s">
        <v>443</v>
      </c>
      <c r="I51" s="514" t="s">
        <v>98</v>
      </c>
      <c r="J51" s="347">
        <v>18.399999999999999</v>
      </c>
      <c r="K51" s="348">
        <f t="shared" si="3"/>
        <v>104</v>
      </c>
      <c r="L51" s="264">
        <v>104</v>
      </c>
      <c r="M51" s="264"/>
      <c r="N51" s="264"/>
      <c r="O51" s="263" t="e">
        <f>IF(L51="nio",0,IF(L51&gt;0,L51*J51/R51,0))*VLOOKUP(B51,'2-Kosten'!$A$14:$C$16,3,FALSE)</f>
        <v>#DIV/0!</v>
      </c>
      <c r="P51" s="263">
        <f>IF(M51&gt;0,M51*J51/S51,0)*VLOOKUP(B51,'2-Kosten'!$A$14:$C$16,3,FALSE)</f>
        <v>0</v>
      </c>
      <c r="Q51" s="263">
        <f>IF(N51&gt;0,N51*J51/S51,0)*VLOOKUP(B51,'2-Kosten'!$A$14:$C$16,3,FALSE)</f>
        <v>0</v>
      </c>
      <c r="R51" s="349">
        <f>IF(L51="nio",0,IF(L51&gt;0,VLOOKUP(G51,'3-Productie normen'!A:M,VLOOKUP(L51,'3-Productie normen'!$B$27:$C$31,2,FALSE),FALSE)))</f>
        <v>0</v>
      </c>
      <c r="S51" s="349">
        <f t="shared" si="4"/>
        <v>0</v>
      </c>
      <c r="T51" s="350" t="s">
        <v>65</v>
      </c>
      <c r="U51" s="350"/>
      <c r="W51" s="351">
        <f t="shared" si="5"/>
        <v>1913.6</v>
      </c>
    </row>
    <row r="52" spans="1:23" ht="14.1" customHeight="1">
      <c r="A52" s="77">
        <v>52</v>
      </c>
      <c r="B52" s="514" t="s">
        <v>286</v>
      </c>
      <c r="C52" s="316"/>
      <c r="D52" s="347">
        <v>1</v>
      </c>
      <c r="E52" s="514" t="s">
        <v>352</v>
      </c>
      <c r="F52" s="514" t="s">
        <v>336</v>
      </c>
      <c r="G52" s="316" t="s">
        <v>425</v>
      </c>
      <c r="H52" s="74" t="s">
        <v>264</v>
      </c>
      <c r="I52" s="472" t="s">
        <v>99</v>
      </c>
      <c r="J52" s="347">
        <v>21.77</v>
      </c>
      <c r="K52" s="348">
        <f t="shared" si="3"/>
        <v>0</v>
      </c>
      <c r="L52" s="264" t="s">
        <v>420</v>
      </c>
      <c r="M52" s="264"/>
      <c r="N52" s="264"/>
      <c r="O52" s="263">
        <f>IF(L52="nio",0,IF(L52&gt;0,L52*J52/R52,0))*VLOOKUP(B52,'2-Kosten'!$A$14:$C$16,3,FALSE)</f>
        <v>0</v>
      </c>
      <c r="P52" s="263">
        <f>IF(M52&gt;0,M52*J52/S52,0)*VLOOKUP(B52,'2-Kosten'!$A$14:$C$16,3,FALSE)</f>
        <v>0</v>
      </c>
      <c r="Q52" s="263">
        <f>IF(N52&gt;0,N52*J52/S52,0)*VLOOKUP(B52,'2-Kosten'!$A$14:$C$16,3,FALSE)</f>
        <v>0</v>
      </c>
      <c r="R52" s="349">
        <f>IF(L52="nio",0,IF(L52&gt;0,VLOOKUP(G52,'3-Productie normen'!A:M,VLOOKUP(L52,'3-Productie normen'!$B$27:$C$31,2,FALSE),FALSE)))</f>
        <v>0</v>
      </c>
      <c r="S52" s="349">
        <f t="shared" si="4"/>
        <v>0</v>
      </c>
      <c r="T52" s="350">
        <f>VLOOKUP(G52,'3-Productie normen'!A:J,10,FALSE)</f>
        <v>0</v>
      </c>
      <c r="U52" s="350"/>
      <c r="W52" s="351">
        <f t="shared" si="5"/>
        <v>0</v>
      </c>
    </row>
    <row r="53" spans="1:23" ht="14.1" customHeight="1">
      <c r="A53" s="77">
        <v>53</v>
      </c>
      <c r="B53" s="514" t="s">
        <v>286</v>
      </c>
      <c r="C53" s="316"/>
      <c r="D53" s="347">
        <v>1</v>
      </c>
      <c r="E53" s="514" t="s">
        <v>353</v>
      </c>
      <c r="F53" s="514" t="s">
        <v>336</v>
      </c>
      <c r="G53" s="316" t="s">
        <v>425</v>
      </c>
      <c r="H53" s="74" t="s">
        <v>264</v>
      </c>
      <c r="I53" s="472" t="s">
        <v>99</v>
      </c>
      <c r="J53" s="347">
        <v>18.7</v>
      </c>
      <c r="K53" s="348">
        <f t="shared" si="3"/>
        <v>0</v>
      </c>
      <c r="L53" s="264" t="s">
        <v>420</v>
      </c>
      <c r="M53" s="264"/>
      <c r="N53" s="264"/>
      <c r="O53" s="263">
        <f>IF(L53="nio",0,IF(L53&gt;0,L53*J53/R53,0))*VLOOKUP(B53,'2-Kosten'!$A$14:$C$16,3,FALSE)</f>
        <v>0</v>
      </c>
      <c r="P53" s="263">
        <f>IF(M53&gt;0,M53*J53/S53,0)*VLOOKUP(B53,'2-Kosten'!$A$14:$C$16,3,FALSE)</f>
        <v>0</v>
      </c>
      <c r="Q53" s="263">
        <f>IF(N53&gt;0,N53*J53/S53,0)*VLOOKUP(B53,'2-Kosten'!$A$14:$C$16,3,FALSE)</f>
        <v>0</v>
      </c>
      <c r="R53" s="349">
        <f>IF(L53="nio",0,IF(L53&gt;0,VLOOKUP(G53,'3-Productie normen'!A:M,VLOOKUP(L53,'3-Productie normen'!$B$27:$C$31,2,FALSE),FALSE)))</f>
        <v>0</v>
      </c>
      <c r="S53" s="349">
        <f t="shared" si="4"/>
        <v>0</v>
      </c>
      <c r="T53" s="350">
        <f>VLOOKUP(G53,'3-Productie normen'!A:J,10,FALSE)</f>
        <v>0</v>
      </c>
      <c r="U53" s="350"/>
      <c r="W53" s="351">
        <f t="shared" si="5"/>
        <v>0</v>
      </c>
    </row>
    <row r="54" spans="1:23" ht="14.1" customHeight="1">
      <c r="A54" s="77">
        <v>54</v>
      </c>
      <c r="B54" s="514" t="s">
        <v>286</v>
      </c>
      <c r="C54" s="316"/>
      <c r="D54" s="347">
        <v>1</v>
      </c>
      <c r="E54" s="514" t="s">
        <v>354</v>
      </c>
      <c r="F54" s="514" t="s">
        <v>336</v>
      </c>
      <c r="G54" s="316" t="s">
        <v>425</v>
      </c>
      <c r="H54" s="74" t="s">
        <v>264</v>
      </c>
      <c r="I54" s="472" t="s">
        <v>99</v>
      </c>
      <c r="J54" s="347">
        <v>18.7</v>
      </c>
      <c r="K54" s="348">
        <f t="shared" si="3"/>
        <v>0</v>
      </c>
      <c r="L54" s="264" t="s">
        <v>420</v>
      </c>
      <c r="M54" s="264"/>
      <c r="N54" s="264"/>
      <c r="O54" s="263">
        <f>IF(L54="nio",0,IF(L54&gt;0,L54*J54/R54,0))*VLOOKUP(B54,'2-Kosten'!$A$14:$C$16,3,FALSE)</f>
        <v>0</v>
      </c>
      <c r="P54" s="263">
        <f>IF(M54&gt;0,M54*J54/S54,0)*VLOOKUP(B54,'2-Kosten'!$A$14:$C$16,3,FALSE)</f>
        <v>0</v>
      </c>
      <c r="Q54" s="263">
        <f>IF(N54&gt;0,N54*J54/S54,0)*VLOOKUP(B54,'2-Kosten'!$A$14:$C$16,3,FALSE)</f>
        <v>0</v>
      </c>
      <c r="R54" s="349">
        <f>IF(L54="nio",0,IF(L54&gt;0,VLOOKUP(G54,'3-Productie normen'!A:M,VLOOKUP(L54,'3-Productie normen'!$B$27:$C$31,2,FALSE),FALSE)))</f>
        <v>0</v>
      </c>
      <c r="S54" s="349">
        <f t="shared" si="4"/>
        <v>0</v>
      </c>
      <c r="T54" s="350">
        <f>VLOOKUP(G54,'3-Productie normen'!A:J,10,FALSE)</f>
        <v>0</v>
      </c>
      <c r="U54" s="350"/>
      <c r="W54" s="351">
        <f t="shared" si="5"/>
        <v>0</v>
      </c>
    </row>
    <row r="55" spans="1:23" ht="14.1" customHeight="1">
      <c r="A55" s="77">
        <v>55</v>
      </c>
      <c r="B55" s="514" t="s">
        <v>286</v>
      </c>
      <c r="C55" s="316"/>
      <c r="D55" s="347">
        <v>1</v>
      </c>
      <c r="E55" s="514" t="s">
        <v>355</v>
      </c>
      <c r="F55" s="514" t="s">
        <v>335</v>
      </c>
      <c r="G55" s="316" t="s">
        <v>425</v>
      </c>
      <c r="H55" s="74" t="s">
        <v>264</v>
      </c>
      <c r="I55" s="472" t="s">
        <v>99</v>
      </c>
      <c r="J55" s="347">
        <v>27.94</v>
      </c>
      <c r="K55" s="348">
        <f t="shared" si="3"/>
        <v>0</v>
      </c>
      <c r="L55" s="264" t="s">
        <v>420</v>
      </c>
      <c r="M55" s="264"/>
      <c r="N55" s="264"/>
      <c r="O55" s="263">
        <f>IF(L55="nio",0,IF(L55&gt;0,L55*J55/R55,0))*VLOOKUP(B55,'2-Kosten'!$A$14:$C$16,3,FALSE)</f>
        <v>0</v>
      </c>
      <c r="P55" s="263">
        <f>IF(M55&gt;0,M55*J55/S55,0)*VLOOKUP(B55,'2-Kosten'!$A$14:$C$16,3,FALSE)</f>
        <v>0</v>
      </c>
      <c r="Q55" s="263">
        <f>IF(N55&gt;0,N55*J55/S55,0)*VLOOKUP(B55,'2-Kosten'!$A$14:$C$16,3,FALSE)</f>
        <v>0</v>
      </c>
      <c r="R55" s="349">
        <f>IF(L55="nio",0,IF(L55&gt;0,VLOOKUP(G55,'3-Productie normen'!A:M,VLOOKUP(L55,'3-Productie normen'!$B$27:$C$31,2,FALSE),FALSE)))</f>
        <v>0</v>
      </c>
      <c r="S55" s="349">
        <f t="shared" si="4"/>
        <v>0</v>
      </c>
      <c r="T55" s="350">
        <f>VLOOKUP(G55,'3-Productie normen'!A:J,10,FALSE)</f>
        <v>0</v>
      </c>
      <c r="U55" s="350"/>
      <c r="W55" s="351">
        <f t="shared" si="5"/>
        <v>0</v>
      </c>
    </row>
    <row r="56" spans="1:23" ht="14.1" customHeight="1">
      <c r="A56" s="77">
        <v>56</v>
      </c>
      <c r="B56" s="514" t="s">
        <v>286</v>
      </c>
      <c r="C56" s="316"/>
      <c r="D56" s="347">
        <v>1</v>
      </c>
      <c r="E56" s="514" t="s">
        <v>356</v>
      </c>
      <c r="F56" s="514" t="s">
        <v>378</v>
      </c>
      <c r="G56" s="74" t="s">
        <v>62</v>
      </c>
      <c r="H56" s="74" t="s">
        <v>422</v>
      </c>
      <c r="I56" s="472" t="s">
        <v>97</v>
      </c>
      <c r="J56" s="347">
        <v>7.63</v>
      </c>
      <c r="K56" s="348">
        <f t="shared" si="3"/>
        <v>365</v>
      </c>
      <c r="L56" s="264">
        <v>255</v>
      </c>
      <c r="M56" s="264">
        <v>102</v>
      </c>
      <c r="N56" s="264">
        <v>8</v>
      </c>
      <c r="O56" s="263" t="e">
        <f>IF(L56="nio",0,IF(L56&gt;0,L56*J56/R56,0))*VLOOKUP(B56,'2-Kosten'!$A$14:$C$16,3,FALSE)</f>
        <v>#DIV/0!</v>
      </c>
      <c r="P56" s="263" t="e">
        <f>IF(M56&gt;0,M56*J56/S56,0)*VLOOKUP(B56,'2-Kosten'!$A$14:$C$16,3,FALSE)</f>
        <v>#DIV/0!</v>
      </c>
      <c r="Q56" s="263" t="e">
        <f>IF(N56&gt;0,N56*J56/S56,0)*VLOOKUP(B56,'2-Kosten'!$A$14:$C$16,3,FALSE)</f>
        <v>#DIV/0!</v>
      </c>
      <c r="R56" s="349">
        <f>IF(L56="nio",0,IF(L56&gt;0,VLOOKUP(G56,'3-Productie normen'!A:M,VLOOKUP(L56,'3-Productie normen'!$B$27:$C$31,2,FALSE),FALSE)))</f>
        <v>0</v>
      </c>
      <c r="S56" s="349">
        <f t="shared" si="4"/>
        <v>0</v>
      </c>
      <c r="T56" s="350" t="s">
        <v>63</v>
      </c>
      <c r="U56" s="350"/>
      <c r="W56" s="351">
        <f t="shared" si="5"/>
        <v>2784.95</v>
      </c>
    </row>
    <row r="57" spans="1:23" ht="14.1" customHeight="1">
      <c r="A57" s="77">
        <v>57</v>
      </c>
      <c r="B57" s="514" t="s">
        <v>286</v>
      </c>
      <c r="C57" s="316"/>
      <c r="D57" s="347">
        <v>1</v>
      </c>
      <c r="E57" s="514" t="s">
        <v>357</v>
      </c>
      <c r="F57" s="514" t="s">
        <v>335</v>
      </c>
      <c r="G57" s="316" t="s">
        <v>425</v>
      </c>
      <c r="H57" s="74" t="s">
        <v>264</v>
      </c>
      <c r="I57" s="472" t="s">
        <v>99</v>
      </c>
      <c r="J57" s="347">
        <v>32.54</v>
      </c>
      <c r="K57" s="348">
        <f t="shared" si="3"/>
        <v>0</v>
      </c>
      <c r="L57" s="264" t="s">
        <v>420</v>
      </c>
      <c r="M57" s="264"/>
      <c r="N57" s="264"/>
      <c r="O57" s="263">
        <f>IF(L57="nio",0,IF(L57&gt;0,L57*J57/R57,0))*VLOOKUP(B57,'2-Kosten'!$A$14:$C$16,3,FALSE)</f>
        <v>0</v>
      </c>
      <c r="P57" s="263">
        <f>IF(M57&gt;0,M57*J57/S57,0)*VLOOKUP(B57,'2-Kosten'!$A$14:$C$16,3,FALSE)</f>
        <v>0</v>
      </c>
      <c r="Q57" s="263">
        <f>IF(N57&gt;0,N57*J57/S57,0)*VLOOKUP(B57,'2-Kosten'!$A$14:$C$16,3,FALSE)</f>
        <v>0</v>
      </c>
      <c r="R57" s="349">
        <f>IF(L57="nio",0,IF(L57&gt;0,VLOOKUP(G57,'3-Productie normen'!A:M,VLOOKUP(L57,'3-Productie normen'!$B$27:$C$31,2,FALSE),FALSE)))</f>
        <v>0</v>
      </c>
      <c r="S57" s="349">
        <f t="shared" si="4"/>
        <v>0</v>
      </c>
      <c r="T57" s="350">
        <f>VLOOKUP(G57,'3-Productie normen'!A:J,10,FALSE)</f>
        <v>0</v>
      </c>
      <c r="U57" s="350"/>
      <c r="W57" s="351">
        <f t="shared" si="5"/>
        <v>0</v>
      </c>
    </row>
    <row r="58" spans="1:23" ht="14.1" customHeight="1">
      <c r="A58" s="77">
        <v>58</v>
      </c>
      <c r="B58" s="514" t="s">
        <v>286</v>
      </c>
      <c r="C58" s="316"/>
      <c r="D58" s="347">
        <v>1</v>
      </c>
      <c r="E58" s="514" t="s">
        <v>358</v>
      </c>
      <c r="F58" s="514" t="s">
        <v>323</v>
      </c>
      <c r="G58" s="316" t="s">
        <v>64</v>
      </c>
      <c r="H58" s="74" t="s">
        <v>264</v>
      </c>
      <c r="I58" s="472" t="s">
        <v>99</v>
      </c>
      <c r="J58" s="347">
        <v>58.58</v>
      </c>
      <c r="K58" s="348">
        <f t="shared" si="3"/>
        <v>365</v>
      </c>
      <c r="L58" s="264">
        <v>255</v>
      </c>
      <c r="M58" s="264">
        <v>102</v>
      </c>
      <c r="N58" s="264">
        <v>8</v>
      </c>
      <c r="O58" s="263" t="e">
        <f>IF(L58="nio",0,IF(L58&gt;0,L58*J58/R58,0))*VLOOKUP(B58,'2-Kosten'!$A$14:$C$16,3,FALSE)</f>
        <v>#DIV/0!</v>
      </c>
      <c r="P58" s="263" t="e">
        <f>IF(M58&gt;0,M58*J58/S58,0)*VLOOKUP(B58,'2-Kosten'!$A$14:$C$16,3,FALSE)</f>
        <v>#DIV/0!</v>
      </c>
      <c r="Q58" s="263" t="e">
        <f>IF(N58&gt;0,N58*J58/S58,0)*VLOOKUP(B58,'2-Kosten'!$A$14:$C$16,3,FALSE)</f>
        <v>#DIV/0!</v>
      </c>
      <c r="R58" s="349">
        <f>IF(L58="nio",0,IF(L58&gt;0,VLOOKUP(G58,'3-Productie normen'!A:M,VLOOKUP(L58,'3-Productie normen'!$B$27:$C$31,2,FALSE),FALSE)))</f>
        <v>0</v>
      </c>
      <c r="S58" s="349">
        <f t="shared" si="4"/>
        <v>0</v>
      </c>
      <c r="T58" s="350" t="s">
        <v>65</v>
      </c>
      <c r="U58" s="350"/>
      <c r="W58" s="351">
        <f t="shared" si="5"/>
        <v>21381.7</v>
      </c>
    </row>
    <row r="59" spans="1:23" ht="14.1" customHeight="1">
      <c r="A59" s="77">
        <v>59</v>
      </c>
      <c r="B59" s="514" t="s">
        <v>286</v>
      </c>
      <c r="C59" s="316"/>
      <c r="D59" s="347">
        <v>1</v>
      </c>
      <c r="E59" s="514" t="s">
        <v>359</v>
      </c>
      <c r="F59" s="514" t="s">
        <v>335</v>
      </c>
      <c r="G59" s="316" t="s">
        <v>425</v>
      </c>
      <c r="H59" s="74" t="s">
        <v>264</v>
      </c>
      <c r="I59" s="472" t="s">
        <v>99</v>
      </c>
      <c r="J59" s="347">
        <v>32.54</v>
      </c>
      <c r="K59" s="348">
        <f t="shared" si="3"/>
        <v>0</v>
      </c>
      <c r="L59" s="264" t="s">
        <v>420</v>
      </c>
      <c r="M59" s="264"/>
      <c r="N59" s="264"/>
      <c r="O59" s="263">
        <f>IF(L59="nio",0,IF(L59&gt;0,L59*J59/R59,0))*VLOOKUP(B59,'2-Kosten'!$A$14:$C$16,3,FALSE)</f>
        <v>0</v>
      </c>
      <c r="P59" s="263">
        <f>IF(M59&gt;0,M59*J59/S59,0)*VLOOKUP(B59,'2-Kosten'!$A$14:$C$16,3,FALSE)</f>
        <v>0</v>
      </c>
      <c r="Q59" s="263">
        <f>IF(N59&gt;0,N59*J59/S59,0)*VLOOKUP(B59,'2-Kosten'!$A$14:$C$16,3,FALSE)</f>
        <v>0</v>
      </c>
      <c r="R59" s="349">
        <f>IF(L59="nio",0,IF(L59&gt;0,VLOOKUP(G59,'3-Productie normen'!A:M,VLOOKUP(L59,'3-Productie normen'!$B$27:$C$31,2,FALSE),FALSE)))</f>
        <v>0</v>
      </c>
      <c r="S59" s="349">
        <f t="shared" si="4"/>
        <v>0</v>
      </c>
      <c r="T59" s="350">
        <f>VLOOKUP(G59,'3-Productie normen'!A:J,10,FALSE)</f>
        <v>0</v>
      </c>
      <c r="U59" s="350"/>
      <c r="W59" s="351">
        <f t="shared" si="5"/>
        <v>0</v>
      </c>
    </row>
    <row r="60" spans="1:23" ht="14.1" customHeight="1">
      <c r="A60" s="77">
        <v>60</v>
      </c>
      <c r="B60" s="514" t="s">
        <v>286</v>
      </c>
      <c r="C60" s="316"/>
      <c r="D60" s="347">
        <v>1</v>
      </c>
      <c r="E60" s="514" t="s">
        <v>360</v>
      </c>
      <c r="F60" s="514" t="s">
        <v>335</v>
      </c>
      <c r="G60" s="316" t="s">
        <v>425</v>
      </c>
      <c r="H60" s="74" t="s">
        <v>264</v>
      </c>
      <c r="I60" s="472" t="s">
        <v>99</v>
      </c>
      <c r="J60" s="347">
        <v>27.93</v>
      </c>
      <c r="K60" s="348">
        <f t="shared" si="3"/>
        <v>0</v>
      </c>
      <c r="L60" s="264" t="s">
        <v>420</v>
      </c>
      <c r="M60" s="264"/>
      <c r="N60" s="264"/>
      <c r="O60" s="263">
        <f>IF(L60="nio",0,IF(L60&gt;0,L60*J60/R60,0))*VLOOKUP(B60,'2-Kosten'!$A$14:$C$16,3,FALSE)</f>
        <v>0</v>
      </c>
      <c r="P60" s="263">
        <f>IF(M60&gt;0,M60*J60/S60,0)*VLOOKUP(B60,'2-Kosten'!$A$14:$C$16,3,FALSE)</f>
        <v>0</v>
      </c>
      <c r="Q60" s="263">
        <f>IF(N60&gt;0,N60*J60/S60,0)*VLOOKUP(B60,'2-Kosten'!$A$14:$C$16,3,FALSE)</f>
        <v>0</v>
      </c>
      <c r="R60" s="349">
        <f>IF(L60="nio",0,IF(L60&gt;0,VLOOKUP(G60,'3-Productie normen'!A:M,VLOOKUP(L60,'3-Productie normen'!$B$27:$C$31,2,FALSE),FALSE)))</f>
        <v>0</v>
      </c>
      <c r="S60" s="349">
        <f t="shared" si="4"/>
        <v>0</v>
      </c>
      <c r="T60" s="350">
        <f>VLOOKUP(G60,'3-Productie normen'!A:J,10,FALSE)</f>
        <v>0</v>
      </c>
      <c r="U60" s="350"/>
      <c r="W60" s="351">
        <f t="shared" si="5"/>
        <v>0</v>
      </c>
    </row>
    <row r="61" spans="1:23" ht="14.1" customHeight="1">
      <c r="A61" s="77">
        <v>61</v>
      </c>
      <c r="B61" s="514" t="s">
        <v>286</v>
      </c>
      <c r="C61" s="316"/>
      <c r="D61" s="347">
        <v>1</v>
      </c>
      <c r="E61" s="514" t="s">
        <v>361</v>
      </c>
      <c r="F61" s="514" t="s">
        <v>336</v>
      </c>
      <c r="G61" s="316" t="s">
        <v>425</v>
      </c>
      <c r="H61" s="74" t="s">
        <v>264</v>
      </c>
      <c r="I61" s="472" t="s">
        <v>99</v>
      </c>
      <c r="J61" s="347">
        <v>17.97</v>
      </c>
      <c r="K61" s="348">
        <f t="shared" si="3"/>
        <v>0</v>
      </c>
      <c r="L61" s="264" t="s">
        <v>420</v>
      </c>
      <c r="M61" s="264"/>
      <c r="N61" s="264"/>
      <c r="O61" s="263">
        <f>IF(L61="nio",0,IF(L61&gt;0,L61*J61/R61,0))*VLOOKUP(B61,'2-Kosten'!$A$14:$C$16,3,FALSE)</f>
        <v>0</v>
      </c>
      <c r="P61" s="263">
        <f>IF(M61&gt;0,M61*J61/S61,0)*VLOOKUP(B61,'2-Kosten'!$A$14:$C$16,3,FALSE)</f>
        <v>0</v>
      </c>
      <c r="Q61" s="263">
        <f>IF(N61&gt;0,N61*J61/S61,0)*VLOOKUP(B61,'2-Kosten'!$A$14:$C$16,3,FALSE)</f>
        <v>0</v>
      </c>
      <c r="R61" s="349">
        <f>IF(L61="nio",0,IF(L61&gt;0,VLOOKUP(G61,'3-Productie normen'!A:M,VLOOKUP(L61,'3-Productie normen'!$B$27:$C$31,2,FALSE),FALSE)))</f>
        <v>0</v>
      </c>
      <c r="S61" s="349">
        <f t="shared" si="4"/>
        <v>0</v>
      </c>
      <c r="T61" s="350">
        <f>VLOOKUP(G61,'3-Productie normen'!A:J,10,FALSE)</f>
        <v>0</v>
      </c>
      <c r="U61" s="350"/>
      <c r="W61" s="351">
        <f t="shared" si="5"/>
        <v>0</v>
      </c>
    </row>
    <row r="62" spans="1:23" ht="14.1" customHeight="1">
      <c r="A62" s="77">
        <v>62</v>
      </c>
      <c r="B62" s="514" t="s">
        <v>286</v>
      </c>
      <c r="C62" s="316"/>
      <c r="D62" s="347">
        <v>1</v>
      </c>
      <c r="E62" s="514" t="s">
        <v>362</v>
      </c>
      <c r="F62" s="514" t="s">
        <v>69</v>
      </c>
      <c r="G62" s="74" t="s">
        <v>69</v>
      </c>
      <c r="H62" s="74" t="s">
        <v>443</v>
      </c>
      <c r="I62" s="514" t="s">
        <v>98</v>
      </c>
      <c r="J62" s="347">
        <v>14.55</v>
      </c>
      <c r="K62" s="348">
        <f t="shared" si="3"/>
        <v>104</v>
      </c>
      <c r="L62" s="264">
        <v>104</v>
      </c>
      <c r="M62" s="264"/>
      <c r="N62" s="264"/>
      <c r="O62" s="263" t="e">
        <f>IF(L62="nio",0,IF(L62&gt;0,L62*J62/R62,0))*VLOOKUP(B62,'2-Kosten'!$A$14:$C$16,3,FALSE)</f>
        <v>#DIV/0!</v>
      </c>
      <c r="P62" s="263">
        <f>IF(M62&gt;0,M62*J62/S62,0)*VLOOKUP(B62,'2-Kosten'!$A$14:$C$16,3,FALSE)</f>
        <v>0</v>
      </c>
      <c r="Q62" s="263">
        <f>IF(N62&gt;0,N62*J62/S62,0)*VLOOKUP(B62,'2-Kosten'!$A$14:$C$16,3,FALSE)</f>
        <v>0</v>
      </c>
      <c r="R62" s="349">
        <f>IF(L62="nio",0,IF(L62&gt;0,VLOOKUP(G62,'3-Productie normen'!A:M,VLOOKUP(L62,'3-Productie normen'!$B$27:$C$31,2,FALSE),FALSE)))</f>
        <v>0</v>
      </c>
      <c r="S62" s="349">
        <f t="shared" si="4"/>
        <v>0</v>
      </c>
      <c r="T62" s="350" t="s">
        <v>65</v>
      </c>
      <c r="U62" s="350"/>
      <c r="W62" s="351">
        <f t="shared" si="5"/>
        <v>1513.2</v>
      </c>
    </row>
    <row r="63" spans="1:23" ht="14.1" customHeight="1">
      <c r="A63" s="77">
        <v>63</v>
      </c>
      <c r="B63" s="514" t="s">
        <v>286</v>
      </c>
      <c r="C63" s="316"/>
      <c r="D63" s="347">
        <v>1</v>
      </c>
      <c r="E63" s="514" t="s">
        <v>363</v>
      </c>
      <c r="F63" s="514" t="s">
        <v>336</v>
      </c>
      <c r="G63" s="316" t="s">
        <v>425</v>
      </c>
      <c r="H63" s="74" t="s">
        <v>264</v>
      </c>
      <c r="I63" s="472" t="s">
        <v>99</v>
      </c>
      <c r="J63" s="347">
        <v>22.75</v>
      </c>
      <c r="K63" s="348">
        <f t="shared" si="3"/>
        <v>0</v>
      </c>
      <c r="L63" s="264" t="s">
        <v>420</v>
      </c>
      <c r="M63" s="264"/>
      <c r="N63" s="264"/>
      <c r="O63" s="263">
        <f>IF(L63="nio",0,IF(L63&gt;0,L63*J63/R63,0))*VLOOKUP(B63,'2-Kosten'!$A$14:$C$16,3,FALSE)</f>
        <v>0</v>
      </c>
      <c r="P63" s="263">
        <f>IF(M63&gt;0,M63*J63/S63,0)*VLOOKUP(B63,'2-Kosten'!$A$14:$C$16,3,FALSE)</f>
        <v>0</v>
      </c>
      <c r="Q63" s="263">
        <f>IF(N63&gt;0,N63*J63/S63,0)*VLOOKUP(B63,'2-Kosten'!$A$14:$C$16,3,FALSE)</f>
        <v>0</v>
      </c>
      <c r="R63" s="349">
        <f>IF(L63="nio",0,IF(L63&gt;0,VLOOKUP(G63,'3-Productie normen'!A:M,VLOOKUP(L63,'3-Productie normen'!$B$27:$C$31,2,FALSE),FALSE)))</f>
        <v>0</v>
      </c>
      <c r="S63" s="349">
        <f t="shared" si="4"/>
        <v>0</v>
      </c>
      <c r="T63" s="350">
        <f>VLOOKUP(G63,'3-Productie normen'!A:J,10,FALSE)</f>
        <v>0</v>
      </c>
      <c r="U63" s="350"/>
      <c r="W63" s="351">
        <f t="shared" si="5"/>
        <v>0</v>
      </c>
    </row>
    <row r="64" spans="1:23" ht="14.1" customHeight="1">
      <c r="A64" s="77">
        <v>64</v>
      </c>
      <c r="B64" s="514" t="s">
        <v>286</v>
      </c>
      <c r="C64" s="316"/>
      <c r="D64" s="347">
        <v>1</v>
      </c>
      <c r="E64" s="514" t="s">
        <v>364</v>
      </c>
      <c r="F64" s="514" t="s">
        <v>336</v>
      </c>
      <c r="G64" s="316" t="s">
        <v>425</v>
      </c>
      <c r="H64" s="74" t="s">
        <v>264</v>
      </c>
      <c r="I64" s="472" t="s">
        <v>99</v>
      </c>
      <c r="J64" s="347">
        <v>18.72</v>
      </c>
      <c r="K64" s="348">
        <f t="shared" si="3"/>
        <v>0</v>
      </c>
      <c r="L64" s="264" t="s">
        <v>420</v>
      </c>
      <c r="M64" s="264"/>
      <c r="N64" s="264"/>
      <c r="O64" s="263">
        <f>IF(L64="nio",0,IF(L64&gt;0,L64*J64/R64,0))*VLOOKUP(B64,'2-Kosten'!$A$14:$C$16,3,FALSE)</f>
        <v>0</v>
      </c>
      <c r="P64" s="263">
        <f>IF(M64&gt;0,M64*J64/S64,0)*VLOOKUP(B64,'2-Kosten'!$A$14:$C$16,3,FALSE)</f>
        <v>0</v>
      </c>
      <c r="Q64" s="263">
        <f>IF(N64&gt;0,N64*J64/S64,0)*VLOOKUP(B64,'2-Kosten'!$A$14:$C$16,3,FALSE)</f>
        <v>0</v>
      </c>
      <c r="R64" s="349">
        <f>IF(L64="nio",0,IF(L64&gt;0,VLOOKUP(G64,'3-Productie normen'!A:M,VLOOKUP(L64,'3-Productie normen'!$B$27:$C$31,2,FALSE),FALSE)))</f>
        <v>0</v>
      </c>
      <c r="S64" s="349">
        <f t="shared" si="4"/>
        <v>0</v>
      </c>
      <c r="T64" s="350">
        <f>VLOOKUP(G64,'3-Productie normen'!A:J,10,FALSE)</f>
        <v>0</v>
      </c>
      <c r="U64" s="350"/>
      <c r="W64" s="351">
        <f t="shared" si="5"/>
        <v>0</v>
      </c>
    </row>
    <row r="65" spans="1:23" ht="14.1" customHeight="1">
      <c r="A65" s="77">
        <v>65</v>
      </c>
      <c r="B65" s="514" t="s">
        <v>286</v>
      </c>
      <c r="C65" s="316"/>
      <c r="D65" s="347">
        <v>1</v>
      </c>
      <c r="E65" s="514" t="s">
        <v>365</v>
      </c>
      <c r="F65" s="514" t="s">
        <v>336</v>
      </c>
      <c r="G65" s="316" t="s">
        <v>425</v>
      </c>
      <c r="H65" s="74" t="s">
        <v>264</v>
      </c>
      <c r="I65" s="472" t="s">
        <v>99</v>
      </c>
      <c r="J65" s="347">
        <v>18.690000000000001</v>
      </c>
      <c r="K65" s="348">
        <f t="shared" si="3"/>
        <v>0</v>
      </c>
      <c r="L65" s="264" t="s">
        <v>420</v>
      </c>
      <c r="M65" s="264"/>
      <c r="N65" s="264"/>
      <c r="O65" s="263">
        <f>IF(L65="nio",0,IF(L65&gt;0,L65*J65/R65,0))*VLOOKUP(B65,'2-Kosten'!$A$14:$C$16,3,FALSE)</f>
        <v>0</v>
      </c>
      <c r="P65" s="263">
        <f>IF(M65&gt;0,M65*J65/S65,0)*VLOOKUP(B65,'2-Kosten'!$A$14:$C$16,3,FALSE)</f>
        <v>0</v>
      </c>
      <c r="Q65" s="263">
        <f>IF(N65&gt;0,N65*J65/S65,0)*VLOOKUP(B65,'2-Kosten'!$A$14:$C$16,3,FALSE)</f>
        <v>0</v>
      </c>
      <c r="R65" s="349">
        <f>IF(L65="nio",0,IF(L65&gt;0,VLOOKUP(G65,'3-Productie normen'!A:M,VLOOKUP(L65,'3-Productie normen'!$B$27:$C$31,2,FALSE),FALSE)))</f>
        <v>0</v>
      </c>
      <c r="S65" s="349">
        <f t="shared" si="4"/>
        <v>0</v>
      </c>
      <c r="T65" s="350">
        <f>VLOOKUP(G65,'3-Productie normen'!A:J,10,FALSE)</f>
        <v>0</v>
      </c>
      <c r="U65" s="350"/>
      <c r="W65" s="351">
        <f t="shared" si="5"/>
        <v>0</v>
      </c>
    </row>
    <row r="66" spans="1:23" ht="14.1" customHeight="1">
      <c r="A66" s="77">
        <v>66</v>
      </c>
      <c r="B66" s="514" t="s">
        <v>286</v>
      </c>
      <c r="C66" s="316"/>
      <c r="D66" s="347">
        <v>1</v>
      </c>
      <c r="E66" s="514" t="s">
        <v>366</v>
      </c>
      <c r="F66" s="514" t="s">
        <v>336</v>
      </c>
      <c r="G66" s="316" t="s">
        <v>425</v>
      </c>
      <c r="H66" s="74" t="s">
        <v>264</v>
      </c>
      <c r="I66" s="472" t="s">
        <v>99</v>
      </c>
      <c r="J66" s="347">
        <v>22.51</v>
      </c>
      <c r="K66" s="348">
        <f t="shared" si="3"/>
        <v>0</v>
      </c>
      <c r="L66" s="264" t="s">
        <v>420</v>
      </c>
      <c r="M66" s="264"/>
      <c r="N66" s="264"/>
      <c r="O66" s="263">
        <f>IF(L66="nio",0,IF(L66&gt;0,L66*J66/R66,0))*VLOOKUP(B66,'2-Kosten'!$A$14:$C$16,3,FALSE)</f>
        <v>0</v>
      </c>
      <c r="P66" s="263">
        <f>IF(M66&gt;0,M66*J66/S66,0)*VLOOKUP(B66,'2-Kosten'!$A$14:$C$16,3,FALSE)</f>
        <v>0</v>
      </c>
      <c r="Q66" s="263">
        <f>IF(N66&gt;0,N66*J66/S66,0)*VLOOKUP(B66,'2-Kosten'!$A$14:$C$16,3,FALSE)</f>
        <v>0</v>
      </c>
      <c r="R66" s="349">
        <f>IF(L66="nio",0,IF(L66&gt;0,VLOOKUP(G66,'3-Productie normen'!A:M,VLOOKUP(L66,'3-Productie normen'!$B$27:$C$31,2,FALSE),FALSE)))</f>
        <v>0</v>
      </c>
      <c r="S66" s="349">
        <f t="shared" si="4"/>
        <v>0</v>
      </c>
      <c r="T66" s="350">
        <f>VLOOKUP(G66,'3-Productie normen'!A:J,10,FALSE)</f>
        <v>0</v>
      </c>
      <c r="U66" s="350"/>
      <c r="W66" s="351">
        <f t="shared" si="5"/>
        <v>0</v>
      </c>
    </row>
    <row r="67" spans="1:23" ht="14.1" customHeight="1">
      <c r="A67" s="77">
        <v>67</v>
      </c>
      <c r="B67" s="514" t="s">
        <v>286</v>
      </c>
      <c r="C67" s="316"/>
      <c r="D67" s="347">
        <v>1</v>
      </c>
      <c r="E67" s="514" t="s">
        <v>367</v>
      </c>
      <c r="F67" s="514" t="s">
        <v>336</v>
      </c>
      <c r="G67" s="316" t="s">
        <v>425</v>
      </c>
      <c r="H67" s="74" t="s">
        <v>264</v>
      </c>
      <c r="I67" s="472" t="s">
        <v>99</v>
      </c>
      <c r="J67" s="347">
        <v>22.53</v>
      </c>
      <c r="K67" s="348">
        <f t="shared" si="3"/>
        <v>0</v>
      </c>
      <c r="L67" s="264" t="s">
        <v>420</v>
      </c>
      <c r="M67" s="264"/>
      <c r="N67" s="264"/>
      <c r="O67" s="263">
        <f>IF(L67="nio",0,IF(L67&gt;0,L67*J67/R67,0))*VLOOKUP(B67,'2-Kosten'!$A$14:$C$16,3,FALSE)</f>
        <v>0</v>
      </c>
      <c r="P67" s="263">
        <f>IF(M67&gt;0,M67*J67/S67,0)*VLOOKUP(B67,'2-Kosten'!$A$14:$C$16,3,FALSE)</f>
        <v>0</v>
      </c>
      <c r="Q67" s="263">
        <f>IF(N67&gt;0,N67*J67/S67,0)*VLOOKUP(B67,'2-Kosten'!$A$14:$C$16,3,FALSE)</f>
        <v>0</v>
      </c>
      <c r="R67" s="349">
        <f>IF(L67="nio",0,IF(L67&gt;0,VLOOKUP(G67,'3-Productie normen'!A:M,VLOOKUP(L67,'3-Productie normen'!$B$27:$C$31,2,FALSE),FALSE)))</f>
        <v>0</v>
      </c>
      <c r="S67" s="349">
        <f t="shared" si="4"/>
        <v>0</v>
      </c>
      <c r="T67" s="350">
        <f>VLOOKUP(G67,'3-Productie normen'!A:J,10,FALSE)</f>
        <v>0</v>
      </c>
      <c r="U67" s="350"/>
      <c r="W67" s="351">
        <f t="shared" si="5"/>
        <v>0</v>
      </c>
    </row>
    <row r="68" spans="1:23" ht="14.1" customHeight="1">
      <c r="A68" s="77">
        <v>68</v>
      </c>
      <c r="B68" s="514" t="s">
        <v>286</v>
      </c>
      <c r="C68" s="316"/>
      <c r="D68" s="347">
        <v>1</v>
      </c>
      <c r="E68" s="514" t="s">
        <v>368</v>
      </c>
      <c r="F68" s="514" t="s">
        <v>336</v>
      </c>
      <c r="G68" s="316" t="s">
        <v>425</v>
      </c>
      <c r="H68" s="74" t="s">
        <v>264</v>
      </c>
      <c r="I68" s="472" t="s">
        <v>99</v>
      </c>
      <c r="J68" s="347">
        <v>18.7</v>
      </c>
      <c r="K68" s="348">
        <f t="shared" si="3"/>
        <v>0</v>
      </c>
      <c r="L68" s="264" t="s">
        <v>420</v>
      </c>
      <c r="M68" s="264"/>
      <c r="N68" s="264"/>
      <c r="O68" s="263">
        <f>IF(L68="nio",0,IF(L68&gt;0,L68*J68/R68,0))*VLOOKUP(B68,'2-Kosten'!$A$14:$C$16,3,FALSE)</f>
        <v>0</v>
      </c>
      <c r="P68" s="263">
        <f>IF(M68&gt;0,M68*J68/S68,0)*VLOOKUP(B68,'2-Kosten'!$A$14:$C$16,3,FALSE)</f>
        <v>0</v>
      </c>
      <c r="Q68" s="263">
        <f>IF(N68&gt;0,N68*J68/S68,0)*VLOOKUP(B68,'2-Kosten'!$A$14:$C$16,3,FALSE)</f>
        <v>0</v>
      </c>
      <c r="R68" s="349">
        <f>IF(L68="nio",0,IF(L68&gt;0,VLOOKUP(G68,'3-Productie normen'!A:M,VLOOKUP(L68,'3-Productie normen'!$B$27:$C$31,2,FALSE),FALSE)))</f>
        <v>0</v>
      </c>
      <c r="S68" s="349">
        <f t="shared" si="4"/>
        <v>0</v>
      </c>
      <c r="T68" s="350">
        <f>VLOOKUP(G68,'3-Productie normen'!A:J,10,FALSE)</f>
        <v>0</v>
      </c>
      <c r="U68" s="350"/>
      <c r="W68" s="351">
        <f t="shared" si="5"/>
        <v>0</v>
      </c>
    </row>
    <row r="69" spans="1:23" ht="14.1" customHeight="1">
      <c r="A69" s="77">
        <v>69</v>
      </c>
      <c r="B69" s="514" t="s">
        <v>286</v>
      </c>
      <c r="C69" s="316"/>
      <c r="D69" s="347">
        <v>1</v>
      </c>
      <c r="E69" s="514" t="s">
        <v>369</v>
      </c>
      <c r="F69" s="514" t="s">
        <v>336</v>
      </c>
      <c r="G69" s="316" t="s">
        <v>425</v>
      </c>
      <c r="H69" s="74" t="s">
        <v>264</v>
      </c>
      <c r="I69" s="472" t="s">
        <v>99</v>
      </c>
      <c r="J69" s="347">
        <v>18.7</v>
      </c>
      <c r="K69" s="348">
        <f t="shared" si="3"/>
        <v>0</v>
      </c>
      <c r="L69" s="264" t="s">
        <v>420</v>
      </c>
      <c r="M69" s="264"/>
      <c r="N69" s="264"/>
      <c r="O69" s="263">
        <f>IF(L69="nio",0,IF(L69&gt;0,L69*J69/R69,0))*VLOOKUP(B69,'2-Kosten'!$A$14:$C$16,3,FALSE)</f>
        <v>0</v>
      </c>
      <c r="P69" s="263">
        <f>IF(M69&gt;0,M69*J69/S69,0)*VLOOKUP(B69,'2-Kosten'!$A$14:$C$16,3,FALSE)</f>
        <v>0</v>
      </c>
      <c r="Q69" s="263">
        <f>IF(N69&gt;0,N69*J69/S69,0)*VLOOKUP(B69,'2-Kosten'!$A$14:$C$16,3,FALSE)</f>
        <v>0</v>
      </c>
      <c r="R69" s="349">
        <f>IF(L69="nio",0,IF(L69&gt;0,VLOOKUP(G69,'3-Productie normen'!A:M,VLOOKUP(L69,'3-Productie normen'!$B$27:$C$31,2,FALSE),FALSE)))</f>
        <v>0</v>
      </c>
      <c r="S69" s="349">
        <f t="shared" si="4"/>
        <v>0</v>
      </c>
      <c r="T69" s="350">
        <f>VLOOKUP(G69,'3-Productie normen'!A:J,10,FALSE)</f>
        <v>0</v>
      </c>
      <c r="U69" s="350"/>
      <c r="W69" s="351">
        <f t="shared" si="5"/>
        <v>0</v>
      </c>
    </row>
    <row r="70" spans="1:23" ht="14.1" customHeight="1">
      <c r="A70" s="77">
        <v>70</v>
      </c>
      <c r="B70" s="514" t="s">
        <v>286</v>
      </c>
      <c r="C70" s="316"/>
      <c r="D70" s="347">
        <v>1</v>
      </c>
      <c r="E70" s="514" t="s">
        <v>370</v>
      </c>
      <c r="F70" s="514" t="s">
        <v>336</v>
      </c>
      <c r="G70" s="316" t="s">
        <v>425</v>
      </c>
      <c r="H70" s="74" t="s">
        <v>264</v>
      </c>
      <c r="I70" s="472" t="s">
        <v>99</v>
      </c>
      <c r="J70" s="347">
        <v>18.72</v>
      </c>
      <c r="K70" s="348">
        <f t="shared" si="3"/>
        <v>0</v>
      </c>
      <c r="L70" s="264" t="s">
        <v>420</v>
      </c>
      <c r="M70" s="264"/>
      <c r="N70" s="264"/>
      <c r="O70" s="263">
        <f>IF(L70="nio",0,IF(L70&gt;0,L70*J70/R70,0))*VLOOKUP(B70,'2-Kosten'!$A$14:$C$16,3,FALSE)</f>
        <v>0</v>
      </c>
      <c r="P70" s="263">
        <f>IF(M70&gt;0,M70*J70/S70,0)*VLOOKUP(B70,'2-Kosten'!$A$14:$C$16,3,FALSE)</f>
        <v>0</v>
      </c>
      <c r="Q70" s="263">
        <f>IF(N70&gt;0,N70*J70/S70,0)*VLOOKUP(B70,'2-Kosten'!$A$14:$C$16,3,FALSE)</f>
        <v>0</v>
      </c>
      <c r="R70" s="349">
        <f>IF(L70="nio",0,IF(L70&gt;0,VLOOKUP(G70,'3-Productie normen'!A:M,VLOOKUP(L70,'3-Productie normen'!$B$27:$C$31,2,FALSE),FALSE)))</f>
        <v>0</v>
      </c>
      <c r="S70" s="349">
        <f t="shared" si="4"/>
        <v>0</v>
      </c>
      <c r="T70" s="350">
        <f>VLOOKUP(G70,'3-Productie normen'!A:J,10,FALSE)</f>
        <v>0</v>
      </c>
      <c r="U70" s="350"/>
      <c r="W70" s="351">
        <f t="shared" si="5"/>
        <v>0</v>
      </c>
    </row>
    <row r="71" spans="1:23" ht="14.1" customHeight="1">
      <c r="A71" s="77">
        <v>71</v>
      </c>
      <c r="B71" s="514" t="s">
        <v>286</v>
      </c>
      <c r="C71" s="316"/>
      <c r="D71" s="347">
        <v>1</v>
      </c>
      <c r="E71" s="514" t="s">
        <v>371</v>
      </c>
      <c r="F71" s="514" t="s">
        <v>336</v>
      </c>
      <c r="G71" s="316" t="s">
        <v>425</v>
      </c>
      <c r="H71" s="74" t="s">
        <v>264</v>
      </c>
      <c r="I71" s="472" t="s">
        <v>99</v>
      </c>
      <c r="J71" s="347">
        <v>18.7</v>
      </c>
      <c r="K71" s="348">
        <f t="shared" si="3"/>
        <v>0</v>
      </c>
      <c r="L71" s="264" t="s">
        <v>420</v>
      </c>
      <c r="M71" s="264"/>
      <c r="N71" s="264"/>
      <c r="O71" s="263">
        <f>IF(L71="nio",0,IF(L71&gt;0,L71*J71/R71,0))*VLOOKUP(B71,'2-Kosten'!$A$14:$C$16,3,FALSE)</f>
        <v>0</v>
      </c>
      <c r="P71" s="263">
        <f>IF(M71&gt;0,M71*J71/S71,0)*VLOOKUP(B71,'2-Kosten'!$A$14:$C$16,3,FALSE)</f>
        <v>0</v>
      </c>
      <c r="Q71" s="263">
        <f>IF(N71&gt;0,N71*J71/S71,0)*VLOOKUP(B71,'2-Kosten'!$A$14:$C$16,3,FALSE)</f>
        <v>0</v>
      </c>
      <c r="R71" s="349">
        <f>IF(L71="nio",0,IF(L71&gt;0,VLOOKUP(G71,'3-Productie normen'!A:M,VLOOKUP(L71,'3-Productie normen'!$B$27:$C$31,2,FALSE),FALSE)))</f>
        <v>0</v>
      </c>
      <c r="S71" s="349">
        <f t="shared" si="4"/>
        <v>0</v>
      </c>
      <c r="T71" s="350">
        <f>VLOOKUP(G71,'3-Productie normen'!A:J,10,FALSE)</f>
        <v>0</v>
      </c>
      <c r="U71" s="350"/>
      <c r="W71" s="351">
        <f t="shared" si="5"/>
        <v>0</v>
      </c>
    </row>
    <row r="72" spans="1:23" ht="14.1" customHeight="1">
      <c r="A72" s="77">
        <v>72</v>
      </c>
      <c r="B72" s="514" t="s">
        <v>286</v>
      </c>
      <c r="C72" s="316"/>
      <c r="D72" s="347">
        <v>1</v>
      </c>
      <c r="E72" s="514" t="s">
        <v>372</v>
      </c>
      <c r="F72" s="514" t="s">
        <v>336</v>
      </c>
      <c r="G72" s="316" t="s">
        <v>425</v>
      </c>
      <c r="H72" s="74" t="s">
        <v>264</v>
      </c>
      <c r="I72" s="472" t="s">
        <v>99</v>
      </c>
      <c r="J72" s="347">
        <v>18.7</v>
      </c>
      <c r="K72" s="348">
        <f t="shared" si="3"/>
        <v>0</v>
      </c>
      <c r="L72" s="264" t="s">
        <v>420</v>
      </c>
      <c r="M72" s="264"/>
      <c r="N72" s="264"/>
      <c r="O72" s="263">
        <f>IF(L72="nio",0,IF(L72&gt;0,L72*J72/R72,0))*VLOOKUP(B72,'2-Kosten'!$A$14:$C$16,3,FALSE)</f>
        <v>0</v>
      </c>
      <c r="P72" s="263">
        <f>IF(M72&gt;0,M72*J72/S72,0)*VLOOKUP(B72,'2-Kosten'!$A$14:$C$16,3,FALSE)</f>
        <v>0</v>
      </c>
      <c r="Q72" s="263">
        <f>IF(N72&gt;0,N72*J72/S72,0)*VLOOKUP(B72,'2-Kosten'!$A$14:$C$16,3,FALSE)</f>
        <v>0</v>
      </c>
      <c r="R72" s="349">
        <f>IF(L72="nio",0,IF(L72&gt;0,VLOOKUP(G72,'3-Productie normen'!A:M,VLOOKUP(L72,'3-Productie normen'!$B$27:$C$31,2,FALSE),FALSE)))</f>
        <v>0</v>
      </c>
      <c r="S72" s="349">
        <f t="shared" si="4"/>
        <v>0</v>
      </c>
      <c r="T72" s="350">
        <f>VLOOKUP(G72,'3-Productie normen'!A:J,10,FALSE)</f>
        <v>0</v>
      </c>
      <c r="U72" s="350"/>
      <c r="W72" s="351">
        <f t="shared" si="5"/>
        <v>0</v>
      </c>
    </row>
    <row r="73" spans="1:23" ht="14.1" customHeight="1">
      <c r="A73" s="77">
        <v>73</v>
      </c>
      <c r="B73" s="514" t="s">
        <v>286</v>
      </c>
      <c r="C73" s="316"/>
      <c r="D73" s="347">
        <v>1</v>
      </c>
      <c r="E73" s="514" t="s">
        <v>373</v>
      </c>
      <c r="F73" s="514" t="s">
        <v>335</v>
      </c>
      <c r="G73" s="316" t="s">
        <v>425</v>
      </c>
      <c r="H73" s="74" t="s">
        <v>264</v>
      </c>
      <c r="I73" s="472" t="s">
        <v>99</v>
      </c>
      <c r="J73" s="347">
        <v>28.12</v>
      </c>
      <c r="K73" s="348">
        <f t="shared" si="3"/>
        <v>0</v>
      </c>
      <c r="L73" s="264" t="s">
        <v>420</v>
      </c>
      <c r="M73" s="264"/>
      <c r="N73" s="264"/>
      <c r="O73" s="263">
        <f>IF(L73="nio",0,IF(L73&gt;0,L73*J73/R73,0))*VLOOKUP(B73,'2-Kosten'!$A$14:$C$16,3,FALSE)</f>
        <v>0</v>
      </c>
      <c r="P73" s="263">
        <f>IF(M73&gt;0,M73*J73/S73,0)*VLOOKUP(B73,'2-Kosten'!$A$14:$C$16,3,FALSE)</f>
        <v>0</v>
      </c>
      <c r="Q73" s="263">
        <f>IF(N73&gt;0,N73*J73/S73,0)*VLOOKUP(B73,'2-Kosten'!$A$14:$C$16,3,FALSE)</f>
        <v>0</v>
      </c>
      <c r="R73" s="349">
        <f>IF(L73="nio",0,IF(L73&gt;0,VLOOKUP(G73,'3-Productie normen'!A:M,VLOOKUP(L73,'3-Productie normen'!$B$27:$C$31,2,FALSE),FALSE)))</f>
        <v>0</v>
      </c>
      <c r="S73" s="349">
        <f t="shared" si="4"/>
        <v>0</v>
      </c>
      <c r="T73" s="350">
        <f>VLOOKUP(G73,'3-Productie normen'!A:J,10,FALSE)</f>
        <v>0</v>
      </c>
      <c r="U73" s="350"/>
      <c r="W73" s="351">
        <f t="shared" si="5"/>
        <v>0</v>
      </c>
    </row>
    <row r="74" spans="1:23" ht="14.1" customHeight="1">
      <c r="A74" s="77">
        <v>74</v>
      </c>
      <c r="B74" s="514" t="s">
        <v>286</v>
      </c>
      <c r="C74" s="316"/>
      <c r="D74" s="347">
        <v>1</v>
      </c>
      <c r="E74" s="514" t="s">
        <v>374</v>
      </c>
      <c r="F74" s="514" t="s">
        <v>377</v>
      </c>
      <c r="G74" s="316" t="s">
        <v>425</v>
      </c>
      <c r="H74" s="74" t="s">
        <v>264</v>
      </c>
      <c r="I74" s="472" t="s">
        <v>99</v>
      </c>
      <c r="J74" s="347">
        <v>6</v>
      </c>
      <c r="K74" s="348">
        <f t="shared" ref="K74:K105" si="6">SUM(L74:N74)</f>
        <v>0</v>
      </c>
      <c r="L74" s="264" t="s">
        <v>420</v>
      </c>
      <c r="M74" s="264"/>
      <c r="N74" s="264"/>
      <c r="O74" s="263">
        <f>IF(L74="nio",0,IF(L74&gt;0,L74*J74/R74,0))*VLOOKUP(B74,'2-Kosten'!$A$14:$C$16,3,FALSE)</f>
        <v>0</v>
      </c>
      <c r="P74" s="263">
        <f>IF(M74&gt;0,M74*J74/S74,0)*VLOOKUP(B74,'2-Kosten'!$A$14:$C$16,3,FALSE)</f>
        <v>0</v>
      </c>
      <c r="Q74" s="263">
        <f>IF(N74&gt;0,N74*J74/S74,0)*VLOOKUP(B74,'2-Kosten'!$A$14:$C$16,3,FALSE)</f>
        <v>0</v>
      </c>
      <c r="R74" s="349">
        <f>IF(L74="nio",0,IF(L74&gt;0,VLOOKUP(G74,'3-Productie normen'!A:M,VLOOKUP(L74,'3-Productie normen'!$B$27:$C$31,2,FALSE),FALSE)))</f>
        <v>0</v>
      </c>
      <c r="S74" s="349">
        <f t="shared" ref="S74:S105" si="7">IF((OR(M74&gt;0,N74&gt;0)),R74*$S$8,0)</f>
        <v>0</v>
      </c>
      <c r="T74" s="350">
        <f>VLOOKUP(G74,'3-Productie normen'!A:J,10,FALSE)</f>
        <v>0</v>
      </c>
      <c r="U74" s="350"/>
      <c r="W74" s="351">
        <f t="shared" ref="W74:W105" si="8">K74*J74</f>
        <v>0</v>
      </c>
    </row>
    <row r="75" spans="1:23" ht="14.1" customHeight="1">
      <c r="A75" s="77">
        <v>75</v>
      </c>
      <c r="B75" s="514" t="s">
        <v>286</v>
      </c>
      <c r="C75" s="316"/>
      <c r="D75" s="347">
        <v>1</v>
      </c>
      <c r="E75" s="514" t="s">
        <v>375</v>
      </c>
      <c r="F75" s="514" t="s">
        <v>321</v>
      </c>
      <c r="G75" s="316" t="s">
        <v>425</v>
      </c>
      <c r="H75" s="74" t="s">
        <v>264</v>
      </c>
      <c r="I75" s="472" t="s">
        <v>99</v>
      </c>
      <c r="J75" s="347">
        <v>2.16</v>
      </c>
      <c r="K75" s="348">
        <f t="shared" si="6"/>
        <v>0</v>
      </c>
      <c r="L75" s="264" t="s">
        <v>420</v>
      </c>
      <c r="M75" s="264"/>
      <c r="N75" s="264"/>
      <c r="O75" s="263">
        <f>IF(L75="nio",0,IF(L75&gt;0,L75*J75/R75,0))*VLOOKUP(B75,'2-Kosten'!$A$14:$C$16,3,FALSE)</f>
        <v>0</v>
      </c>
      <c r="P75" s="263">
        <f>IF(M75&gt;0,M75*J75/S75,0)*VLOOKUP(B75,'2-Kosten'!$A$14:$C$16,3,FALSE)</f>
        <v>0</v>
      </c>
      <c r="Q75" s="263">
        <f>IF(N75&gt;0,N75*J75/S75,0)*VLOOKUP(B75,'2-Kosten'!$A$14:$C$16,3,FALSE)</f>
        <v>0</v>
      </c>
      <c r="R75" s="349">
        <f>IF(L75="nio",0,IF(L75&gt;0,VLOOKUP(G75,'3-Productie normen'!A:M,VLOOKUP(L75,'3-Productie normen'!$B$27:$C$31,2,FALSE),FALSE)))</f>
        <v>0</v>
      </c>
      <c r="S75" s="349">
        <f t="shared" si="7"/>
        <v>0</v>
      </c>
      <c r="T75" s="350">
        <f>VLOOKUP(G75,'3-Productie normen'!A:J,10,FALSE)</f>
        <v>0</v>
      </c>
      <c r="U75" s="350"/>
      <c r="W75" s="351">
        <f t="shared" si="8"/>
        <v>0</v>
      </c>
    </row>
    <row r="76" spans="1:23" ht="14.1" customHeight="1">
      <c r="A76" s="77">
        <v>76</v>
      </c>
      <c r="B76" s="514" t="s">
        <v>286</v>
      </c>
      <c r="C76" s="316"/>
      <c r="D76" s="347">
        <v>1</v>
      </c>
      <c r="E76" s="514" t="s">
        <v>376</v>
      </c>
      <c r="F76" s="514" t="s">
        <v>336</v>
      </c>
      <c r="G76" s="316" t="s">
        <v>425</v>
      </c>
      <c r="H76" s="74" t="s">
        <v>264</v>
      </c>
      <c r="I76" s="472" t="s">
        <v>99</v>
      </c>
      <c r="J76" s="347">
        <v>18.32</v>
      </c>
      <c r="K76" s="348">
        <f t="shared" si="6"/>
        <v>0</v>
      </c>
      <c r="L76" s="264" t="s">
        <v>420</v>
      </c>
      <c r="M76" s="264"/>
      <c r="N76" s="264"/>
      <c r="O76" s="263">
        <f>IF(L76="nio",0,IF(L76&gt;0,L76*J76/R76,0))*VLOOKUP(B76,'2-Kosten'!$A$14:$C$16,3,FALSE)</f>
        <v>0</v>
      </c>
      <c r="P76" s="263">
        <f>IF(M76&gt;0,M76*J76/S76,0)*VLOOKUP(B76,'2-Kosten'!$A$14:$C$16,3,FALSE)</f>
        <v>0</v>
      </c>
      <c r="Q76" s="263">
        <f>IF(N76&gt;0,N76*J76/S76,0)*VLOOKUP(B76,'2-Kosten'!$A$14:$C$16,3,FALSE)</f>
        <v>0</v>
      </c>
      <c r="R76" s="349">
        <f>IF(L76="nio",0,IF(L76&gt;0,VLOOKUP(G76,'3-Productie normen'!A:M,VLOOKUP(L76,'3-Productie normen'!$B$27:$C$31,2,FALSE),FALSE)))</f>
        <v>0</v>
      </c>
      <c r="S76" s="349">
        <f t="shared" si="7"/>
        <v>0</v>
      </c>
      <c r="T76" s="350">
        <f>VLOOKUP(G76,'3-Productie normen'!A:J,10,FALSE)</f>
        <v>0</v>
      </c>
      <c r="U76" s="350"/>
      <c r="W76" s="351">
        <f t="shared" si="8"/>
        <v>0</v>
      </c>
    </row>
    <row r="77" spans="1:23" ht="14.1" customHeight="1">
      <c r="A77" s="77">
        <v>77</v>
      </c>
      <c r="B77" s="514" t="s">
        <v>286</v>
      </c>
      <c r="C77" s="316"/>
      <c r="D77" s="347">
        <v>2</v>
      </c>
      <c r="E77" s="514" t="s">
        <v>379</v>
      </c>
      <c r="F77" s="514" t="s">
        <v>323</v>
      </c>
      <c r="G77" s="316" t="s">
        <v>64</v>
      </c>
      <c r="H77" s="74" t="s">
        <v>264</v>
      </c>
      <c r="I77" s="472" t="s">
        <v>99</v>
      </c>
      <c r="J77" s="347">
        <v>47.01</v>
      </c>
      <c r="K77" s="348">
        <f t="shared" si="6"/>
        <v>365</v>
      </c>
      <c r="L77" s="264">
        <v>255</v>
      </c>
      <c r="M77" s="264">
        <v>102</v>
      </c>
      <c r="N77" s="264">
        <v>8</v>
      </c>
      <c r="O77" s="263" t="e">
        <f>IF(L77="nio",0,IF(L77&gt;0,L77*J77/R77,0))*VLOOKUP(B77,'2-Kosten'!$A$14:$C$16,3,FALSE)</f>
        <v>#DIV/0!</v>
      </c>
      <c r="P77" s="263" t="e">
        <f>IF(M77&gt;0,M77*J77/S77,0)*VLOOKUP(B77,'2-Kosten'!$A$14:$C$16,3,FALSE)</f>
        <v>#DIV/0!</v>
      </c>
      <c r="Q77" s="263" t="e">
        <f>IF(N77&gt;0,N77*J77/S77,0)*VLOOKUP(B77,'2-Kosten'!$A$14:$C$16,3,FALSE)</f>
        <v>#DIV/0!</v>
      </c>
      <c r="R77" s="349">
        <f>IF(L77="nio",0,IF(L77&gt;0,VLOOKUP(G77,'3-Productie normen'!A:M,VLOOKUP(L77,'3-Productie normen'!$B$27:$C$31,2,FALSE),FALSE)))</f>
        <v>0</v>
      </c>
      <c r="S77" s="349">
        <f t="shared" si="7"/>
        <v>0</v>
      </c>
      <c r="T77" s="350" t="s">
        <v>65</v>
      </c>
      <c r="U77" s="350"/>
      <c r="W77" s="351">
        <f t="shared" si="8"/>
        <v>17158.649999999998</v>
      </c>
    </row>
    <row r="78" spans="1:23" ht="14.1" customHeight="1">
      <c r="A78" s="77">
        <v>78</v>
      </c>
      <c r="B78" s="514" t="s">
        <v>286</v>
      </c>
      <c r="C78" s="316"/>
      <c r="D78" s="347">
        <v>2</v>
      </c>
      <c r="E78" s="514" t="s">
        <v>380</v>
      </c>
      <c r="F78" s="514" t="s">
        <v>328</v>
      </c>
      <c r="G78" s="74" t="s">
        <v>426</v>
      </c>
      <c r="H78" s="74" t="s">
        <v>422</v>
      </c>
      <c r="I78" s="472" t="s">
        <v>97</v>
      </c>
      <c r="J78" s="347">
        <v>6.02</v>
      </c>
      <c r="K78" s="348">
        <f t="shared" si="6"/>
        <v>365</v>
      </c>
      <c r="L78" s="264">
        <v>255</v>
      </c>
      <c r="M78" s="264">
        <v>102</v>
      </c>
      <c r="N78" s="264">
        <v>8</v>
      </c>
      <c r="O78" s="263" t="e">
        <f>IF(L78="nio",0,IF(L78&gt;0,L78*J78/R78,0))*VLOOKUP(B78,'2-Kosten'!$A$14:$C$16,3,FALSE)</f>
        <v>#DIV/0!</v>
      </c>
      <c r="P78" s="263" t="e">
        <f>IF(M78&gt;0,M78*J78/S78,0)*VLOOKUP(B78,'2-Kosten'!$A$14:$C$16,3,FALSE)</f>
        <v>#DIV/0!</v>
      </c>
      <c r="Q78" s="263" t="e">
        <f>IF(N78&gt;0,N78*J78/S78,0)*VLOOKUP(B78,'2-Kosten'!$A$14:$C$16,3,FALSE)</f>
        <v>#DIV/0!</v>
      </c>
      <c r="R78" s="349">
        <f>IF(L78="nio",0,IF(L78&gt;0,VLOOKUP(G78,'3-Productie normen'!A:M,VLOOKUP(L78,'3-Productie normen'!$B$27:$C$31,2,FALSE),FALSE)))</f>
        <v>0</v>
      </c>
      <c r="S78" s="349">
        <f t="shared" si="7"/>
        <v>0</v>
      </c>
      <c r="T78" s="350" t="s">
        <v>63</v>
      </c>
      <c r="U78" s="350"/>
      <c r="W78" s="351">
        <f t="shared" si="8"/>
        <v>2197.2999999999997</v>
      </c>
    </row>
    <row r="79" spans="1:23" ht="14.1" customHeight="1">
      <c r="A79" s="77">
        <v>79</v>
      </c>
      <c r="B79" s="514" t="s">
        <v>286</v>
      </c>
      <c r="C79" s="316"/>
      <c r="D79" s="347">
        <v>2</v>
      </c>
      <c r="E79" s="514" t="s">
        <v>381</v>
      </c>
      <c r="F79" s="514" t="s">
        <v>329</v>
      </c>
      <c r="G79" s="74" t="s">
        <v>426</v>
      </c>
      <c r="H79" s="74" t="s">
        <v>422</v>
      </c>
      <c r="I79" s="472" t="s">
        <v>97</v>
      </c>
      <c r="J79" s="347">
        <v>6.02</v>
      </c>
      <c r="K79" s="348">
        <f t="shared" si="6"/>
        <v>365</v>
      </c>
      <c r="L79" s="264">
        <v>255</v>
      </c>
      <c r="M79" s="264">
        <v>102</v>
      </c>
      <c r="N79" s="264">
        <v>8</v>
      </c>
      <c r="O79" s="263" t="e">
        <f>IF(L79="nio",0,IF(L79&gt;0,L79*J79/R79,0))*VLOOKUP(B79,'2-Kosten'!$A$14:$C$16,3,FALSE)</f>
        <v>#DIV/0!</v>
      </c>
      <c r="P79" s="263" t="e">
        <f>IF(M79&gt;0,M79*J79/S79,0)*VLOOKUP(B79,'2-Kosten'!$A$14:$C$16,3,FALSE)</f>
        <v>#DIV/0!</v>
      </c>
      <c r="Q79" s="263" t="e">
        <f>IF(N79&gt;0,N79*J79/S79,0)*VLOOKUP(B79,'2-Kosten'!$A$14:$C$16,3,FALSE)</f>
        <v>#DIV/0!</v>
      </c>
      <c r="R79" s="349">
        <f>IF(L79="nio",0,IF(L79&gt;0,VLOOKUP(G79,'3-Productie normen'!A:M,VLOOKUP(L79,'3-Productie normen'!$B$27:$C$31,2,FALSE),FALSE)))</f>
        <v>0</v>
      </c>
      <c r="S79" s="349">
        <f t="shared" si="7"/>
        <v>0</v>
      </c>
      <c r="T79" s="350" t="s">
        <v>63</v>
      </c>
      <c r="U79" s="350"/>
      <c r="W79" s="351">
        <f t="shared" si="8"/>
        <v>2197.2999999999997</v>
      </c>
    </row>
    <row r="80" spans="1:23" ht="14.1" customHeight="1">
      <c r="A80" s="77">
        <v>80</v>
      </c>
      <c r="B80" s="514" t="s">
        <v>286</v>
      </c>
      <c r="C80" s="316"/>
      <c r="D80" s="347">
        <v>2</v>
      </c>
      <c r="E80" s="514" t="s">
        <v>382</v>
      </c>
      <c r="F80" s="514" t="s">
        <v>323</v>
      </c>
      <c r="G80" s="316" t="s">
        <v>64</v>
      </c>
      <c r="H80" s="74" t="s">
        <v>264</v>
      </c>
      <c r="I80" s="472" t="s">
        <v>99</v>
      </c>
      <c r="J80" s="347">
        <v>44.57</v>
      </c>
      <c r="K80" s="348">
        <f t="shared" si="6"/>
        <v>365</v>
      </c>
      <c r="L80" s="264">
        <v>255</v>
      </c>
      <c r="M80" s="264">
        <v>102</v>
      </c>
      <c r="N80" s="264">
        <v>8</v>
      </c>
      <c r="O80" s="263" t="e">
        <f>IF(L80="nio",0,IF(L80&gt;0,L80*J80/R80,0))*VLOOKUP(B80,'2-Kosten'!$A$14:$C$16,3,FALSE)</f>
        <v>#DIV/0!</v>
      </c>
      <c r="P80" s="263" t="e">
        <f>IF(M80&gt;0,M80*J80/S80,0)*VLOOKUP(B80,'2-Kosten'!$A$14:$C$16,3,FALSE)</f>
        <v>#DIV/0!</v>
      </c>
      <c r="Q80" s="263" t="e">
        <f>IF(N80&gt;0,N80*J80/S80,0)*VLOOKUP(B80,'2-Kosten'!$A$14:$C$16,3,FALSE)</f>
        <v>#DIV/0!</v>
      </c>
      <c r="R80" s="349">
        <f>IF(L80="nio",0,IF(L80&gt;0,VLOOKUP(G80,'3-Productie normen'!A:M,VLOOKUP(L80,'3-Productie normen'!$B$27:$C$31,2,FALSE),FALSE)))</f>
        <v>0</v>
      </c>
      <c r="S80" s="349">
        <f t="shared" si="7"/>
        <v>0</v>
      </c>
      <c r="T80" s="350" t="s">
        <v>65</v>
      </c>
      <c r="U80" s="350"/>
      <c r="W80" s="351">
        <f t="shared" si="8"/>
        <v>16268.05</v>
      </c>
    </row>
    <row r="81" spans="1:23" ht="14.1" customHeight="1">
      <c r="A81" s="77">
        <v>81</v>
      </c>
      <c r="B81" s="514" t="s">
        <v>286</v>
      </c>
      <c r="C81" s="316"/>
      <c r="D81" s="347">
        <v>2</v>
      </c>
      <c r="E81" s="514" t="s">
        <v>383</v>
      </c>
      <c r="F81" s="514" t="s">
        <v>417</v>
      </c>
      <c r="G81" s="316" t="s">
        <v>425</v>
      </c>
      <c r="H81" s="74" t="s">
        <v>264</v>
      </c>
      <c r="I81" s="472" t="s">
        <v>99</v>
      </c>
      <c r="J81" s="347">
        <v>18.73</v>
      </c>
      <c r="K81" s="348">
        <f t="shared" si="6"/>
        <v>0</v>
      </c>
      <c r="L81" s="264" t="s">
        <v>420</v>
      </c>
      <c r="M81" s="264"/>
      <c r="N81" s="264"/>
      <c r="O81" s="263">
        <f>IF(L81="nio",0,IF(L81&gt;0,L81*J81/R81,0))*VLOOKUP(B81,'2-Kosten'!$A$14:$C$16,3,FALSE)</f>
        <v>0</v>
      </c>
      <c r="P81" s="263">
        <f>IF(M81&gt;0,M81*J81/S81,0)*VLOOKUP(B81,'2-Kosten'!$A$14:$C$16,3,FALSE)</f>
        <v>0</v>
      </c>
      <c r="Q81" s="263">
        <f>IF(N81&gt;0,N81*J81/S81,0)*VLOOKUP(B81,'2-Kosten'!$A$14:$C$16,3,FALSE)</f>
        <v>0</v>
      </c>
      <c r="R81" s="349">
        <f>IF(L81="nio",0,IF(L81&gt;0,VLOOKUP(G81,'3-Productie normen'!A:M,VLOOKUP(L81,'3-Productie normen'!$B$27:$C$31,2,FALSE),FALSE)))</f>
        <v>0</v>
      </c>
      <c r="S81" s="349">
        <f t="shared" si="7"/>
        <v>0</v>
      </c>
      <c r="T81" s="350">
        <f>VLOOKUP(G81,'3-Productie normen'!A:J,10,FALSE)</f>
        <v>0</v>
      </c>
      <c r="U81" s="350"/>
      <c r="W81" s="351">
        <f t="shared" si="8"/>
        <v>0</v>
      </c>
    </row>
    <row r="82" spans="1:23" ht="14.1" customHeight="1">
      <c r="A82" s="77">
        <v>82</v>
      </c>
      <c r="B82" s="514" t="s">
        <v>286</v>
      </c>
      <c r="C82" s="316"/>
      <c r="D82" s="347">
        <v>2</v>
      </c>
      <c r="E82" s="514" t="s">
        <v>384</v>
      </c>
      <c r="F82" s="514" t="s">
        <v>418</v>
      </c>
      <c r="G82" s="316" t="s">
        <v>425</v>
      </c>
      <c r="H82" s="74" t="s">
        <v>264</v>
      </c>
      <c r="I82" s="472" t="s">
        <v>99</v>
      </c>
      <c r="J82" s="347">
        <v>8.4</v>
      </c>
      <c r="K82" s="348">
        <f t="shared" si="6"/>
        <v>0</v>
      </c>
      <c r="L82" s="264" t="s">
        <v>420</v>
      </c>
      <c r="M82" s="264"/>
      <c r="N82" s="264"/>
      <c r="O82" s="263">
        <f>IF(L82="nio",0,IF(L82&gt;0,L82*J82/R82,0))*VLOOKUP(B82,'2-Kosten'!$A$14:$C$16,3,FALSE)</f>
        <v>0</v>
      </c>
      <c r="P82" s="263">
        <f>IF(M82&gt;0,M82*J82/S82,0)*VLOOKUP(B82,'2-Kosten'!$A$14:$C$16,3,FALSE)</f>
        <v>0</v>
      </c>
      <c r="Q82" s="263">
        <f>IF(N82&gt;0,N82*J82/S82,0)*VLOOKUP(B82,'2-Kosten'!$A$14:$C$16,3,FALSE)</f>
        <v>0</v>
      </c>
      <c r="R82" s="349">
        <f>IF(L82="nio",0,IF(L82&gt;0,VLOOKUP(G82,'3-Productie normen'!A:M,VLOOKUP(L82,'3-Productie normen'!$B$27:$C$31,2,FALSE),FALSE)))</f>
        <v>0</v>
      </c>
      <c r="S82" s="349">
        <f t="shared" si="7"/>
        <v>0</v>
      </c>
      <c r="T82" s="350">
        <f>VLOOKUP(G82,'3-Productie normen'!A:J,10,FALSE)</f>
        <v>0</v>
      </c>
      <c r="U82" s="350"/>
      <c r="W82" s="351">
        <f t="shared" si="8"/>
        <v>0</v>
      </c>
    </row>
    <row r="83" spans="1:23" ht="14.1" customHeight="1">
      <c r="A83" s="77">
        <v>83</v>
      </c>
      <c r="B83" s="514" t="s">
        <v>286</v>
      </c>
      <c r="C83" s="316"/>
      <c r="D83" s="347">
        <v>2</v>
      </c>
      <c r="E83" s="514" t="s">
        <v>385</v>
      </c>
      <c r="F83" s="514" t="s">
        <v>335</v>
      </c>
      <c r="G83" s="316" t="s">
        <v>425</v>
      </c>
      <c r="H83" s="74" t="s">
        <v>264</v>
      </c>
      <c r="I83" s="472" t="s">
        <v>99</v>
      </c>
      <c r="J83" s="347">
        <v>29.43</v>
      </c>
      <c r="K83" s="348">
        <f t="shared" si="6"/>
        <v>0</v>
      </c>
      <c r="L83" s="264" t="s">
        <v>420</v>
      </c>
      <c r="M83" s="264"/>
      <c r="N83" s="264"/>
      <c r="O83" s="263">
        <f>IF(L83="nio",0,IF(L83&gt;0,L83*J83/R83,0))*VLOOKUP(B83,'2-Kosten'!$A$14:$C$16,3,FALSE)</f>
        <v>0</v>
      </c>
      <c r="P83" s="263">
        <f>IF(M83&gt;0,M83*J83/S83,0)*VLOOKUP(B83,'2-Kosten'!$A$14:$C$16,3,FALSE)</f>
        <v>0</v>
      </c>
      <c r="Q83" s="263">
        <f>IF(N83&gt;0,N83*J83/S83,0)*VLOOKUP(B83,'2-Kosten'!$A$14:$C$16,3,FALSE)</f>
        <v>0</v>
      </c>
      <c r="R83" s="349">
        <f>IF(L83="nio",0,IF(L83&gt;0,VLOOKUP(G83,'3-Productie normen'!A:M,VLOOKUP(L83,'3-Productie normen'!$B$27:$C$31,2,FALSE),FALSE)))</f>
        <v>0</v>
      </c>
      <c r="S83" s="349">
        <f t="shared" si="7"/>
        <v>0</v>
      </c>
      <c r="T83" s="350">
        <f>VLOOKUP(G83,'3-Productie normen'!A:J,10,FALSE)</f>
        <v>0</v>
      </c>
      <c r="U83" s="350"/>
      <c r="W83" s="351">
        <f t="shared" si="8"/>
        <v>0</v>
      </c>
    </row>
    <row r="84" spans="1:23" ht="14.1" customHeight="1">
      <c r="A84" s="77">
        <v>84</v>
      </c>
      <c r="B84" s="514" t="s">
        <v>286</v>
      </c>
      <c r="C84" s="316"/>
      <c r="D84" s="347">
        <v>2</v>
      </c>
      <c r="E84" s="514" t="s">
        <v>386</v>
      </c>
      <c r="F84" s="514" t="s">
        <v>336</v>
      </c>
      <c r="G84" s="316" t="s">
        <v>425</v>
      </c>
      <c r="H84" s="74" t="s">
        <v>264</v>
      </c>
      <c r="I84" s="472" t="s">
        <v>99</v>
      </c>
      <c r="J84" s="347">
        <v>19.440000000000001</v>
      </c>
      <c r="K84" s="348">
        <f t="shared" si="6"/>
        <v>0</v>
      </c>
      <c r="L84" s="264" t="s">
        <v>420</v>
      </c>
      <c r="M84" s="264"/>
      <c r="N84" s="264"/>
      <c r="O84" s="263">
        <f>IF(L84="nio",0,IF(L84&gt;0,L84*J84/R84,0))*VLOOKUP(B84,'2-Kosten'!$A$14:$C$16,3,FALSE)</f>
        <v>0</v>
      </c>
      <c r="P84" s="263">
        <f>IF(M84&gt;0,M84*J84/S84,0)*VLOOKUP(B84,'2-Kosten'!$A$14:$C$16,3,FALSE)</f>
        <v>0</v>
      </c>
      <c r="Q84" s="263">
        <f>IF(N84&gt;0,N84*J84/S84,0)*VLOOKUP(B84,'2-Kosten'!$A$14:$C$16,3,FALSE)</f>
        <v>0</v>
      </c>
      <c r="R84" s="349">
        <f>IF(L84="nio",0,IF(L84&gt;0,VLOOKUP(G84,'3-Productie normen'!A:M,VLOOKUP(L84,'3-Productie normen'!$B$27:$C$31,2,FALSE),FALSE)))</f>
        <v>0</v>
      </c>
      <c r="S84" s="349">
        <f t="shared" si="7"/>
        <v>0</v>
      </c>
      <c r="T84" s="350">
        <f>VLOOKUP(G84,'3-Productie normen'!A:J,10,FALSE)</f>
        <v>0</v>
      </c>
      <c r="U84" s="350"/>
      <c r="W84" s="351">
        <f t="shared" si="8"/>
        <v>0</v>
      </c>
    </row>
    <row r="85" spans="1:23" ht="14.1" customHeight="1">
      <c r="A85" s="77">
        <v>85</v>
      </c>
      <c r="B85" s="514" t="s">
        <v>286</v>
      </c>
      <c r="C85" s="316"/>
      <c r="D85" s="347">
        <v>2</v>
      </c>
      <c r="E85" s="514" t="s">
        <v>387</v>
      </c>
      <c r="F85" s="514" t="s">
        <v>336</v>
      </c>
      <c r="G85" s="316" t="s">
        <v>425</v>
      </c>
      <c r="H85" s="74" t="s">
        <v>264</v>
      </c>
      <c r="I85" s="472" t="s">
        <v>99</v>
      </c>
      <c r="J85" s="347">
        <v>19.440000000000001</v>
      </c>
      <c r="K85" s="348">
        <f t="shared" si="6"/>
        <v>0</v>
      </c>
      <c r="L85" s="264" t="s">
        <v>420</v>
      </c>
      <c r="M85" s="264"/>
      <c r="N85" s="264"/>
      <c r="O85" s="263">
        <f>IF(L85="nio",0,IF(L85&gt;0,L85*J85/R85,0))*VLOOKUP(B85,'2-Kosten'!$A$14:$C$16,3,FALSE)</f>
        <v>0</v>
      </c>
      <c r="P85" s="263">
        <f>IF(M85&gt;0,M85*J85/S85,0)*VLOOKUP(B85,'2-Kosten'!$A$14:$C$16,3,FALSE)</f>
        <v>0</v>
      </c>
      <c r="Q85" s="263">
        <f>IF(N85&gt;0,N85*J85/S85,0)*VLOOKUP(B85,'2-Kosten'!$A$14:$C$16,3,FALSE)</f>
        <v>0</v>
      </c>
      <c r="R85" s="349">
        <f>IF(L85="nio",0,IF(L85&gt;0,VLOOKUP(G85,'3-Productie normen'!A:M,VLOOKUP(L85,'3-Productie normen'!$B$27:$C$31,2,FALSE),FALSE)))</f>
        <v>0</v>
      </c>
      <c r="S85" s="349">
        <f t="shared" si="7"/>
        <v>0</v>
      </c>
      <c r="T85" s="350">
        <f>VLOOKUP(G85,'3-Productie normen'!A:J,10,FALSE)</f>
        <v>0</v>
      </c>
      <c r="U85" s="350"/>
      <c r="W85" s="351">
        <f t="shared" si="8"/>
        <v>0</v>
      </c>
    </row>
    <row r="86" spans="1:23" ht="14.1" customHeight="1">
      <c r="A86" s="77">
        <v>86</v>
      </c>
      <c r="B86" s="514" t="s">
        <v>286</v>
      </c>
      <c r="C86" s="316"/>
      <c r="D86" s="347">
        <v>2</v>
      </c>
      <c r="E86" s="514" t="s">
        <v>388</v>
      </c>
      <c r="F86" s="514" t="s">
        <v>336</v>
      </c>
      <c r="G86" s="316" t="s">
        <v>425</v>
      </c>
      <c r="H86" s="74" t="s">
        <v>264</v>
      </c>
      <c r="I86" s="472" t="s">
        <v>99</v>
      </c>
      <c r="J86" s="347">
        <v>19.440000000000001</v>
      </c>
      <c r="K86" s="348">
        <f t="shared" si="6"/>
        <v>0</v>
      </c>
      <c r="L86" s="264" t="s">
        <v>420</v>
      </c>
      <c r="M86" s="264"/>
      <c r="N86" s="264"/>
      <c r="O86" s="263">
        <f>IF(L86="nio",0,IF(L86&gt;0,L86*J86/R86,0))*VLOOKUP(B86,'2-Kosten'!$A$14:$C$16,3,FALSE)</f>
        <v>0</v>
      </c>
      <c r="P86" s="263">
        <f>IF(M86&gt;0,M86*J86/S86,0)*VLOOKUP(B86,'2-Kosten'!$A$14:$C$16,3,FALSE)</f>
        <v>0</v>
      </c>
      <c r="Q86" s="263">
        <f>IF(N86&gt;0,N86*J86/S86,0)*VLOOKUP(B86,'2-Kosten'!$A$14:$C$16,3,FALSE)</f>
        <v>0</v>
      </c>
      <c r="R86" s="349">
        <f>IF(L86="nio",0,IF(L86&gt;0,VLOOKUP(G86,'3-Productie normen'!A:M,VLOOKUP(L86,'3-Productie normen'!$B$27:$C$31,2,FALSE),FALSE)))</f>
        <v>0</v>
      </c>
      <c r="S86" s="349">
        <f t="shared" si="7"/>
        <v>0</v>
      </c>
      <c r="T86" s="350">
        <f>VLOOKUP(G86,'3-Productie normen'!A:J,10,FALSE)</f>
        <v>0</v>
      </c>
      <c r="U86" s="350"/>
      <c r="W86" s="351">
        <f t="shared" si="8"/>
        <v>0</v>
      </c>
    </row>
    <row r="87" spans="1:23" ht="14.1" customHeight="1">
      <c r="A87" s="77">
        <v>87</v>
      </c>
      <c r="B87" s="514" t="s">
        <v>286</v>
      </c>
      <c r="C87" s="316"/>
      <c r="D87" s="347">
        <v>2</v>
      </c>
      <c r="E87" s="514" t="s">
        <v>389</v>
      </c>
      <c r="F87" s="514" t="s">
        <v>336</v>
      </c>
      <c r="G87" s="316" t="s">
        <v>425</v>
      </c>
      <c r="H87" s="74" t="s">
        <v>264</v>
      </c>
      <c r="I87" s="472" t="s">
        <v>99</v>
      </c>
      <c r="J87" s="347">
        <v>19.170000000000002</v>
      </c>
      <c r="K87" s="348">
        <f t="shared" si="6"/>
        <v>0</v>
      </c>
      <c r="L87" s="264" t="s">
        <v>420</v>
      </c>
      <c r="M87" s="264"/>
      <c r="N87" s="264"/>
      <c r="O87" s="263">
        <f>IF(L87="nio",0,IF(L87&gt;0,L87*J87/R87,0))*VLOOKUP(B87,'2-Kosten'!$A$14:$C$16,3,FALSE)</f>
        <v>0</v>
      </c>
      <c r="P87" s="263">
        <f>IF(M87&gt;0,M87*J87/S87,0)*VLOOKUP(B87,'2-Kosten'!$A$14:$C$16,3,FALSE)</f>
        <v>0</v>
      </c>
      <c r="Q87" s="263">
        <f>IF(N87&gt;0,N87*J87/S87,0)*VLOOKUP(B87,'2-Kosten'!$A$14:$C$16,3,FALSE)</f>
        <v>0</v>
      </c>
      <c r="R87" s="349">
        <f>IF(L87="nio",0,IF(L87&gt;0,VLOOKUP(G87,'3-Productie normen'!A:M,VLOOKUP(L87,'3-Productie normen'!$B$27:$C$31,2,FALSE),FALSE)))</f>
        <v>0</v>
      </c>
      <c r="S87" s="349">
        <f t="shared" si="7"/>
        <v>0</v>
      </c>
      <c r="T87" s="350">
        <f>VLOOKUP(G87,'3-Productie normen'!A:J,10,FALSE)</f>
        <v>0</v>
      </c>
      <c r="U87" s="350"/>
      <c r="W87" s="351">
        <f t="shared" si="8"/>
        <v>0</v>
      </c>
    </row>
    <row r="88" spans="1:23" ht="14.1" customHeight="1">
      <c r="A88" s="77">
        <v>88</v>
      </c>
      <c r="B88" s="514" t="s">
        <v>286</v>
      </c>
      <c r="C88" s="316"/>
      <c r="D88" s="347">
        <v>2</v>
      </c>
      <c r="E88" s="514" t="s">
        <v>390</v>
      </c>
      <c r="F88" s="514" t="s">
        <v>69</v>
      </c>
      <c r="G88" s="74" t="s">
        <v>69</v>
      </c>
      <c r="H88" s="74" t="s">
        <v>443</v>
      </c>
      <c r="I88" s="514" t="s">
        <v>98</v>
      </c>
      <c r="J88" s="347">
        <v>18.57</v>
      </c>
      <c r="K88" s="348">
        <f t="shared" si="6"/>
        <v>104</v>
      </c>
      <c r="L88" s="264">
        <v>104</v>
      </c>
      <c r="M88" s="264"/>
      <c r="N88" s="264"/>
      <c r="O88" s="263" t="e">
        <f>IF(L88="nio",0,IF(L88&gt;0,L88*J88/R88,0))*VLOOKUP(B88,'2-Kosten'!$A$14:$C$16,3,FALSE)</f>
        <v>#DIV/0!</v>
      </c>
      <c r="P88" s="263">
        <f>IF(M88&gt;0,M88*J88/S88,0)*VLOOKUP(B88,'2-Kosten'!$A$14:$C$16,3,FALSE)</f>
        <v>0</v>
      </c>
      <c r="Q88" s="263">
        <f>IF(N88&gt;0,N88*J88/S88,0)*VLOOKUP(B88,'2-Kosten'!$A$14:$C$16,3,FALSE)</f>
        <v>0</v>
      </c>
      <c r="R88" s="349">
        <f>IF(L88="nio",0,IF(L88&gt;0,VLOOKUP(G88,'3-Productie normen'!A:M,VLOOKUP(L88,'3-Productie normen'!$B$27:$C$31,2,FALSE),FALSE)))</f>
        <v>0</v>
      </c>
      <c r="S88" s="349">
        <f t="shared" si="7"/>
        <v>0</v>
      </c>
      <c r="T88" s="350" t="s">
        <v>65</v>
      </c>
      <c r="U88" s="350"/>
      <c r="W88" s="351">
        <f t="shared" si="8"/>
        <v>1931.28</v>
      </c>
    </row>
    <row r="89" spans="1:23" ht="14.1" customHeight="1">
      <c r="A89" s="77">
        <v>89</v>
      </c>
      <c r="B89" s="514" t="s">
        <v>286</v>
      </c>
      <c r="C89" s="316"/>
      <c r="D89" s="347">
        <v>2</v>
      </c>
      <c r="E89" s="514" t="s">
        <v>391</v>
      </c>
      <c r="F89" s="514" t="s">
        <v>336</v>
      </c>
      <c r="G89" s="316" t="s">
        <v>425</v>
      </c>
      <c r="H89" s="74" t="s">
        <v>264</v>
      </c>
      <c r="I89" s="472" t="s">
        <v>99</v>
      </c>
      <c r="J89" s="347">
        <v>23.11</v>
      </c>
      <c r="K89" s="348">
        <f t="shared" si="6"/>
        <v>0</v>
      </c>
      <c r="L89" s="264" t="s">
        <v>420</v>
      </c>
      <c r="M89" s="264"/>
      <c r="N89" s="264"/>
      <c r="O89" s="263">
        <f>IF(L89="nio",0,IF(L89&gt;0,L89*J89/R89,0))*VLOOKUP(B89,'2-Kosten'!$A$14:$C$16,3,FALSE)</f>
        <v>0</v>
      </c>
      <c r="P89" s="263">
        <f>IF(M89&gt;0,M89*J89/S89,0)*VLOOKUP(B89,'2-Kosten'!$A$14:$C$16,3,FALSE)</f>
        <v>0</v>
      </c>
      <c r="Q89" s="263">
        <f>IF(N89&gt;0,N89*J89/S89,0)*VLOOKUP(B89,'2-Kosten'!$A$14:$C$16,3,FALSE)</f>
        <v>0</v>
      </c>
      <c r="R89" s="349">
        <f>IF(L89="nio",0,IF(L89&gt;0,VLOOKUP(G89,'3-Productie normen'!A:M,VLOOKUP(L89,'3-Productie normen'!$B$27:$C$31,2,FALSE),FALSE)))</f>
        <v>0</v>
      </c>
      <c r="S89" s="349">
        <f t="shared" si="7"/>
        <v>0</v>
      </c>
      <c r="T89" s="350">
        <f>VLOOKUP(G89,'3-Productie normen'!A:J,10,FALSE)</f>
        <v>0</v>
      </c>
      <c r="U89" s="350"/>
      <c r="W89" s="351">
        <f t="shared" si="8"/>
        <v>0</v>
      </c>
    </row>
    <row r="90" spans="1:23" ht="14.1" customHeight="1">
      <c r="A90" s="77">
        <v>90</v>
      </c>
      <c r="B90" s="514" t="s">
        <v>286</v>
      </c>
      <c r="C90" s="316"/>
      <c r="D90" s="347">
        <v>2</v>
      </c>
      <c r="E90" s="514" t="s">
        <v>392</v>
      </c>
      <c r="F90" s="514" t="s">
        <v>336</v>
      </c>
      <c r="G90" s="316" t="s">
        <v>425</v>
      </c>
      <c r="H90" s="74" t="s">
        <v>264</v>
      </c>
      <c r="I90" s="472" t="s">
        <v>99</v>
      </c>
      <c r="J90" s="347">
        <v>19.440000000000001</v>
      </c>
      <c r="K90" s="348">
        <f t="shared" si="6"/>
        <v>0</v>
      </c>
      <c r="L90" s="264" t="s">
        <v>420</v>
      </c>
      <c r="M90" s="264"/>
      <c r="N90" s="264"/>
      <c r="O90" s="263">
        <f>IF(L90="nio",0,IF(L90&gt;0,L90*J90/R90,0))*VLOOKUP(B90,'2-Kosten'!$A$14:$C$16,3,FALSE)</f>
        <v>0</v>
      </c>
      <c r="P90" s="263">
        <f>IF(M90&gt;0,M90*J90/S90,0)*VLOOKUP(B90,'2-Kosten'!$A$14:$C$16,3,FALSE)</f>
        <v>0</v>
      </c>
      <c r="Q90" s="263">
        <f>IF(N90&gt;0,N90*J90/S90,0)*VLOOKUP(B90,'2-Kosten'!$A$14:$C$16,3,FALSE)</f>
        <v>0</v>
      </c>
      <c r="R90" s="349">
        <f>IF(L90="nio",0,IF(L90&gt;0,VLOOKUP(G90,'3-Productie normen'!A:M,VLOOKUP(L90,'3-Productie normen'!$B$27:$C$31,2,FALSE),FALSE)))</f>
        <v>0</v>
      </c>
      <c r="S90" s="349">
        <f t="shared" si="7"/>
        <v>0</v>
      </c>
      <c r="T90" s="350">
        <f>VLOOKUP(G90,'3-Productie normen'!A:J,10,FALSE)</f>
        <v>0</v>
      </c>
      <c r="U90" s="350"/>
      <c r="W90" s="351">
        <f t="shared" si="8"/>
        <v>0</v>
      </c>
    </row>
    <row r="91" spans="1:23" ht="14.1" customHeight="1">
      <c r="A91" s="77">
        <v>91</v>
      </c>
      <c r="B91" s="514" t="s">
        <v>286</v>
      </c>
      <c r="C91" s="316"/>
      <c r="D91" s="347">
        <v>2</v>
      </c>
      <c r="E91" s="514" t="s">
        <v>393</v>
      </c>
      <c r="F91" s="514" t="s">
        <v>336</v>
      </c>
      <c r="G91" s="316" t="s">
        <v>425</v>
      </c>
      <c r="H91" s="74" t="s">
        <v>264</v>
      </c>
      <c r="I91" s="472" t="s">
        <v>99</v>
      </c>
      <c r="J91" s="347">
        <v>19.440000000000001</v>
      </c>
      <c r="K91" s="348">
        <f t="shared" si="6"/>
        <v>0</v>
      </c>
      <c r="L91" s="264" t="s">
        <v>420</v>
      </c>
      <c r="M91" s="264"/>
      <c r="N91" s="264"/>
      <c r="O91" s="263">
        <f>IF(L91="nio",0,IF(L91&gt;0,L91*J91/R91,0))*VLOOKUP(B91,'2-Kosten'!$A$14:$C$16,3,FALSE)</f>
        <v>0</v>
      </c>
      <c r="P91" s="263">
        <f>IF(M91&gt;0,M91*J91/S91,0)*VLOOKUP(B91,'2-Kosten'!$A$14:$C$16,3,FALSE)</f>
        <v>0</v>
      </c>
      <c r="Q91" s="263">
        <f>IF(N91&gt;0,N91*J91/S91,0)*VLOOKUP(B91,'2-Kosten'!$A$14:$C$16,3,FALSE)</f>
        <v>0</v>
      </c>
      <c r="R91" s="349">
        <f>IF(L91="nio",0,IF(L91&gt;0,VLOOKUP(G91,'3-Productie normen'!A:M,VLOOKUP(L91,'3-Productie normen'!$B$27:$C$31,2,FALSE),FALSE)))</f>
        <v>0</v>
      </c>
      <c r="S91" s="349">
        <f t="shared" si="7"/>
        <v>0</v>
      </c>
      <c r="T91" s="350">
        <f>VLOOKUP(G91,'3-Productie normen'!A:J,10,FALSE)</f>
        <v>0</v>
      </c>
      <c r="U91" s="350"/>
      <c r="W91" s="351">
        <f t="shared" si="8"/>
        <v>0</v>
      </c>
    </row>
    <row r="92" spans="1:23" ht="14.1" customHeight="1">
      <c r="A92" s="77">
        <v>92</v>
      </c>
      <c r="B92" s="514" t="s">
        <v>286</v>
      </c>
      <c r="C92" s="316"/>
      <c r="D92" s="347">
        <v>2</v>
      </c>
      <c r="E92" s="514" t="s">
        <v>394</v>
      </c>
      <c r="F92" s="514" t="s">
        <v>335</v>
      </c>
      <c r="G92" s="316" t="s">
        <v>425</v>
      </c>
      <c r="H92" s="74" t="s">
        <v>264</v>
      </c>
      <c r="I92" s="472" t="s">
        <v>99</v>
      </c>
      <c r="J92" s="347">
        <v>29.94</v>
      </c>
      <c r="K92" s="348">
        <f t="shared" si="6"/>
        <v>0</v>
      </c>
      <c r="L92" s="264" t="s">
        <v>420</v>
      </c>
      <c r="M92" s="264"/>
      <c r="N92" s="264"/>
      <c r="O92" s="263">
        <f>IF(L92="nio",0,IF(L92&gt;0,L92*J92/R92,0))*VLOOKUP(B92,'2-Kosten'!$A$14:$C$16,3,FALSE)</f>
        <v>0</v>
      </c>
      <c r="P92" s="263">
        <f>IF(M92&gt;0,M92*J92/S92,0)*VLOOKUP(B92,'2-Kosten'!$A$14:$C$16,3,FALSE)</f>
        <v>0</v>
      </c>
      <c r="Q92" s="263">
        <f>IF(N92&gt;0,N92*J92/S92,0)*VLOOKUP(B92,'2-Kosten'!$A$14:$C$16,3,FALSE)</f>
        <v>0</v>
      </c>
      <c r="R92" s="349">
        <f>IF(L92="nio",0,IF(L92&gt;0,VLOOKUP(G92,'3-Productie normen'!A:M,VLOOKUP(L92,'3-Productie normen'!$B$27:$C$31,2,FALSE),FALSE)))</f>
        <v>0</v>
      </c>
      <c r="S92" s="349">
        <f t="shared" si="7"/>
        <v>0</v>
      </c>
      <c r="T92" s="350">
        <f>VLOOKUP(G92,'3-Productie normen'!A:J,10,FALSE)</f>
        <v>0</v>
      </c>
      <c r="U92" s="350"/>
      <c r="W92" s="351">
        <f t="shared" si="8"/>
        <v>0</v>
      </c>
    </row>
    <row r="93" spans="1:23" ht="14.1" customHeight="1">
      <c r="A93" s="77">
        <v>93</v>
      </c>
      <c r="B93" s="514" t="s">
        <v>286</v>
      </c>
      <c r="C93" s="316"/>
      <c r="D93" s="347">
        <v>2</v>
      </c>
      <c r="E93" s="514" t="s">
        <v>395</v>
      </c>
      <c r="F93" s="514" t="s">
        <v>378</v>
      </c>
      <c r="G93" s="74" t="s">
        <v>62</v>
      </c>
      <c r="H93" s="74" t="s">
        <v>422</v>
      </c>
      <c r="I93" s="472" t="s">
        <v>97</v>
      </c>
      <c r="J93" s="347">
        <v>7.63</v>
      </c>
      <c r="K93" s="348">
        <f t="shared" si="6"/>
        <v>365</v>
      </c>
      <c r="L93" s="264">
        <v>255</v>
      </c>
      <c r="M93" s="264">
        <v>102</v>
      </c>
      <c r="N93" s="264">
        <v>8</v>
      </c>
      <c r="O93" s="263" t="e">
        <f>IF(L93="nio",0,IF(L93&gt;0,L93*J93/R93,0))*VLOOKUP(B93,'2-Kosten'!$A$14:$C$16,3,FALSE)</f>
        <v>#DIV/0!</v>
      </c>
      <c r="P93" s="263" t="e">
        <f>IF(M93&gt;0,M93*J93/S93,0)*VLOOKUP(B93,'2-Kosten'!$A$14:$C$16,3,FALSE)</f>
        <v>#DIV/0!</v>
      </c>
      <c r="Q93" s="263" t="e">
        <f>IF(N93&gt;0,N93*J93/S93,0)*VLOOKUP(B93,'2-Kosten'!$A$14:$C$16,3,FALSE)</f>
        <v>#DIV/0!</v>
      </c>
      <c r="R93" s="349">
        <f>IF(L93="nio",0,IF(L93&gt;0,VLOOKUP(G93,'3-Productie normen'!A:M,VLOOKUP(L93,'3-Productie normen'!$B$27:$C$31,2,FALSE),FALSE)))</f>
        <v>0</v>
      </c>
      <c r="S93" s="349">
        <f t="shared" si="7"/>
        <v>0</v>
      </c>
      <c r="T93" s="350" t="s">
        <v>63</v>
      </c>
      <c r="U93" s="350"/>
      <c r="W93" s="351">
        <f t="shared" si="8"/>
        <v>2784.95</v>
      </c>
    </row>
    <row r="94" spans="1:23" ht="14.1" customHeight="1">
      <c r="A94" s="77">
        <v>94</v>
      </c>
      <c r="B94" s="514" t="s">
        <v>286</v>
      </c>
      <c r="C94" s="316"/>
      <c r="D94" s="347">
        <v>2</v>
      </c>
      <c r="E94" s="514" t="s">
        <v>396</v>
      </c>
      <c r="F94" s="514" t="s">
        <v>335</v>
      </c>
      <c r="G94" s="316" t="s">
        <v>425</v>
      </c>
      <c r="H94" s="74" t="s">
        <v>264</v>
      </c>
      <c r="I94" s="472" t="s">
        <v>99</v>
      </c>
      <c r="J94" s="347">
        <v>33.46</v>
      </c>
      <c r="K94" s="348">
        <f t="shared" si="6"/>
        <v>0</v>
      </c>
      <c r="L94" s="264" t="s">
        <v>420</v>
      </c>
      <c r="M94" s="264"/>
      <c r="N94" s="264"/>
      <c r="O94" s="263">
        <f>IF(L94="nio",0,IF(L94&gt;0,L94*J94/R94,0))*VLOOKUP(B94,'2-Kosten'!$A$14:$C$16,3,FALSE)</f>
        <v>0</v>
      </c>
      <c r="P94" s="263">
        <f>IF(M94&gt;0,M94*J94/S94,0)*VLOOKUP(B94,'2-Kosten'!$A$14:$C$16,3,FALSE)</f>
        <v>0</v>
      </c>
      <c r="Q94" s="263">
        <f>IF(N94&gt;0,N94*J94/S94,0)*VLOOKUP(B94,'2-Kosten'!$A$14:$C$16,3,FALSE)</f>
        <v>0</v>
      </c>
      <c r="R94" s="349">
        <f>IF(L94="nio",0,IF(L94&gt;0,VLOOKUP(G94,'3-Productie normen'!A:M,VLOOKUP(L94,'3-Productie normen'!$B$27:$C$31,2,FALSE),FALSE)))</f>
        <v>0</v>
      </c>
      <c r="S94" s="349">
        <f t="shared" si="7"/>
        <v>0</v>
      </c>
      <c r="T94" s="350">
        <f>VLOOKUP(G94,'3-Productie normen'!A:J,10,FALSE)</f>
        <v>0</v>
      </c>
      <c r="U94" s="350"/>
      <c r="W94" s="351">
        <f t="shared" si="8"/>
        <v>0</v>
      </c>
    </row>
    <row r="95" spans="1:23" ht="14.1" customHeight="1">
      <c r="A95" s="77">
        <v>95</v>
      </c>
      <c r="B95" s="514" t="s">
        <v>286</v>
      </c>
      <c r="C95" s="316"/>
      <c r="D95" s="347">
        <v>2</v>
      </c>
      <c r="E95" s="514" t="s">
        <v>397</v>
      </c>
      <c r="F95" s="514" t="s">
        <v>323</v>
      </c>
      <c r="G95" s="316" t="s">
        <v>64</v>
      </c>
      <c r="H95" s="74" t="s">
        <v>264</v>
      </c>
      <c r="I95" s="472" t="s">
        <v>99</v>
      </c>
      <c r="J95" s="347">
        <v>61.09</v>
      </c>
      <c r="K95" s="348">
        <f t="shared" si="6"/>
        <v>365</v>
      </c>
      <c r="L95" s="264">
        <v>255</v>
      </c>
      <c r="M95" s="264">
        <v>102</v>
      </c>
      <c r="N95" s="264">
        <v>8</v>
      </c>
      <c r="O95" s="263" t="e">
        <f>IF(L95="nio",0,IF(L95&gt;0,L95*J95/R95,0))*VLOOKUP(B95,'2-Kosten'!$A$14:$C$16,3,FALSE)</f>
        <v>#DIV/0!</v>
      </c>
      <c r="P95" s="263" t="e">
        <f>IF(M95&gt;0,M95*J95/S95,0)*VLOOKUP(B95,'2-Kosten'!$A$14:$C$16,3,FALSE)</f>
        <v>#DIV/0!</v>
      </c>
      <c r="Q95" s="263" t="e">
        <f>IF(N95&gt;0,N95*J95/S95,0)*VLOOKUP(B95,'2-Kosten'!$A$14:$C$16,3,FALSE)</f>
        <v>#DIV/0!</v>
      </c>
      <c r="R95" s="349">
        <f>IF(L95="nio",0,IF(L95&gt;0,VLOOKUP(G95,'3-Productie normen'!A:M,VLOOKUP(L95,'3-Productie normen'!$B$27:$C$31,2,FALSE),FALSE)))</f>
        <v>0</v>
      </c>
      <c r="S95" s="349">
        <f t="shared" si="7"/>
        <v>0</v>
      </c>
      <c r="T95" s="350" t="s">
        <v>65</v>
      </c>
      <c r="U95" s="350"/>
      <c r="W95" s="351">
        <f t="shared" si="8"/>
        <v>22297.850000000002</v>
      </c>
    </row>
    <row r="96" spans="1:23" ht="14.1" customHeight="1">
      <c r="A96" s="77">
        <v>96</v>
      </c>
      <c r="B96" s="514" t="s">
        <v>286</v>
      </c>
      <c r="C96" s="316"/>
      <c r="D96" s="347">
        <v>2</v>
      </c>
      <c r="E96" s="514" t="s">
        <v>398</v>
      </c>
      <c r="F96" s="514" t="s">
        <v>335</v>
      </c>
      <c r="G96" s="316" t="s">
        <v>425</v>
      </c>
      <c r="H96" s="74" t="s">
        <v>264</v>
      </c>
      <c r="I96" s="472" t="s">
        <v>99</v>
      </c>
      <c r="J96" s="347">
        <v>33.450000000000003</v>
      </c>
      <c r="K96" s="348">
        <f t="shared" si="6"/>
        <v>0</v>
      </c>
      <c r="L96" s="264" t="s">
        <v>420</v>
      </c>
      <c r="M96" s="264"/>
      <c r="N96" s="264"/>
      <c r="O96" s="263">
        <f>IF(L96="nio",0,IF(L96&gt;0,L96*J96/R96,0))*VLOOKUP(B96,'2-Kosten'!$A$14:$C$16,3,FALSE)</f>
        <v>0</v>
      </c>
      <c r="P96" s="263">
        <f>IF(M96&gt;0,M96*J96/S96,0)*VLOOKUP(B96,'2-Kosten'!$A$14:$C$16,3,FALSE)</f>
        <v>0</v>
      </c>
      <c r="Q96" s="263">
        <f>IF(N96&gt;0,N96*J96/S96,0)*VLOOKUP(B96,'2-Kosten'!$A$14:$C$16,3,FALSE)</f>
        <v>0</v>
      </c>
      <c r="R96" s="349">
        <f>IF(L96="nio",0,IF(L96&gt;0,VLOOKUP(G96,'3-Productie normen'!A:M,VLOOKUP(L96,'3-Productie normen'!$B$27:$C$31,2,FALSE),FALSE)))</f>
        <v>0</v>
      </c>
      <c r="S96" s="349">
        <f t="shared" si="7"/>
        <v>0</v>
      </c>
      <c r="T96" s="350">
        <f>VLOOKUP(G96,'3-Productie normen'!A:J,10,FALSE)</f>
        <v>0</v>
      </c>
      <c r="U96" s="350"/>
      <c r="W96" s="351">
        <f t="shared" si="8"/>
        <v>0</v>
      </c>
    </row>
    <row r="97" spans="1:23" ht="14.1" customHeight="1">
      <c r="A97" s="77">
        <v>97</v>
      </c>
      <c r="B97" s="514" t="s">
        <v>286</v>
      </c>
      <c r="C97" s="316"/>
      <c r="D97" s="347">
        <v>2</v>
      </c>
      <c r="E97" s="514" t="s">
        <v>399</v>
      </c>
      <c r="F97" s="514" t="s">
        <v>419</v>
      </c>
      <c r="G97" s="74" t="s">
        <v>62</v>
      </c>
      <c r="H97" s="74" t="s">
        <v>422</v>
      </c>
      <c r="I97" s="472" t="s">
        <v>97</v>
      </c>
      <c r="J97" s="347">
        <v>7.63</v>
      </c>
      <c r="K97" s="348">
        <f t="shared" si="6"/>
        <v>365</v>
      </c>
      <c r="L97" s="264">
        <v>255</v>
      </c>
      <c r="M97" s="264">
        <v>102</v>
      </c>
      <c r="N97" s="264">
        <v>8</v>
      </c>
      <c r="O97" s="263" t="e">
        <f>IF(L97="nio",0,IF(L97&gt;0,L97*J97/R97,0))*VLOOKUP(B97,'2-Kosten'!$A$14:$C$16,3,FALSE)</f>
        <v>#DIV/0!</v>
      </c>
      <c r="P97" s="263" t="e">
        <f>IF(M97&gt;0,M97*J97/S97,0)*VLOOKUP(B97,'2-Kosten'!$A$14:$C$16,3,FALSE)</f>
        <v>#DIV/0!</v>
      </c>
      <c r="Q97" s="263" t="e">
        <f>IF(N97&gt;0,N97*J97/S97,0)*VLOOKUP(B97,'2-Kosten'!$A$14:$C$16,3,FALSE)</f>
        <v>#DIV/0!</v>
      </c>
      <c r="R97" s="349">
        <f>IF(L97="nio",0,IF(L97&gt;0,VLOOKUP(G97,'3-Productie normen'!A:M,VLOOKUP(L97,'3-Productie normen'!$B$27:$C$31,2,FALSE),FALSE)))</f>
        <v>0</v>
      </c>
      <c r="S97" s="349">
        <f t="shared" si="7"/>
        <v>0</v>
      </c>
      <c r="T97" s="350" t="s">
        <v>63</v>
      </c>
      <c r="U97" s="350"/>
      <c r="W97" s="351">
        <f t="shared" si="8"/>
        <v>2784.95</v>
      </c>
    </row>
    <row r="98" spans="1:23" ht="14.1" customHeight="1">
      <c r="A98" s="77">
        <v>98</v>
      </c>
      <c r="B98" s="514" t="s">
        <v>286</v>
      </c>
      <c r="C98" s="316"/>
      <c r="D98" s="347">
        <v>2</v>
      </c>
      <c r="E98" s="514" t="s">
        <v>400</v>
      </c>
      <c r="F98" s="514" t="s">
        <v>335</v>
      </c>
      <c r="G98" s="316" t="s">
        <v>425</v>
      </c>
      <c r="H98" s="74" t="s">
        <v>264</v>
      </c>
      <c r="I98" s="472" t="s">
        <v>99</v>
      </c>
      <c r="J98" s="347">
        <v>29.94</v>
      </c>
      <c r="K98" s="348">
        <f t="shared" si="6"/>
        <v>0</v>
      </c>
      <c r="L98" s="264" t="s">
        <v>420</v>
      </c>
      <c r="M98" s="264"/>
      <c r="N98" s="264"/>
      <c r="O98" s="263">
        <f>IF(L98="nio",0,IF(L98&gt;0,L98*J98/R98,0))*VLOOKUP(B98,'2-Kosten'!$A$14:$C$16,3,FALSE)</f>
        <v>0</v>
      </c>
      <c r="P98" s="263">
        <f>IF(M98&gt;0,M98*J98/S98,0)*VLOOKUP(B98,'2-Kosten'!$A$14:$C$16,3,FALSE)</f>
        <v>0</v>
      </c>
      <c r="Q98" s="263">
        <f>IF(N98&gt;0,N98*J98/S98,0)*VLOOKUP(B98,'2-Kosten'!$A$14:$C$16,3,FALSE)</f>
        <v>0</v>
      </c>
      <c r="R98" s="349">
        <f>IF(L98="nio",0,IF(L98&gt;0,VLOOKUP(G98,'3-Productie normen'!A:M,VLOOKUP(L98,'3-Productie normen'!$B$27:$C$31,2,FALSE),FALSE)))</f>
        <v>0</v>
      </c>
      <c r="S98" s="349">
        <f t="shared" si="7"/>
        <v>0</v>
      </c>
      <c r="T98" s="350">
        <f>VLOOKUP(G98,'3-Productie normen'!A:J,10,FALSE)</f>
        <v>0</v>
      </c>
      <c r="U98" s="350"/>
      <c r="W98" s="351">
        <f t="shared" si="8"/>
        <v>0</v>
      </c>
    </row>
    <row r="99" spans="1:23" ht="14.1" customHeight="1">
      <c r="A99" s="77">
        <v>99</v>
      </c>
      <c r="B99" s="514" t="s">
        <v>286</v>
      </c>
      <c r="C99" s="316"/>
      <c r="D99" s="347">
        <v>2</v>
      </c>
      <c r="E99" s="514" t="s">
        <v>401</v>
      </c>
      <c r="F99" s="514" t="s">
        <v>336</v>
      </c>
      <c r="G99" s="316" t="s">
        <v>425</v>
      </c>
      <c r="H99" s="74" t="s">
        <v>264</v>
      </c>
      <c r="I99" s="472" t="s">
        <v>99</v>
      </c>
      <c r="J99" s="347">
        <v>19.39</v>
      </c>
      <c r="K99" s="348">
        <f t="shared" si="6"/>
        <v>0</v>
      </c>
      <c r="L99" s="264" t="s">
        <v>420</v>
      </c>
      <c r="M99" s="264"/>
      <c r="N99" s="264"/>
      <c r="O99" s="263">
        <f>IF(L99="nio",0,IF(L99&gt;0,L99*J99/R99,0))*VLOOKUP(B99,'2-Kosten'!$A$14:$C$16,3,FALSE)</f>
        <v>0</v>
      </c>
      <c r="P99" s="263">
        <f>IF(M99&gt;0,M99*J99/S99,0)*VLOOKUP(B99,'2-Kosten'!$A$14:$C$16,3,FALSE)</f>
        <v>0</v>
      </c>
      <c r="Q99" s="263">
        <f>IF(N99&gt;0,N99*J99/S99,0)*VLOOKUP(B99,'2-Kosten'!$A$14:$C$16,3,FALSE)</f>
        <v>0</v>
      </c>
      <c r="R99" s="349">
        <f>IF(L99="nio",0,IF(L99&gt;0,VLOOKUP(G99,'3-Productie normen'!A:M,VLOOKUP(L99,'3-Productie normen'!$B$27:$C$31,2,FALSE),FALSE)))</f>
        <v>0</v>
      </c>
      <c r="S99" s="349">
        <f t="shared" si="7"/>
        <v>0</v>
      </c>
      <c r="T99" s="350">
        <f>VLOOKUP(G99,'3-Productie normen'!A:J,10,FALSE)</f>
        <v>0</v>
      </c>
      <c r="U99" s="350"/>
      <c r="W99" s="351">
        <f t="shared" si="8"/>
        <v>0</v>
      </c>
    </row>
    <row r="100" spans="1:23" ht="14.1" customHeight="1">
      <c r="A100" s="77">
        <v>100</v>
      </c>
      <c r="B100" s="514" t="s">
        <v>286</v>
      </c>
      <c r="C100" s="316"/>
      <c r="D100" s="347">
        <v>2</v>
      </c>
      <c r="E100" s="514" t="s">
        <v>402</v>
      </c>
      <c r="F100" s="514" t="s">
        <v>69</v>
      </c>
      <c r="G100" s="74" t="s">
        <v>69</v>
      </c>
      <c r="H100" s="74" t="s">
        <v>443</v>
      </c>
      <c r="I100" s="514" t="s">
        <v>98</v>
      </c>
      <c r="J100" s="347">
        <v>15.05</v>
      </c>
      <c r="K100" s="348">
        <f t="shared" si="6"/>
        <v>104</v>
      </c>
      <c r="L100" s="264">
        <v>104</v>
      </c>
      <c r="M100" s="264"/>
      <c r="N100" s="264"/>
      <c r="O100" s="263" t="e">
        <f>IF(L100="nio",0,IF(L100&gt;0,L100*J100/R100,0))*VLOOKUP(B100,'2-Kosten'!$A$14:$C$16,3,FALSE)</f>
        <v>#DIV/0!</v>
      </c>
      <c r="P100" s="263">
        <f>IF(M100&gt;0,M100*J100/S100,0)*VLOOKUP(B100,'2-Kosten'!$A$14:$C$16,3,FALSE)</f>
        <v>0</v>
      </c>
      <c r="Q100" s="263">
        <f>IF(N100&gt;0,N100*J100/S100,0)*VLOOKUP(B100,'2-Kosten'!$A$14:$C$16,3,FALSE)</f>
        <v>0</v>
      </c>
      <c r="R100" s="349">
        <f>IF(L100="nio",0,IF(L100&gt;0,VLOOKUP(G100,'3-Productie normen'!A:M,VLOOKUP(L100,'3-Productie normen'!$B$27:$C$31,2,FALSE),FALSE)))</f>
        <v>0</v>
      </c>
      <c r="S100" s="349">
        <f t="shared" si="7"/>
        <v>0</v>
      </c>
      <c r="T100" s="350" t="s">
        <v>65</v>
      </c>
      <c r="U100" s="350"/>
      <c r="W100" s="351">
        <f t="shared" si="8"/>
        <v>1565.2</v>
      </c>
    </row>
    <row r="101" spans="1:23" ht="14.1" customHeight="1">
      <c r="A101" s="77">
        <v>101</v>
      </c>
      <c r="B101" s="514" t="s">
        <v>286</v>
      </c>
      <c r="C101" s="316"/>
      <c r="D101" s="347">
        <v>2</v>
      </c>
      <c r="E101" s="514" t="s">
        <v>403</v>
      </c>
      <c r="F101" s="514" t="s">
        <v>336</v>
      </c>
      <c r="G101" s="316" t="s">
        <v>425</v>
      </c>
      <c r="H101" s="74" t="s">
        <v>264</v>
      </c>
      <c r="I101" s="472" t="s">
        <v>99</v>
      </c>
      <c r="J101" s="347">
        <v>23.67</v>
      </c>
      <c r="K101" s="348">
        <f t="shared" si="6"/>
        <v>0</v>
      </c>
      <c r="L101" s="264" t="s">
        <v>420</v>
      </c>
      <c r="M101" s="264"/>
      <c r="N101" s="264"/>
      <c r="O101" s="263">
        <f>IF(L101="nio",0,IF(L101&gt;0,L101*J101/R101,0))*VLOOKUP(B101,'2-Kosten'!$A$14:$C$16,3,FALSE)</f>
        <v>0</v>
      </c>
      <c r="P101" s="263">
        <f>IF(M101&gt;0,M101*J101/S101,0)*VLOOKUP(B101,'2-Kosten'!$A$14:$C$16,3,FALSE)</f>
        <v>0</v>
      </c>
      <c r="Q101" s="263">
        <f>IF(N101&gt;0,N101*J101/S101,0)*VLOOKUP(B101,'2-Kosten'!$A$14:$C$16,3,FALSE)</f>
        <v>0</v>
      </c>
      <c r="R101" s="349">
        <f>IF(L101="nio",0,IF(L101&gt;0,VLOOKUP(G101,'3-Productie normen'!A:M,VLOOKUP(L101,'3-Productie normen'!$B$27:$C$31,2,FALSE),FALSE)))</f>
        <v>0</v>
      </c>
      <c r="S101" s="349">
        <f t="shared" si="7"/>
        <v>0</v>
      </c>
      <c r="T101" s="350">
        <f>VLOOKUP(G101,'3-Productie normen'!A:J,10,FALSE)</f>
        <v>0</v>
      </c>
      <c r="U101" s="350"/>
      <c r="W101" s="351">
        <f t="shared" si="8"/>
        <v>0</v>
      </c>
    </row>
    <row r="102" spans="1:23" ht="14.1" customHeight="1">
      <c r="A102" s="77">
        <v>102</v>
      </c>
      <c r="B102" s="514" t="s">
        <v>286</v>
      </c>
      <c r="C102" s="316"/>
      <c r="D102" s="347">
        <v>2</v>
      </c>
      <c r="E102" s="514" t="s">
        <v>404</v>
      </c>
      <c r="F102" s="514" t="s">
        <v>336</v>
      </c>
      <c r="G102" s="316" t="s">
        <v>425</v>
      </c>
      <c r="H102" s="74" t="s">
        <v>264</v>
      </c>
      <c r="I102" s="472" t="s">
        <v>99</v>
      </c>
      <c r="J102" s="347">
        <v>19.440000000000001</v>
      </c>
      <c r="K102" s="348">
        <f t="shared" si="6"/>
        <v>0</v>
      </c>
      <c r="L102" s="264" t="s">
        <v>420</v>
      </c>
      <c r="M102" s="264"/>
      <c r="N102" s="264"/>
      <c r="O102" s="263">
        <f>IF(L102="nio",0,IF(L102&gt;0,L102*J102/R102,0))*VLOOKUP(B102,'2-Kosten'!$A$14:$C$16,3,FALSE)</f>
        <v>0</v>
      </c>
      <c r="P102" s="263">
        <f>IF(M102&gt;0,M102*J102/S102,0)*VLOOKUP(B102,'2-Kosten'!$A$14:$C$16,3,FALSE)</f>
        <v>0</v>
      </c>
      <c r="Q102" s="263">
        <f>IF(N102&gt;0,N102*J102/S102,0)*VLOOKUP(B102,'2-Kosten'!$A$14:$C$16,3,FALSE)</f>
        <v>0</v>
      </c>
      <c r="R102" s="349">
        <f>IF(L102="nio",0,IF(L102&gt;0,VLOOKUP(G102,'3-Productie normen'!A:M,VLOOKUP(L102,'3-Productie normen'!$B$27:$C$31,2,FALSE),FALSE)))</f>
        <v>0</v>
      </c>
      <c r="S102" s="349">
        <f t="shared" si="7"/>
        <v>0</v>
      </c>
      <c r="T102" s="350">
        <f>VLOOKUP(G102,'3-Productie normen'!A:J,10,FALSE)</f>
        <v>0</v>
      </c>
      <c r="U102" s="350"/>
      <c r="W102" s="351">
        <f t="shared" si="8"/>
        <v>0</v>
      </c>
    </row>
    <row r="103" spans="1:23" ht="14.1" customHeight="1">
      <c r="A103" s="77">
        <v>103</v>
      </c>
      <c r="B103" s="514" t="s">
        <v>286</v>
      </c>
      <c r="C103" s="316"/>
      <c r="D103" s="347">
        <v>2</v>
      </c>
      <c r="E103" s="514" t="s">
        <v>405</v>
      </c>
      <c r="F103" s="514" t="s">
        <v>336</v>
      </c>
      <c r="G103" s="316" t="s">
        <v>425</v>
      </c>
      <c r="H103" s="74" t="s">
        <v>264</v>
      </c>
      <c r="I103" s="472" t="s">
        <v>99</v>
      </c>
      <c r="J103" s="347">
        <v>19.440000000000001</v>
      </c>
      <c r="K103" s="348">
        <f t="shared" si="6"/>
        <v>0</v>
      </c>
      <c r="L103" s="264" t="s">
        <v>420</v>
      </c>
      <c r="M103" s="264"/>
      <c r="N103" s="264"/>
      <c r="O103" s="263">
        <f>IF(L103="nio",0,IF(L103&gt;0,L103*J103/R103,0))*VLOOKUP(B103,'2-Kosten'!$A$14:$C$16,3,FALSE)</f>
        <v>0</v>
      </c>
      <c r="P103" s="263">
        <f>IF(M103&gt;0,M103*J103/S103,0)*VLOOKUP(B103,'2-Kosten'!$A$14:$C$16,3,FALSE)</f>
        <v>0</v>
      </c>
      <c r="Q103" s="263">
        <f>IF(N103&gt;0,N103*J103/S103,0)*VLOOKUP(B103,'2-Kosten'!$A$14:$C$16,3,FALSE)</f>
        <v>0</v>
      </c>
      <c r="R103" s="349">
        <f>IF(L103="nio",0,IF(L103&gt;0,VLOOKUP(G103,'3-Productie normen'!A:M,VLOOKUP(L103,'3-Productie normen'!$B$27:$C$31,2,FALSE),FALSE)))</f>
        <v>0</v>
      </c>
      <c r="S103" s="349">
        <f t="shared" si="7"/>
        <v>0</v>
      </c>
      <c r="T103" s="350">
        <f>VLOOKUP(G103,'3-Productie normen'!A:J,10,FALSE)</f>
        <v>0</v>
      </c>
      <c r="U103" s="350"/>
      <c r="W103" s="351">
        <f t="shared" si="8"/>
        <v>0</v>
      </c>
    </row>
    <row r="104" spans="1:23" ht="14.1" customHeight="1">
      <c r="A104" s="77">
        <v>104</v>
      </c>
      <c r="B104" s="514" t="s">
        <v>286</v>
      </c>
      <c r="C104" s="316"/>
      <c r="D104" s="347">
        <v>2</v>
      </c>
      <c r="E104" s="514" t="s">
        <v>406</v>
      </c>
      <c r="F104" s="514" t="s">
        <v>335</v>
      </c>
      <c r="G104" s="316" t="s">
        <v>425</v>
      </c>
      <c r="H104" s="74" t="s">
        <v>264</v>
      </c>
      <c r="I104" s="472" t="s">
        <v>99</v>
      </c>
      <c r="J104" s="347">
        <v>29.38</v>
      </c>
      <c r="K104" s="348">
        <f t="shared" si="6"/>
        <v>0</v>
      </c>
      <c r="L104" s="264" t="s">
        <v>420</v>
      </c>
      <c r="M104" s="264"/>
      <c r="N104" s="264"/>
      <c r="O104" s="263">
        <f>IF(L104="nio",0,IF(L104&gt;0,L104*J104/R104,0))*VLOOKUP(B104,'2-Kosten'!$A$14:$C$16,3,FALSE)</f>
        <v>0</v>
      </c>
      <c r="P104" s="263">
        <f>IF(M104&gt;0,M104*J104/S104,0)*VLOOKUP(B104,'2-Kosten'!$A$14:$C$16,3,FALSE)</f>
        <v>0</v>
      </c>
      <c r="Q104" s="263">
        <f>IF(N104&gt;0,N104*J104/S104,0)*VLOOKUP(B104,'2-Kosten'!$A$14:$C$16,3,FALSE)</f>
        <v>0</v>
      </c>
      <c r="R104" s="349">
        <f>IF(L104="nio",0,IF(L104&gt;0,VLOOKUP(G104,'3-Productie normen'!A:M,VLOOKUP(L104,'3-Productie normen'!$B$27:$C$31,2,FALSE),FALSE)))</f>
        <v>0</v>
      </c>
      <c r="S104" s="349">
        <f t="shared" si="7"/>
        <v>0</v>
      </c>
      <c r="T104" s="350">
        <f>VLOOKUP(G104,'3-Productie normen'!A:J,10,FALSE)</f>
        <v>0</v>
      </c>
      <c r="U104" s="350"/>
      <c r="W104" s="351">
        <f t="shared" si="8"/>
        <v>0</v>
      </c>
    </row>
    <row r="105" spans="1:23" ht="14.1" customHeight="1">
      <c r="A105" s="77">
        <v>105</v>
      </c>
      <c r="B105" s="514" t="s">
        <v>286</v>
      </c>
      <c r="C105" s="316"/>
      <c r="D105" s="347">
        <v>2</v>
      </c>
      <c r="E105" s="514" t="s">
        <v>407</v>
      </c>
      <c r="F105" s="514" t="s">
        <v>335</v>
      </c>
      <c r="G105" s="316" t="s">
        <v>425</v>
      </c>
      <c r="H105" s="74" t="s">
        <v>264</v>
      </c>
      <c r="I105" s="472" t="s">
        <v>99</v>
      </c>
      <c r="J105" s="347">
        <v>29.38</v>
      </c>
      <c r="K105" s="348">
        <f t="shared" si="6"/>
        <v>0</v>
      </c>
      <c r="L105" s="264" t="s">
        <v>420</v>
      </c>
      <c r="M105" s="264"/>
      <c r="N105" s="264"/>
      <c r="O105" s="263">
        <f>IF(L105="nio",0,IF(L105&gt;0,L105*J105/R105,0))*VLOOKUP(B105,'2-Kosten'!$A$14:$C$16,3,FALSE)</f>
        <v>0</v>
      </c>
      <c r="P105" s="263">
        <f>IF(M105&gt;0,M105*J105/S105,0)*VLOOKUP(B105,'2-Kosten'!$A$14:$C$16,3,FALSE)</f>
        <v>0</v>
      </c>
      <c r="Q105" s="263">
        <f>IF(N105&gt;0,N105*J105/S105,0)*VLOOKUP(B105,'2-Kosten'!$A$14:$C$16,3,FALSE)</f>
        <v>0</v>
      </c>
      <c r="R105" s="349">
        <f>IF(L105="nio",0,IF(L105&gt;0,VLOOKUP(G105,'3-Productie normen'!A:M,VLOOKUP(L105,'3-Productie normen'!$B$27:$C$31,2,FALSE),FALSE)))</f>
        <v>0</v>
      </c>
      <c r="S105" s="349">
        <f t="shared" si="7"/>
        <v>0</v>
      </c>
      <c r="T105" s="350">
        <f>VLOOKUP(G105,'3-Productie normen'!A:J,10,FALSE)</f>
        <v>0</v>
      </c>
      <c r="U105" s="350"/>
      <c r="W105" s="351">
        <f t="shared" si="8"/>
        <v>0</v>
      </c>
    </row>
    <row r="106" spans="1:23" ht="14.1" customHeight="1">
      <c r="A106" s="77">
        <v>106</v>
      </c>
      <c r="B106" s="514" t="s">
        <v>286</v>
      </c>
      <c r="C106" s="316"/>
      <c r="D106" s="347">
        <v>2</v>
      </c>
      <c r="E106" s="514" t="s">
        <v>408</v>
      </c>
      <c r="F106" s="514" t="s">
        <v>336</v>
      </c>
      <c r="G106" s="316" t="s">
        <v>425</v>
      </c>
      <c r="H106" s="74" t="s">
        <v>264</v>
      </c>
      <c r="I106" s="472" t="s">
        <v>99</v>
      </c>
      <c r="J106" s="347">
        <v>19.440000000000001</v>
      </c>
      <c r="K106" s="348">
        <f t="shared" ref="K106:K115" si="9">SUM(L106:N106)</f>
        <v>0</v>
      </c>
      <c r="L106" s="264" t="s">
        <v>420</v>
      </c>
      <c r="M106" s="264"/>
      <c r="N106" s="264"/>
      <c r="O106" s="263">
        <f>IF(L106="nio",0,IF(L106&gt;0,L106*J106/R106,0))*VLOOKUP(B106,'2-Kosten'!$A$14:$C$16,3,FALSE)</f>
        <v>0</v>
      </c>
      <c r="P106" s="263">
        <f>IF(M106&gt;0,M106*J106/S106,0)*VLOOKUP(B106,'2-Kosten'!$A$14:$C$16,3,FALSE)</f>
        <v>0</v>
      </c>
      <c r="Q106" s="263">
        <f>IF(N106&gt;0,N106*J106/S106,0)*VLOOKUP(B106,'2-Kosten'!$A$14:$C$16,3,FALSE)</f>
        <v>0</v>
      </c>
      <c r="R106" s="349">
        <f>IF(L106="nio",0,IF(L106&gt;0,VLOOKUP(G106,'3-Productie normen'!A:M,VLOOKUP(L106,'3-Productie normen'!$B$27:$C$31,2,FALSE),FALSE)))</f>
        <v>0</v>
      </c>
      <c r="S106" s="349">
        <f t="shared" ref="S106:S115" si="10">IF((OR(M106&gt;0,N106&gt;0)),R106*$S$8,0)</f>
        <v>0</v>
      </c>
      <c r="T106" s="350">
        <f>VLOOKUP(G106,'3-Productie normen'!A:J,10,FALSE)</f>
        <v>0</v>
      </c>
      <c r="U106" s="350"/>
      <c r="W106" s="351">
        <f t="shared" ref="W106:W115" si="11">K106*J106</f>
        <v>0</v>
      </c>
    </row>
    <row r="107" spans="1:23" ht="14.1" customHeight="1">
      <c r="A107" s="77">
        <v>107</v>
      </c>
      <c r="B107" s="514" t="s">
        <v>286</v>
      </c>
      <c r="C107" s="316"/>
      <c r="D107" s="347">
        <v>2</v>
      </c>
      <c r="E107" s="514" t="s">
        <v>409</v>
      </c>
      <c r="F107" s="514" t="s">
        <v>336</v>
      </c>
      <c r="G107" s="316" t="s">
        <v>425</v>
      </c>
      <c r="H107" s="74" t="s">
        <v>264</v>
      </c>
      <c r="I107" s="472" t="s">
        <v>99</v>
      </c>
      <c r="J107" s="347">
        <v>19.440000000000001</v>
      </c>
      <c r="K107" s="348">
        <f t="shared" si="9"/>
        <v>0</v>
      </c>
      <c r="L107" s="264" t="s">
        <v>420</v>
      </c>
      <c r="M107" s="264"/>
      <c r="N107" s="264"/>
      <c r="O107" s="263">
        <f>IF(L107="nio",0,IF(L107&gt;0,L107*J107/R107,0))*VLOOKUP(B107,'2-Kosten'!$A$14:$C$16,3,FALSE)</f>
        <v>0</v>
      </c>
      <c r="P107" s="263">
        <f>IF(M107&gt;0,M107*J107/S107,0)*VLOOKUP(B107,'2-Kosten'!$A$14:$C$16,3,FALSE)</f>
        <v>0</v>
      </c>
      <c r="Q107" s="263">
        <f>IF(N107&gt;0,N107*J107/S107,0)*VLOOKUP(B107,'2-Kosten'!$A$14:$C$16,3,FALSE)</f>
        <v>0</v>
      </c>
      <c r="R107" s="349">
        <f>IF(L107="nio",0,IF(L107&gt;0,VLOOKUP(G107,'3-Productie normen'!A:M,VLOOKUP(L107,'3-Productie normen'!$B$27:$C$31,2,FALSE),FALSE)))</f>
        <v>0</v>
      </c>
      <c r="S107" s="349">
        <f t="shared" si="10"/>
        <v>0</v>
      </c>
      <c r="T107" s="350">
        <f>VLOOKUP(G107,'3-Productie normen'!A:J,10,FALSE)</f>
        <v>0</v>
      </c>
      <c r="U107" s="350"/>
      <c r="W107" s="351">
        <f t="shared" si="11"/>
        <v>0</v>
      </c>
    </row>
    <row r="108" spans="1:23" ht="14.1" customHeight="1">
      <c r="A108" s="77">
        <v>108</v>
      </c>
      <c r="B108" s="514" t="s">
        <v>286</v>
      </c>
      <c r="C108" s="316"/>
      <c r="D108" s="347">
        <v>2</v>
      </c>
      <c r="E108" s="514" t="s">
        <v>410</v>
      </c>
      <c r="F108" s="514" t="s">
        <v>336</v>
      </c>
      <c r="G108" s="316" t="s">
        <v>425</v>
      </c>
      <c r="H108" s="74" t="s">
        <v>264</v>
      </c>
      <c r="I108" s="472" t="s">
        <v>99</v>
      </c>
      <c r="J108" s="347">
        <v>19.440000000000001</v>
      </c>
      <c r="K108" s="348">
        <f t="shared" si="9"/>
        <v>0</v>
      </c>
      <c r="L108" s="264" t="s">
        <v>420</v>
      </c>
      <c r="M108" s="264"/>
      <c r="N108" s="264"/>
      <c r="O108" s="263">
        <f>IF(L108="nio",0,IF(L108&gt;0,L108*J108/R108,0))*VLOOKUP(B108,'2-Kosten'!$A$14:$C$16,3,FALSE)</f>
        <v>0</v>
      </c>
      <c r="P108" s="263">
        <f>IF(M108&gt;0,M108*J108/S108,0)*VLOOKUP(B108,'2-Kosten'!$A$14:$C$16,3,FALSE)</f>
        <v>0</v>
      </c>
      <c r="Q108" s="263">
        <f>IF(N108&gt;0,N108*J108/S108,0)*VLOOKUP(B108,'2-Kosten'!$A$14:$C$16,3,FALSE)</f>
        <v>0</v>
      </c>
      <c r="R108" s="349">
        <f>IF(L108="nio",0,IF(L108&gt;0,VLOOKUP(G108,'3-Productie normen'!A:M,VLOOKUP(L108,'3-Productie normen'!$B$27:$C$31,2,FALSE),FALSE)))</f>
        <v>0</v>
      </c>
      <c r="S108" s="349">
        <f t="shared" si="10"/>
        <v>0</v>
      </c>
      <c r="T108" s="350">
        <f>VLOOKUP(G108,'3-Productie normen'!A:J,10,FALSE)</f>
        <v>0</v>
      </c>
      <c r="U108" s="350"/>
      <c r="W108" s="351">
        <f t="shared" si="11"/>
        <v>0</v>
      </c>
    </row>
    <row r="109" spans="1:23" ht="14.1" customHeight="1">
      <c r="A109" s="77">
        <v>109</v>
      </c>
      <c r="B109" s="514" t="s">
        <v>286</v>
      </c>
      <c r="C109" s="316"/>
      <c r="D109" s="347">
        <v>2</v>
      </c>
      <c r="E109" s="514" t="s">
        <v>411</v>
      </c>
      <c r="F109" s="514" t="s">
        <v>336</v>
      </c>
      <c r="G109" s="316" t="s">
        <v>425</v>
      </c>
      <c r="H109" s="74" t="s">
        <v>264</v>
      </c>
      <c r="I109" s="472" t="s">
        <v>99</v>
      </c>
      <c r="J109" s="347">
        <v>19.440000000000001</v>
      </c>
      <c r="K109" s="348">
        <f t="shared" si="9"/>
        <v>0</v>
      </c>
      <c r="L109" s="264" t="s">
        <v>420</v>
      </c>
      <c r="M109" s="264"/>
      <c r="N109" s="264"/>
      <c r="O109" s="263">
        <f>IF(L109="nio",0,IF(L109&gt;0,L109*J109/R109,0))*VLOOKUP(B109,'2-Kosten'!$A$14:$C$16,3,FALSE)</f>
        <v>0</v>
      </c>
      <c r="P109" s="263">
        <f>IF(M109&gt;0,M109*J109/S109,0)*VLOOKUP(B109,'2-Kosten'!$A$14:$C$16,3,FALSE)</f>
        <v>0</v>
      </c>
      <c r="Q109" s="263">
        <f>IF(N109&gt;0,N109*J109/S109,0)*VLOOKUP(B109,'2-Kosten'!$A$14:$C$16,3,FALSE)</f>
        <v>0</v>
      </c>
      <c r="R109" s="349">
        <f>IF(L109="nio",0,IF(L109&gt;0,VLOOKUP(G109,'3-Productie normen'!A:M,VLOOKUP(L109,'3-Productie normen'!$B$27:$C$31,2,FALSE),FALSE)))</f>
        <v>0</v>
      </c>
      <c r="S109" s="349">
        <f t="shared" si="10"/>
        <v>0</v>
      </c>
      <c r="T109" s="350">
        <f>VLOOKUP(G109,'3-Productie normen'!A:J,10,FALSE)</f>
        <v>0</v>
      </c>
      <c r="U109" s="350"/>
      <c r="W109" s="351">
        <f t="shared" si="11"/>
        <v>0</v>
      </c>
    </row>
    <row r="110" spans="1:23" ht="14.1" customHeight="1">
      <c r="A110" s="77">
        <v>110</v>
      </c>
      <c r="B110" s="514" t="s">
        <v>286</v>
      </c>
      <c r="C110" s="316"/>
      <c r="D110" s="347">
        <v>2</v>
      </c>
      <c r="E110" s="514" t="s">
        <v>412</v>
      </c>
      <c r="F110" s="514" t="s">
        <v>336</v>
      </c>
      <c r="G110" s="316" t="s">
        <v>425</v>
      </c>
      <c r="H110" s="74" t="s">
        <v>264</v>
      </c>
      <c r="I110" s="472" t="s">
        <v>99</v>
      </c>
      <c r="J110" s="347">
        <v>19.440000000000001</v>
      </c>
      <c r="K110" s="348">
        <f t="shared" si="9"/>
        <v>0</v>
      </c>
      <c r="L110" s="264" t="s">
        <v>420</v>
      </c>
      <c r="M110" s="264"/>
      <c r="N110" s="264"/>
      <c r="O110" s="263">
        <f>IF(L110="nio",0,IF(L110&gt;0,L110*J110/R110,0))*VLOOKUP(B110,'2-Kosten'!$A$14:$C$16,3,FALSE)</f>
        <v>0</v>
      </c>
      <c r="P110" s="263">
        <f>IF(M110&gt;0,M110*J110/S110,0)*VLOOKUP(B110,'2-Kosten'!$A$14:$C$16,3,FALSE)</f>
        <v>0</v>
      </c>
      <c r="Q110" s="263">
        <f>IF(N110&gt;0,N110*J110/S110,0)*VLOOKUP(B110,'2-Kosten'!$A$14:$C$16,3,FALSE)</f>
        <v>0</v>
      </c>
      <c r="R110" s="349">
        <f>IF(L110="nio",0,IF(L110&gt;0,VLOOKUP(G110,'3-Productie normen'!A:M,VLOOKUP(L110,'3-Productie normen'!$B$27:$C$31,2,FALSE),FALSE)))</f>
        <v>0</v>
      </c>
      <c r="S110" s="349">
        <f t="shared" si="10"/>
        <v>0</v>
      </c>
      <c r="T110" s="350">
        <f>VLOOKUP(G110,'3-Productie normen'!A:J,10,FALSE)</f>
        <v>0</v>
      </c>
      <c r="U110" s="350"/>
      <c r="W110" s="351">
        <f t="shared" si="11"/>
        <v>0</v>
      </c>
    </row>
    <row r="111" spans="1:23" ht="14.1" customHeight="1">
      <c r="A111" s="77">
        <v>111</v>
      </c>
      <c r="B111" s="514" t="s">
        <v>286</v>
      </c>
      <c r="C111" s="316"/>
      <c r="D111" s="347">
        <v>2</v>
      </c>
      <c r="E111" s="514" t="s">
        <v>413</v>
      </c>
      <c r="F111" s="514" t="s">
        <v>335</v>
      </c>
      <c r="G111" s="316" t="s">
        <v>425</v>
      </c>
      <c r="H111" s="74" t="s">
        <v>264</v>
      </c>
      <c r="I111" s="472" t="s">
        <v>99</v>
      </c>
      <c r="J111" s="347">
        <v>29.57</v>
      </c>
      <c r="K111" s="348">
        <f t="shared" si="9"/>
        <v>0</v>
      </c>
      <c r="L111" s="264" t="s">
        <v>420</v>
      </c>
      <c r="M111" s="264"/>
      <c r="N111" s="264"/>
      <c r="O111" s="263">
        <f>IF(L111="nio",0,IF(L111&gt;0,L111*J111/R111,0))*VLOOKUP(B111,'2-Kosten'!$A$14:$C$16,3,FALSE)</f>
        <v>0</v>
      </c>
      <c r="P111" s="263">
        <f>IF(M111&gt;0,M111*J111/S111,0)*VLOOKUP(B111,'2-Kosten'!$A$14:$C$16,3,FALSE)</f>
        <v>0</v>
      </c>
      <c r="Q111" s="263">
        <f>IF(N111&gt;0,N111*J111/S111,0)*VLOOKUP(B111,'2-Kosten'!$A$14:$C$16,3,FALSE)</f>
        <v>0</v>
      </c>
      <c r="R111" s="349">
        <f>IF(L111="nio",0,IF(L111&gt;0,VLOOKUP(G111,'3-Productie normen'!A:M,VLOOKUP(L111,'3-Productie normen'!$B$27:$C$31,2,FALSE),FALSE)))</f>
        <v>0</v>
      </c>
      <c r="S111" s="349">
        <f t="shared" si="10"/>
        <v>0</v>
      </c>
      <c r="T111" s="350">
        <f>VLOOKUP(G111,'3-Productie normen'!A:J,10,FALSE)</f>
        <v>0</v>
      </c>
      <c r="U111" s="350"/>
      <c r="W111" s="351">
        <f t="shared" si="11"/>
        <v>0</v>
      </c>
    </row>
    <row r="112" spans="1:23" ht="14.1" customHeight="1">
      <c r="A112" s="77">
        <v>112</v>
      </c>
      <c r="B112" s="514" t="s">
        <v>286</v>
      </c>
      <c r="C112" s="316"/>
      <c r="D112" s="347">
        <v>2</v>
      </c>
      <c r="E112" s="514" t="s">
        <v>414</v>
      </c>
      <c r="F112" s="514" t="s">
        <v>418</v>
      </c>
      <c r="G112" s="316" t="s">
        <v>425</v>
      </c>
      <c r="H112" s="74" t="s">
        <v>264</v>
      </c>
      <c r="I112" s="472" t="s">
        <v>99</v>
      </c>
      <c r="J112" s="347">
        <v>6</v>
      </c>
      <c r="K112" s="348">
        <f t="shared" si="9"/>
        <v>0</v>
      </c>
      <c r="L112" s="264" t="s">
        <v>420</v>
      </c>
      <c r="M112" s="264"/>
      <c r="N112" s="264"/>
      <c r="O112" s="263">
        <f>IF(L112="nio",0,IF(L112&gt;0,L112*J112/R112,0))*VLOOKUP(B112,'2-Kosten'!$A$14:$C$16,3,FALSE)</f>
        <v>0</v>
      </c>
      <c r="P112" s="263">
        <f>IF(M112&gt;0,M112*J112/S112,0)*VLOOKUP(B112,'2-Kosten'!$A$14:$C$16,3,FALSE)</f>
        <v>0</v>
      </c>
      <c r="Q112" s="263">
        <f>IF(N112&gt;0,N112*J112/S112,0)*VLOOKUP(B112,'2-Kosten'!$A$14:$C$16,3,FALSE)</f>
        <v>0</v>
      </c>
      <c r="R112" s="349">
        <f>IF(L112="nio",0,IF(L112&gt;0,VLOOKUP(G112,'3-Productie normen'!A:M,VLOOKUP(L112,'3-Productie normen'!$B$27:$C$31,2,FALSE),FALSE)))</f>
        <v>0</v>
      </c>
      <c r="S112" s="349">
        <f t="shared" si="10"/>
        <v>0</v>
      </c>
      <c r="T112" s="350">
        <f>VLOOKUP(G112,'3-Productie normen'!A:J,10,FALSE)</f>
        <v>0</v>
      </c>
      <c r="U112" s="350"/>
      <c r="W112" s="351">
        <f t="shared" si="11"/>
        <v>0</v>
      </c>
    </row>
    <row r="113" spans="1:24" ht="14.1" customHeight="1">
      <c r="A113" s="77">
        <v>113</v>
      </c>
      <c r="B113" s="514" t="s">
        <v>286</v>
      </c>
      <c r="C113" s="316"/>
      <c r="D113" s="347">
        <v>2</v>
      </c>
      <c r="E113" s="514" t="s">
        <v>415</v>
      </c>
      <c r="F113" s="514" t="s">
        <v>321</v>
      </c>
      <c r="G113" s="316" t="s">
        <v>425</v>
      </c>
      <c r="H113" s="74" t="s">
        <v>264</v>
      </c>
      <c r="I113" s="472" t="s">
        <v>99</v>
      </c>
      <c r="J113" s="347">
        <v>2.16</v>
      </c>
      <c r="K113" s="348">
        <f t="shared" si="9"/>
        <v>0</v>
      </c>
      <c r="L113" s="264" t="s">
        <v>420</v>
      </c>
      <c r="M113" s="264"/>
      <c r="N113" s="264"/>
      <c r="O113" s="263">
        <f>IF(L113="nio",0,IF(L113&gt;0,L113*J113/R113,0))*VLOOKUP(B113,'2-Kosten'!$A$14:$C$16,3,FALSE)</f>
        <v>0</v>
      </c>
      <c r="P113" s="263">
        <f>IF(M113&gt;0,M113*J113/S113,0)*VLOOKUP(B113,'2-Kosten'!$A$14:$C$16,3,FALSE)</f>
        <v>0</v>
      </c>
      <c r="Q113" s="263">
        <f>IF(N113&gt;0,N113*J113/S113,0)*VLOOKUP(B113,'2-Kosten'!$A$14:$C$16,3,FALSE)</f>
        <v>0</v>
      </c>
      <c r="R113" s="349">
        <f>IF(L113="nio",0,IF(L113&gt;0,VLOOKUP(G113,'3-Productie normen'!A:M,VLOOKUP(L113,'3-Productie normen'!$B$27:$C$31,2,FALSE),FALSE)))</f>
        <v>0</v>
      </c>
      <c r="S113" s="349">
        <f t="shared" si="10"/>
        <v>0</v>
      </c>
      <c r="T113" s="350">
        <f>VLOOKUP(G113,'3-Productie normen'!A:J,10,FALSE)</f>
        <v>0</v>
      </c>
      <c r="U113" s="350"/>
      <c r="W113" s="351">
        <f t="shared" si="11"/>
        <v>0</v>
      </c>
    </row>
    <row r="114" spans="1:24" ht="14.1" customHeight="1">
      <c r="A114" s="77">
        <v>114</v>
      </c>
      <c r="B114" s="514" t="s">
        <v>286</v>
      </c>
      <c r="C114" s="316"/>
      <c r="D114" s="347">
        <v>2</v>
      </c>
      <c r="E114" s="514" t="s">
        <v>416</v>
      </c>
      <c r="F114" s="514" t="s">
        <v>336</v>
      </c>
      <c r="G114" s="316" t="s">
        <v>425</v>
      </c>
      <c r="H114" s="74" t="s">
        <v>264</v>
      </c>
      <c r="I114" s="472" t="s">
        <v>99</v>
      </c>
      <c r="J114" s="347">
        <v>19.04</v>
      </c>
      <c r="K114" s="348">
        <f t="shared" si="9"/>
        <v>0</v>
      </c>
      <c r="L114" s="264" t="s">
        <v>420</v>
      </c>
      <c r="M114" s="264"/>
      <c r="N114" s="264"/>
      <c r="O114" s="263">
        <f>IF(L114="nio",0,IF(L114&gt;0,L114*J114/R114,0))*VLOOKUP(B114,'2-Kosten'!$A$14:$C$16,3,FALSE)</f>
        <v>0</v>
      </c>
      <c r="P114" s="263">
        <f>IF(M114&gt;0,M114*J114/S114,0)*VLOOKUP(B114,'2-Kosten'!$A$14:$C$16,3,FALSE)</f>
        <v>0</v>
      </c>
      <c r="Q114" s="263">
        <f>IF(N114&gt;0,N114*J114/S114,0)*VLOOKUP(B114,'2-Kosten'!$A$14:$C$16,3,FALSE)</f>
        <v>0</v>
      </c>
      <c r="R114" s="349">
        <f>IF(L114="nio",0,IF(L114&gt;0,VLOOKUP(G114,'3-Productie normen'!A:M,VLOOKUP(L114,'3-Productie normen'!$B$27:$C$31,2,FALSE),FALSE)))</f>
        <v>0</v>
      </c>
      <c r="S114" s="349">
        <f t="shared" si="10"/>
        <v>0</v>
      </c>
      <c r="T114" s="350">
        <f>VLOOKUP(G114,'3-Productie normen'!A:J,10,FALSE)</f>
        <v>0</v>
      </c>
      <c r="U114" s="350"/>
      <c r="W114" s="351">
        <f t="shared" si="11"/>
        <v>0</v>
      </c>
    </row>
    <row r="115" spans="1:24" ht="14.1" customHeight="1">
      <c r="A115" s="77">
        <v>115</v>
      </c>
      <c r="B115" s="514" t="s">
        <v>286</v>
      </c>
      <c r="C115" s="316"/>
      <c r="D115" s="529"/>
      <c r="E115" s="530"/>
      <c r="F115" s="529" t="s">
        <v>421</v>
      </c>
      <c r="G115" s="335" t="s">
        <v>66</v>
      </c>
      <c r="H115" s="74" t="s">
        <v>264</v>
      </c>
      <c r="I115" s="472" t="s">
        <v>99</v>
      </c>
      <c r="J115" s="528">
        <v>200</v>
      </c>
      <c r="K115" s="348">
        <f t="shared" si="9"/>
        <v>365</v>
      </c>
      <c r="L115" s="264">
        <v>255</v>
      </c>
      <c r="M115" s="264">
        <v>102</v>
      </c>
      <c r="N115" s="264">
        <v>8</v>
      </c>
      <c r="O115" s="263" t="e">
        <f>IF(L115="nio",0,IF(L115&gt;0,L115*J115/R115,0))*VLOOKUP(B115,'2-Kosten'!$A$14:$C$16,3,FALSE)</f>
        <v>#DIV/0!</v>
      </c>
      <c r="P115" s="263" t="e">
        <f>IF(M115&gt;0,M115*J115/S115,0)*VLOOKUP(B115,'2-Kosten'!$A$14:$C$16,3,FALSE)</f>
        <v>#DIV/0!</v>
      </c>
      <c r="Q115" s="263" t="e">
        <f>IF(N115&gt;0,N115*J115/S115,0)*VLOOKUP(B115,'2-Kosten'!$A$14:$C$16,3,FALSE)</f>
        <v>#DIV/0!</v>
      </c>
      <c r="R115" s="349">
        <f>IF(L115="nio",0,IF(L115&gt;0,VLOOKUP(G115,'3-Productie normen'!A:M,VLOOKUP(L115,'3-Productie normen'!$B$27:$C$31,2,FALSE),FALSE)))</f>
        <v>0</v>
      </c>
      <c r="S115" s="349">
        <f t="shared" si="10"/>
        <v>0</v>
      </c>
      <c r="T115" s="350" t="s">
        <v>65</v>
      </c>
      <c r="U115" s="350"/>
      <c r="W115" s="351">
        <f t="shared" si="11"/>
        <v>73000</v>
      </c>
    </row>
    <row r="116" spans="1:24" ht="14.1" customHeight="1">
      <c r="B116" s="515"/>
      <c r="C116" s="353"/>
      <c r="D116" s="354"/>
      <c r="E116" s="355"/>
      <c r="F116" s="356"/>
      <c r="G116" s="356"/>
      <c r="H116" s="357"/>
      <c r="I116" s="515"/>
      <c r="J116" s="358"/>
      <c r="K116" s="359"/>
      <c r="L116" s="87"/>
      <c r="M116" s="87"/>
      <c r="N116" s="87"/>
      <c r="O116" s="360"/>
      <c r="P116" s="88"/>
      <c r="Q116" s="88"/>
      <c r="R116" s="88"/>
      <c r="S116" s="89"/>
      <c r="T116" s="90"/>
      <c r="U116" s="90"/>
      <c r="V116" s="90"/>
      <c r="W116" s="90"/>
      <c r="X116" s="15"/>
    </row>
    <row r="117" spans="1:24" ht="14.1" customHeight="1">
      <c r="C117" s="91"/>
      <c r="D117" s="92"/>
      <c r="E117" s="262"/>
      <c r="F117" s="93"/>
      <c r="G117" s="93"/>
      <c r="J117" s="94"/>
      <c r="K117" s="95"/>
      <c r="L117" s="96"/>
      <c r="M117" s="96"/>
      <c r="N117" s="96"/>
      <c r="O117" s="97"/>
      <c r="P117" s="89"/>
      <c r="Q117" s="89"/>
      <c r="R117" s="89"/>
      <c r="S117" s="89"/>
      <c r="T117" s="90"/>
      <c r="U117" s="90"/>
      <c r="V117" s="90"/>
      <c r="W117" s="90"/>
      <c r="X117" s="15"/>
    </row>
    <row r="118" spans="1:24" ht="14.1" customHeight="1">
      <c r="C118" s="91"/>
      <c r="D118" s="92"/>
      <c r="E118" s="262"/>
      <c r="F118" s="93"/>
      <c r="G118" s="93"/>
      <c r="J118" s="94"/>
      <c r="K118" s="95"/>
      <c r="L118" s="96"/>
      <c r="M118" s="96"/>
      <c r="N118" s="96"/>
      <c r="O118" s="97"/>
      <c r="P118" s="89"/>
      <c r="Q118" s="89"/>
      <c r="R118" s="89"/>
      <c r="S118" s="89"/>
      <c r="T118" s="90"/>
      <c r="U118" s="90"/>
      <c r="V118" s="90"/>
      <c r="W118" s="90"/>
      <c r="X118" s="15"/>
    </row>
    <row r="119" spans="1:24" ht="14.1" customHeight="1">
      <c r="C119" s="91"/>
      <c r="D119" s="92"/>
      <c r="E119" s="262"/>
      <c r="F119" s="93"/>
      <c r="G119" s="93"/>
      <c r="J119" s="94"/>
      <c r="K119" s="95"/>
      <c r="L119" s="96"/>
      <c r="M119" s="96"/>
      <c r="N119" s="96"/>
      <c r="O119" s="97"/>
      <c r="P119" s="89"/>
      <c r="Q119" s="89"/>
      <c r="R119" s="89"/>
      <c r="S119" s="89"/>
      <c r="T119" s="90"/>
      <c r="U119" s="90"/>
      <c r="V119" s="90"/>
      <c r="W119" s="90"/>
      <c r="X119" s="15"/>
    </row>
    <row r="120" spans="1:24" ht="14.1" customHeight="1">
      <c r="C120" s="91"/>
      <c r="D120" s="92"/>
      <c r="E120" s="262"/>
      <c r="F120" s="93"/>
      <c r="G120" s="93"/>
      <c r="J120" s="94"/>
      <c r="K120" s="95"/>
      <c r="L120" s="96"/>
      <c r="M120" s="96"/>
      <c r="N120" s="96"/>
      <c r="O120" s="97"/>
      <c r="P120" s="89"/>
      <c r="Q120" s="89"/>
      <c r="R120" s="89"/>
      <c r="S120" s="89"/>
      <c r="T120" s="90"/>
      <c r="U120" s="90"/>
      <c r="V120" s="90"/>
      <c r="W120" s="90"/>
      <c r="X120" s="15"/>
    </row>
    <row r="121" spans="1:24" ht="14.1" customHeight="1">
      <c r="C121" s="91"/>
      <c r="D121" s="92"/>
      <c r="E121" s="262"/>
      <c r="F121" s="93"/>
      <c r="G121" s="93"/>
      <c r="J121" s="94"/>
      <c r="K121" s="95"/>
      <c r="L121" s="96"/>
      <c r="M121" s="96"/>
      <c r="N121" s="96"/>
      <c r="O121" s="97"/>
      <c r="P121" s="89"/>
      <c r="Q121" s="89"/>
      <c r="R121" s="89"/>
      <c r="S121" s="89"/>
      <c r="T121" s="90"/>
      <c r="U121" s="90"/>
    </row>
    <row r="122" spans="1:24" ht="14.1" customHeight="1">
      <c r="C122" s="91"/>
      <c r="D122" s="92"/>
      <c r="E122" s="262"/>
      <c r="F122" s="93"/>
      <c r="G122" s="93"/>
      <c r="J122" s="94"/>
      <c r="K122" s="95"/>
      <c r="L122" s="96"/>
      <c r="M122" s="96"/>
      <c r="N122" s="96"/>
      <c r="O122" s="97"/>
      <c r="P122" s="89"/>
      <c r="Q122" s="89"/>
      <c r="R122" s="89"/>
      <c r="S122" s="89"/>
      <c r="T122" s="90"/>
      <c r="U122" s="90"/>
    </row>
    <row r="123" spans="1:24" ht="14.1" customHeight="1">
      <c r="C123" s="91"/>
      <c r="D123" s="92"/>
      <c r="E123" s="262"/>
      <c r="F123" s="93"/>
      <c r="G123" s="93"/>
      <c r="J123" s="94"/>
      <c r="K123" s="95"/>
      <c r="L123" s="96"/>
      <c r="M123" s="96"/>
      <c r="N123" s="96"/>
      <c r="O123" s="97"/>
      <c r="P123" s="89"/>
      <c r="Q123" s="89"/>
      <c r="R123" s="89"/>
      <c r="S123" s="89"/>
      <c r="T123" s="90"/>
      <c r="U123" s="90"/>
    </row>
    <row r="124" spans="1:24" ht="14.1" customHeight="1">
      <c r="C124" s="91"/>
      <c r="D124" s="92"/>
      <c r="E124" s="262"/>
      <c r="F124" s="93"/>
      <c r="G124" s="93"/>
      <c r="J124" s="94"/>
      <c r="K124" s="95"/>
      <c r="L124" s="96"/>
      <c r="M124" s="96"/>
      <c r="N124" s="96"/>
      <c r="O124" s="97"/>
      <c r="P124" s="89"/>
      <c r="Q124" s="89"/>
      <c r="R124" s="89"/>
      <c r="S124" s="89"/>
      <c r="T124" s="90"/>
      <c r="U124" s="90"/>
    </row>
    <row r="125" spans="1:24" ht="14.1" customHeight="1">
      <c r="C125" s="91"/>
      <c r="D125" s="92"/>
      <c r="E125" s="262"/>
      <c r="F125" s="93"/>
      <c r="G125" s="93"/>
      <c r="J125" s="94"/>
      <c r="K125" s="95"/>
      <c r="L125" s="96"/>
      <c r="M125" s="96"/>
      <c r="N125" s="96"/>
      <c r="O125" s="97"/>
      <c r="P125" s="89"/>
      <c r="Q125" s="89"/>
      <c r="R125" s="89"/>
      <c r="S125" s="89"/>
      <c r="T125" s="90"/>
      <c r="U125" s="90"/>
    </row>
    <row r="126" spans="1:24" ht="14.1" customHeight="1">
      <c r="C126" s="91"/>
      <c r="D126" s="92"/>
      <c r="E126" s="262"/>
      <c r="F126" s="93"/>
      <c r="G126" s="93"/>
      <c r="J126" s="94"/>
      <c r="K126" s="95"/>
      <c r="L126" s="96"/>
      <c r="M126" s="96"/>
      <c r="N126" s="96"/>
      <c r="O126" s="97"/>
      <c r="P126" s="89"/>
      <c r="Q126" s="89"/>
      <c r="R126" s="89"/>
      <c r="S126" s="89"/>
      <c r="T126" s="90"/>
      <c r="U126" s="90"/>
    </row>
    <row r="127" spans="1:24" ht="14.1" customHeight="1">
      <c r="C127" s="91"/>
      <c r="D127" s="92"/>
      <c r="E127" s="262"/>
      <c r="F127" s="93"/>
      <c r="G127" s="93"/>
      <c r="J127" s="94"/>
      <c r="K127" s="95"/>
      <c r="L127" s="96"/>
      <c r="M127" s="96"/>
      <c r="N127" s="96"/>
      <c r="O127" s="97"/>
      <c r="P127" s="89"/>
      <c r="Q127" s="89"/>
      <c r="R127" s="89"/>
      <c r="S127" s="89"/>
      <c r="T127" s="90"/>
      <c r="U127" s="90"/>
    </row>
    <row r="128" spans="1:24" ht="14.1" customHeight="1">
      <c r="C128" s="91"/>
      <c r="D128" s="92"/>
      <c r="E128" s="262"/>
      <c r="F128" s="93"/>
      <c r="G128" s="93"/>
      <c r="J128" s="94"/>
      <c r="K128" s="95"/>
      <c r="L128" s="96"/>
      <c r="M128" s="96"/>
      <c r="N128" s="96"/>
      <c r="O128" s="97"/>
      <c r="P128" s="89"/>
      <c r="Q128" s="89"/>
      <c r="R128" s="89"/>
      <c r="S128" s="89"/>
      <c r="T128" s="90"/>
      <c r="U128" s="90"/>
    </row>
    <row r="129" spans="3:21" ht="14.1" customHeight="1">
      <c r="C129" s="91"/>
      <c r="D129" s="92"/>
      <c r="E129" s="262"/>
      <c r="F129" s="93"/>
      <c r="G129" s="93"/>
      <c r="J129" s="94"/>
      <c r="K129" s="95"/>
      <c r="L129" s="96"/>
      <c r="M129" s="96"/>
      <c r="N129" s="96"/>
      <c r="O129" s="97"/>
      <c r="P129" s="89"/>
      <c r="Q129" s="89"/>
      <c r="R129" s="89"/>
      <c r="S129" s="89"/>
      <c r="T129" s="90"/>
      <c r="U129" s="90"/>
    </row>
    <row r="130" spans="3:21" ht="14.1" customHeight="1">
      <c r="C130" s="91"/>
      <c r="D130" s="92"/>
      <c r="E130" s="262"/>
      <c r="F130" s="93"/>
      <c r="G130" s="93"/>
      <c r="J130" s="94"/>
      <c r="K130" s="95"/>
      <c r="L130" s="96"/>
      <c r="M130" s="96"/>
      <c r="N130" s="96"/>
      <c r="O130" s="97"/>
      <c r="P130" s="89"/>
      <c r="Q130" s="89"/>
      <c r="R130" s="89"/>
      <c r="S130" s="89"/>
      <c r="T130" s="90"/>
      <c r="U130" s="90"/>
    </row>
    <row r="131" spans="3:21" ht="14.1" customHeight="1">
      <c r="C131" s="91"/>
      <c r="D131" s="92"/>
      <c r="E131" s="262"/>
      <c r="F131" s="93"/>
      <c r="G131" s="93"/>
      <c r="J131" s="94"/>
      <c r="K131" s="95"/>
      <c r="L131" s="96"/>
      <c r="M131" s="96"/>
      <c r="N131" s="96"/>
      <c r="O131" s="97"/>
      <c r="P131" s="89"/>
      <c r="Q131" s="89"/>
      <c r="R131" s="89"/>
      <c r="S131" s="89"/>
      <c r="T131" s="90"/>
      <c r="U131" s="90"/>
    </row>
    <row r="132" spans="3:21" ht="14.1" customHeight="1">
      <c r="C132" s="91"/>
      <c r="D132" s="92"/>
      <c r="E132" s="262"/>
      <c r="F132" s="93"/>
      <c r="G132" s="93"/>
      <c r="J132" s="94"/>
      <c r="K132" s="95"/>
      <c r="L132" s="96"/>
      <c r="M132" s="96"/>
      <c r="N132" s="96"/>
      <c r="O132" s="97"/>
      <c r="P132" s="89"/>
      <c r="Q132" s="89"/>
      <c r="R132" s="89"/>
      <c r="S132" s="89"/>
      <c r="T132" s="90"/>
      <c r="U132" s="90"/>
    </row>
    <row r="133" spans="3:21" ht="14.1" customHeight="1">
      <c r="C133" s="91"/>
      <c r="D133" s="92"/>
      <c r="E133" s="262"/>
      <c r="F133" s="93"/>
      <c r="G133" s="93"/>
      <c r="J133" s="94"/>
      <c r="K133" s="95"/>
      <c r="L133" s="96"/>
      <c r="M133" s="96"/>
      <c r="N133" s="96"/>
      <c r="O133" s="97"/>
      <c r="P133" s="89"/>
      <c r="Q133" s="89"/>
      <c r="R133" s="89"/>
      <c r="S133" s="89"/>
      <c r="T133" s="90"/>
      <c r="U133" s="90"/>
    </row>
    <row r="134" spans="3:21" ht="14.1" customHeight="1">
      <c r="C134" s="91"/>
      <c r="D134" s="92"/>
      <c r="E134" s="262"/>
      <c r="F134" s="93"/>
      <c r="G134" s="93"/>
      <c r="J134" s="94"/>
      <c r="K134" s="95"/>
      <c r="L134" s="96"/>
      <c r="M134" s="96"/>
      <c r="N134" s="96"/>
      <c r="O134" s="97"/>
      <c r="P134" s="89"/>
      <c r="Q134" s="89"/>
      <c r="R134" s="89"/>
      <c r="S134" s="89"/>
      <c r="T134" s="90"/>
      <c r="U134" s="90"/>
    </row>
    <row r="135" spans="3:21" ht="14.1" customHeight="1">
      <c r="C135" s="91"/>
      <c r="D135" s="92"/>
      <c r="E135" s="262"/>
      <c r="F135" s="93"/>
      <c r="G135" s="93"/>
      <c r="J135" s="94"/>
      <c r="K135" s="95"/>
      <c r="L135" s="96"/>
      <c r="M135" s="96"/>
      <c r="N135" s="96"/>
      <c r="O135" s="97"/>
      <c r="P135" s="89"/>
      <c r="Q135" s="89"/>
      <c r="R135" s="89"/>
      <c r="S135" s="89"/>
      <c r="T135" s="90"/>
      <c r="U135" s="90"/>
    </row>
    <row r="136" spans="3:21" ht="14.1" customHeight="1">
      <c r="C136" s="91"/>
      <c r="D136" s="92"/>
      <c r="E136" s="262"/>
      <c r="F136" s="93"/>
      <c r="G136" s="93"/>
      <c r="J136" s="94"/>
      <c r="K136" s="95"/>
      <c r="L136" s="96"/>
      <c r="M136" s="96"/>
      <c r="N136" s="96"/>
      <c r="O136" s="97"/>
      <c r="P136" s="89"/>
      <c r="Q136" s="89"/>
      <c r="R136" s="89"/>
      <c r="S136" s="89"/>
      <c r="T136" s="90"/>
      <c r="U136" s="90"/>
    </row>
    <row r="137" spans="3:21" ht="14.1" customHeight="1">
      <c r="C137" s="91"/>
      <c r="D137" s="92"/>
      <c r="E137" s="262"/>
      <c r="F137" s="93"/>
      <c r="G137" s="93"/>
      <c r="J137" s="94"/>
      <c r="K137" s="95"/>
      <c r="L137" s="96"/>
      <c r="M137" s="96"/>
      <c r="N137" s="96"/>
      <c r="O137" s="97"/>
      <c r="P137" s="89"/>
      <c r="Q137" s="89"/>
      <c r="R137" s="89"/>
      <c r="S137" s="89"/>
      <c r="T137" s="90"/>
      <c r="U137" s="90"/>
    </row>
    <row r="138" spans="3:21" ht="14.1" customHeight="1">
      <c r="C138" s="91"/>
      <c r="D138" s="92"/>
      <c r="E138" s="262"/>
      <c r="F138" s="93"/>
      <c r="G138" s="93"/>
      <c r="J138" s="94"/>
      <c r="K138" s="95"/>
      <c r="L138" s="96"/>
      <c r="M138" s="96"/>
      <c r="N138" s="96"/>
      <c r="O138" s="97"/>
      <c r="P138" s="89"/>
      <c r="Q138" s="89"/>
      <c r="R138" s="89"/>
      <c r="S138" s="89"/>
      <c r="T138" s="90"/>
      <c r="U138" s="90"/>
    </row>
    <row r="139" spans="3:21" ht="14.1" customHeight="1">
      <c r="C139" s="91"/>
      <c r="D139" s="92"/>
      <c r="E139" s="262"/>
      <c r="F139" s="93"/>
      <c r="G139" s="93"/>
      <c r="J139" s="94"/>
      <c r="K139" s="95"/>
      <c r="L139" s="96"/>
      <c r="M139" s="96"/>
      <c r="N139" s="96"/>
      <c r="O139" s="97"/>
      <c r="P139" s="89"/>
      <c r="Q139" s="89"/>
      <c r="R139" s="89"/>
      <c r="S139" s="89"/>
      <c r="T139" s="90"/>
      <c r="U139" s="90"/>
    </row>
    <row r="140" spans="3:21" ht="14.1" customHeight="1">
      <c r="C140" s="91"/>
      <c r="D140" s="92"/>
      <c r="E140" s="262"/>
      <c r="F140" s="93"/>
      <c r="G140" s="93"/>
      <c r="J140" s="94"/>
      <c r="K140" s="95"/>
      <c r="L140" s="96"/>
      <c r="M140" s="96"/>
      <c r="N140" s="96"/>
      <c r="O140" s="97"/>
      <c r="P140" s="89"/>
      <c r="Q140" s="89"/>
      <c r="R140" s="89"/>
      <c r="S140" s="89"/>
      <c r="T140" s="90"/>
      <c r="U140" s="90"/>
    </row>
    <row r="141" spans="3:21" ht="14.1" customHeight="1">
      <c r="C141" s="91"/>
      <c r="D141" s="92"/>
      <c r="E141" s="262"/>
      <c r="F141" s="93"/>
      <c r="G141" s="93"/>
      <c r="J141" s="94"/>
      <c r="K141" s="95"/>
      <c r="L141" s="96"/>
      <c r="M141" s="96"/>
      <c r="N141" s="96"/>
      <c r="O141" s="97"/>
      <c r="P141" s="89"/>
      <c r="Q141" s="89"/>
      <c r="R141" s="89"/>
      <c r="S141" s="89"/>
      <c r="T141" s="90"/>
      <c r="U141" s="90"/>
    </row>
    <row r="142" spans="3:21" ht="14.1" customHeight="1">
      <c r="C142" s="91"/>
      <c r="D142" s="92"/>
      <c r="E142" s="262"/>
      <c r="F142" s="93"/>
      <c r="G142" s="93"/>
      <c r="J142" s="94"/>
      <c r="K142" s="95"/>
      <c r="L142" s="96"/>
      <c r="M142" s="96"/>
      <c r="N142" s="96"/>
      <c r="O142" s="97"/>
      <c r="P142" s="89"/>
      <c r="Q142" s="89"/>
      <c r="R142" s="89"/>
      <c r="S142" s="89"/>
      <c r="T142" s="90"/>
      <c r="U142" s="90"/>
    </row>
    <row r="143" spans="3:21" ht="14.1" customHeight="1">
      <c r="C143" s="91"/>
      <c r="D143" s="92"/>
      <c r="E143" s="262"/>
      <c r="F143" s="93"/>
      <c r="G143" s="93"/>
      <c r="J143" s="94"/>
      <c r="K143" s="95"/>
      <c r="L143" s="96"/>
      <c r="M143" s="96"/>
      <c r="N143" s="96"/>
      <c r="O143" s="97"/>
      <c r="P143" s="89"/>
      <c r="Q143" s="89"/>
      <c r="R143" s="89"/>
      <c r="S143" s="89"/>
      <c r="T143" s="90"/>
      <c r="U143" s="90"/>
    </row>
    <row r="144" spans="3:21" ht="14.1" customHeight="1">
      <c r="C144" s="91"/>
      <c r="D144" s="92"/>
      <c r="E144" s="262"/>
      <c r="F144" s="93"/>
      <c r="G144" s="93"/>
      <c r="J144" s="94"/>
      <c r="K144" s="95"/>
      <c r="L144" s="96"/>
      <c r="M144" s="96"/>
      <c r="N144" s="96"/>
      <c r="O144" s="97"/>
      <c r="P144" s="89"/>
      <c r="Q144" s="89"/>
      <c r="R144" s="89"/>
      <c r="S144" s="89"/>
      <c r="T144" s="90"/>
      <c r="U144" s="90"/>
    </row>
    <row r="145" spans="3:21" ht="14.1" customHeight="1">
      <c r="C145" s="91"/>
      <c r="D145" s="92"/>
      <c r="E145" s="262"/>
      <c r="F145" s="93"/>
      <c r="G145" s="93"/>
      <c r="J145" s="94"/>
      <c r="K145" s="95"/>
      <c r="L145" s="96"/>
      <c r="M145" s="96"/>
      <c r="N145" s="96"/>
      <c r="O145" s="97"/>
      <c r="P145" s="89"/>
      <c r="Q145" s="89"/>
      <c r="R145" s="89"/>
      <c r="S145" s="89"/>
      <c r="T145" s="90"/>
      <c r="U145" s="90"/>
    </row>
    <row r="146" spans="3:21" ht="14.1" customHeight="1">
      <c r="C146" s="91"/>
      <c r="D146" s="92"/>
      <c r="E146" s="262"/>
      <c r="F146" s="93"/>
      <c r="G146" s="93"/>
      <c r="J146" s="94"/>
      <c r="K146" s="95"/>
      <c r="L146" s="96"/>
      <c r="M146" s="96"/>
      <c r="N146" s="96"/>
      <c r="O146" s="97"/>
      <c r="P146" s="89"/>
      <c r="Q146" s="89"/>
      <c r="R146" s="89"/>
      <c r="S146" s="89"/>
      <c r="T146" s="90"/>
      <c r="U146" s="90"/>
    </row>
    <row r="147" spans="3:21" ht="14.1" customHeight="1">
      <c r="C147" s="91"/>
      <c r="D147" s="92"/>
      <c r="E147" s="262"/>
      <c r="F147" s="93"/>
      <c r="G147" s="93"/>
      <c r="J147" s="94"/>
      <c r="K147" s="95"/>
      <c r="L147" s="96"/>
      <c r="M147" s="96"/>
      <c r="N147" s="96"/>
      <c r="O147" s="97"/>
      <c r="P147" s="89"/>
      <c r="Q147" s="89"/>
      <c r="R147" s="89"/>
      <c r="S147" s="89"/>
      <c r="T147" s="90"/>
      <c r="U147" s="90"/>
    </row>
    <row r="148" spans="3:21" ht="14.1" customHeight="1">
      <c r="C148" s="91"/>
      <c r="D148" s="92"/>
      <c r="E148" s="262"/>
      <c r="F148" s="93"/>
      <c r="G148" s="93"/>
      <c r="J148" s="94"/>
      <c r="K148" s="95"/>
      <c r="L148" s="96"/>
      <c r="M148" s="96"/>
      <c r="N148" s="96"/>
      <c r="O148" s="97"/>
      <c r="P148" s="89"/>
      <c r="Q148" s="89"/>
      <c r="R148" s="89"/>
      <c r="S148" s="89"/>
      <c r="T148" s="90"/>
      <c r="U148" s="90"/>
    </row>
    <row r="149" spans="3:21" ht="14.1" customHeight="1">
      <c r="C149" s="91"/>
      <c r="D149" s="92"/>
      <c r="E149" s="262"/>
      <c r="F149" s="93"/>
      <c r="G149" s="93"/>
      <c r="J149" s="94"/>
      <c r="K149" s="95"/>
      <c r="L149" s="96"/>
      <c r="M149" s="96"/>
      <c r="N149" s="96"/>
      <c r="O149" s="97"/>
      <c r="P149" s="89"/>
      <c r="Q149" s="89"/>
      <c r="R149" s="89"/>
      <c r="S149" s="89"/>
      <c r="T149" s="90"/>
      <c r="U149" s="90"/>
    </row>
    <row r="150" spans="3:21" ht="14.1" customHeight="1">
      <c r="C150" s="91"/>
      <c r="D150" s="92"/>
      <c r="E150" s="262"/>
      <c r="F150" s="93"/>
      <c r="G150" s="93"/>
      <c r="J150" s="94"/>
      <c r="K150" s="95"/>
      <c r="L150" s="96"/>
      <c r="M150" s="96"/>
      <c r="N150" s="96"/>
      <c r="O150" s="97"/>
      <c r="P150" s="89"/>
      <c r="Q150" s="89"/>
      <c r="R150" s="89"/>
      <c r="S150" s="89"/>
      <c r="T150" s="90"/>
      <c r="U150" s="90"/>
    </row>
    <row r="151" spans="3:21" ht="14.1" customHeight="1">
      <c r="C151" s="91"/>
      <c r="D151" s="92"/>
      <c r="E151" s="262"/>
      <c r="F151" s="93"/>
      <c r="G151" s="93"/>
      <c r="J151" s="94"/>
      <c r="K151" s="95"/>
      <c r="L151" s="96"/>
      <c r="M151" s="96"/>
      <c r="N151" s="96"/>
      <c r="O151" s="97"/>
      <c r="P151" s="89"/>
      <c r="Q151" s="89"/>
      <c r="R151" s="89"/>
      <c r="S151" s="89"/>
      <c r="T151" s="90"/>
      <c r="U151" s="90"/>
    </row>
    <row r="152" spans="3:21" ht="14.1" customHeight="1">
      <c r="C152" s="91"/>
      <c r="D152" s="92"/>
      <c r="E152" s="262"/>
      <c r="F152" s="93"/>
      <c r="G152" s="93"/>
      <c r="J152" s="94"/>
      <c r="K152" s="95"/>
      <c r="L152" s="96"/>
      <c r="M152" s="96"/>
      <c r="N152" s="96"/>
      <c r="O152" s="97"/>
      <c r="P152" s="89"/>
      <c r="Q152" s="89"/>
      <c r="R152" s="89"/>
      <c r="S152" s="89"/>
      <c r="T152" s="90"/>
      <c r="U152" s="90"/>
    </row>
    <row r="153" spans="3:21" ht="14.1" customHeight="1">
      <c r="C153" s="91"/>
      <c r="D153" s="92"/>
      <c r="E153" s="262"/>
      <c r="F153" s="93"/>
      <c r="G153" s="93"/>
      <c r="J153" s="94"/>
      <c r="K153" s="95"/>
      <c r="L153" s="96"/>
      <c r="M153" s="96"/>
      <c r="N153" s="96"/>
      <c r="O153" s="97"/>
      <c r="P153" s="89"/>
      <c r="Q153" s="89"/>
      <c r="R153" s="89"/>
      <c r="S153" s="89"/>
      <c r="T153" s="90"/>
      <c r="U153" s="90"/>
    </row>
    <row r="154" spans="3:21" ht="14.1" customHeight="1">
      <c r="C154" s="91"/>
      <c r="D154" s="92"/>
      <c r="E154" s="262"/>
      <c r="F154" s="93"/>
      <c r="G154" s="93"/>
      <c r="J154" s="94"/>
      <c r="K154" s="95"/>
      <c r="L154" s="96"/>
      <c r="M154" s="96"/>
      <c r="N154" s="96"/>
      <c r="O154" s="97"/>
      <c r="P154" s="89"/>
      <c r="Q154" s="89"/>
      <c r="R154" s="89"/>
      <c r="S154" s="89"/>
      <c r="T154" s="90"/>
      <c r="U154" s="90"/>
    </row>
    <row r="155" spans="3:21" ht="14.1" customHeight="1">
      <c r="C155" s="91"/>
      <c r="D155" s="92"/>
      <c r="E155" s="262"/>
      <c r="F155" s="93"/>
      <c r="G155" s="93"/>
      <c r="J155" s="94"/>
      <c r="K155" s="95"/>
      <c r="L155" s="96"/>
      <c r="M155" s="96"/>
      <c r="N155" s="96"/>
      <c r="O155" s="97"/>
      <c r="P155" s="89"/>
      <c r="Q155" s="89"/>
      <c r="R155" s="89"/>
      <c r="S155" s="89"/>
      <c r="T155" s="90"/>
      <c r="U155" s="90"/>
    </row>
    <row r="156" spans="3:21" ht="14.1" customHeight="1">
      <c r="C156" s="91"/>
      <c r="D156" s="92"/>
      <c r="E156" s="262"/>
      <c r="F156" s="93"/>
      <c r="G156" s="93"/>
      <c r="J156" s="94"/>
      <c r="K156" s="95"/>
      <c r="L156" s="96"/>
      <c r="M156" s="96"/>
      <c r="N156" s="96"/>
      <c r="O156" s="97"/>
      <c r="P156" s="89"/>
      <c r="Q156" s="89"/>
      <c r="R156" s="89"/>
      <c r="S156" s="89"/>
      <c r="T156" s="90"/>
      <c r="U156" s="90"/>
    </row>
    <row r="157" spans="3:21" ht="14.1" customHeight="1">
      <c r="C157" s="91"/>
      <c r="D157" s="92"/>
      <c r="E157" s="262"/>
      <c r="F157" s="93"/>
      <c r="G157" s="93"/>
      <c r="J157" s="94"/>
      <c r="K157" s="95"/>
      <c r="L157" s="96"/>
      <c r="M157" s="96"/>
      <c r="N157" s="96"/>
      <c r="O157" s="97"/>
      <c r="P157" s="89"/>
      <c r="Q157" s="89"/>
      <c r="R157" s="89"/>
      <c r="S157" s="89"/>
      <c r="T157" s="90"/>
      <c r="U157" s="90"/>
    </row>
    <row r="158" spans="3:21" ht="14.1" customHeight="1">
      <c r="C158" s="91"/>
      <c r="D158" s="92"/>
      <c r="E158" s="262"/>
      <c r="F158" s="93"/>
      <c r="G158" s="93"/>
      <c r="J158" s="94"/>
      <c r="K158" s="95"/>
      <c r="L158" s="96"/>
      <c r="M158" s="96"/>
      <c r="N158" s="96"/>
      <c r="O158" s="97"/>
      <c r="P158" s="89"/>
      <c r="Q158" s="89"/>
      <c r="R158" s="89"/>
      <c r="S158" s="89"/>
      <c r="T158" s="90"/>
      <c r="U158" s="90"/>
    </row>
    <row r="159" spans="3:21" ht="14.1" customHeight="1">
      <c r="C159" s="91"/>
      <c r="D159" s="92"/>
      <c r="E159" s="262"/>
      <c r="F159" s="93"/>
      <c r="G159" s="93"/>
      <c r="J159" s="94"/>
      <c r="K159" s="95"/>
      <c r="L159" s="96"/>
      <c r="M159" s="96"/>
      <c r="N159" s="96"/>
      <c r="O159" s="97"/>
      <c r="P159" s="89"/>
      <c r="Q159" s="89"/>
      <c r="R159" s="89"/>
      <c r="S159" s="89"/>
      <c r="T159" s="90"/>
      <c r="U159" s="90"/>
    </row>
    <row r="160" spans="3:21" ht="14.1" customHeight="1">
      <c r="C160" s="91"/>
      <c r="D160" s="92"/>
      <c r="E160" s="262"/>
      <c r="F160" s="93"/>
      <c r="G160" s="93"/>
      <c r="J160" s="94"/>
      <c r="K160" s="95"/>
      <c r="L160" s="96"/>
      <c r="M160" s="96"/>
      <c r="N160" s="96"/>
      <c r="O160" s="97"/>
      <c r="P160" s="89"/>
      <c r="Q160" s="89"/>
      <c r="R160" s="89"/>
      <c r="S160" s="89"/>
      <c r="T160" s="90"/>
      <c r="U160" s="90"/>
    </row>
    <row r="161" spans="3:21" ht="14.1" customHeight="1">
      <c r="C161" s="91"/>
      <c r="D161" s="92"/>
      <c r="E161" s="262"/>
      <c r="F161" s="93"/>
      <c r="G161" s="93"/>
      <c r="J161" s="94"/>
      <c r="K161" s="95"/>
      <c r="L161" s="96"/>
      <c r="M161" s="96"/>
      <c r="N161" s="96"/>
      <c r="O161" s="97"/>
      <c r="P161" s="89"/>
      <c r="Q161" s="89"/>
      <c r="R161" s="89"/>
      <c r="S161" s="89"/>
      <c r="T161" s="90"/>
      <c r="U161" s="90"/>
    </row>
    <row r="162" spans="3:21" ht="14.1" customHeight="1">
      <c r="C162" s="91"/>
      <c r="D162" s="92"/>
      <c r="E162" s="262"/>
      <c r="F162" s="93"/>
      <c r="G162" s="93"/>
      <c r="J162" s="94"/>
      <c r="K162" s="95"/>
      <c r="L162" s="96"/>
      <c r="M162" s="96"/>
      <c r="N162" s="96"/>
      <c r="O162" s="97"/>
      <c r="P162" s="89"/>
      <c r="Q162" s="89"/>
      <c r="R162" s="89"/>
      <c r="S162" s="89"/>
      <c r="T162" s="90"/>
      <c r="U162" s="90"/>
    </row>
    <row r="163" spans="3:21" ht="14.1" customHeight="1">
      <c r="C163" s="91"/>
      <c r="D163" s="92"/>
      <c r="E163" s="262"/>
      <c r="F163" s="93"/>
      <c r="G163" s="93"/>
      <c r="J163" s="94"/>
      <c r="K163" s="95"/>
      <c r="L163" s="96"/>
      <c r="M163" s="96"/>
      <c r="N163" s="96"/>
      <c r="O163" s="97"/>
      <c r="P163" s="89"/>
      <c r="Q163" s="89"/>
      <c r="R163" s="89"/>
      <c r="S163" s="89"/>
      <c r="T163" s="90"/>
      <c r="U163" s="90"/>
    </row>
    <row r="164" spans="3:21" ht="14.1" customHeight="1">
      <c r="C164" s="91"/>
      <c r="D164" s="92"/>
      <c r="E164" s="262"/>
      <c r="F164" s="93"/>
      <c r="G164" s="93"/>
      <c r="J164" s="94"/>
      <c r="K164" s="95"/>
      <c r="L164" s="96"/>
      <c r="M164" s="96"/>
      <c r="N164" s="96"/>
      <c r="O164" s="97"/>
      <c r="P164" s="89"/>
      <c r="Q164" s="89"/>
      <c r="R164" s="89"/>
      <c r="S164" s="89"/>
      <c r="T164" s="90"/>
      <c r="U164" s="90"/>
    </row>
    <row r="165" spans="3:21" ht="14.1" customHeight="1">
      <c r="C165" s="91"/>
      <c r="D165" s="92"/>
      <c r="E165" s="262"/>
      <c r="F165" s="93"/>
      <c r="G165" s="93"/>
      <c r="J165" s="94"/>
      <c r="K165" s="95"/>
      <c r="L165" s="96"/>
      <c r="M165" s="96"/>
      <c r="N165" s="96"/>
      <c r="O165" s="97"/>
      <c r="P165" s="89"/>
      <c r="Q165" s="89"/>
      <c r="R165" s="89"/>
      <c r="S165" s="89"/>
      <c r="T165" s="90"/>
      <c r="U165" s="90"/>
    </row>
    <row r="166" spans="3:21" ht="14.1" customHeight="1">
      <c r="C166" s="91"/>
      <c r="D166" s="92"/>
      <c r="E166" s="262"/>
      <c r="F166" s="93"/>
      <c r="G166" s="93"/>
      <c r="J166" s="94"/>
      <c r="K166" s="95"/>
      <c r="L166" s="96"/>
      <c r="M166" s="96"/>
      <c r="N166" s="96"/>
      <c r="O166" s="97"/>
      <c r="P166" s="89"/>
      <c r="Q166" s="89"/>
      <c r="R166" s="89"/>
      <c r="S166" s="89"/>
      <c r="T166" s="90"/>
      <c r="U166" s="90"/>
    </row>
    <row r="167" spans="3:21" ht="14.1" customHeight="1">
      <c r="C167" s="91"/>
      <c r="D167" s="92"/>
      <c r="E167" s="262"/>
      <c r="F167" s="93"/>
      <c r="G167" s="93"/>
      <c r="J167" s="94"/>
      <c r="K167" s="95"/>
      <c r="L167" s="96"/>
      <c r="M167" s="96"/>
      <c r="N167" s="96"/>
      <c r="O167" s="97"/>
      <c r="P167" s="89"/>
      <c r="Q167" s="89"/>
      <c r="R167" s="89"/>
      <c r="S167" s="89"/>
      <c r="T167" s="90"/>
      <c r="U167" s="90"/>
    </row>
    <row r="168" spans="3:21" ht="14.1" customHeight="1">
      <c r="C168" s="91"/>
      <c r="D168" s="92"/>
      <c r="E168" s="262"/>
      <c r="F168" s="93"/>
      <c r="G168" s="93"/>
      <c r="J168" s="94"/>
      <c r="K168" s="95"/>
      <c r="L168" s="96"/>
      <c r="M168" s="96"/>
      <c r="N168" s="96"/>
      <c r="O168" s="97"/>
      <c r="P168" s="89"/>
      <c r="Q168" s="89"/>
      <c r="R168" s="89"/>
      <c r="S168" s="89"/>
      <c r="T168" s="90"/>
      <c r="U168" s="90"/>
    </row>
    <row r="169" spans="3:21" ht="14.1" customHeight="1">
      <c r="C169" s="91"/>
      <c r="D169" s="92"/>
      <c r="E169" s="262"/>
      <c r="F169" s="93"/>
      <c r="G169" s="93"/>
      <c r="J169" s="94"/>
      <c r="K169" s="95"/>
      <c r="L169" s="96"/>
      <c r="M169" s="96"/>
      <c r="N169" s="96"/>
      <c r="O169" s="97"/>
      <c r="P169" s="89"/>
      <c r="Q169" s="89"/>
      <c r="R169" s="89"/>
      <c r="S169" s="89"/>
      <c r="T169" s="90"/>
      <c r="U169" s="90"/>
    </row>
    <row r="170" spans="3:21" ht="14.1" customHeight="1">
      <c r="C170" s="91"/>
      <c r="D170" s="92"/>
      <c r="E170" s="262"/>
      <c r="F170" s="93"/>
      <c r="G170" s="93"/>
      <c r="J170" s="94"/>
      <c r="K170" s="95"/>
      <c r="L170" s="96"/>
      <c r="M170" s="96"/>
      <c r="N170" s="96"/>
      <c r="O170" s="97"/>
      <c r="P170" s="89"/>
      <c r="Q170" s="89"/>
      <c r="R170" s="89"/>
      <c r="S170" s="89"/>
      <c r="T170" s="90"/>
      <c r="U170" s="90"/>
    </row>
    <row r="171" spans="3:21" ht="14.1" customHeight="1">
      <c r="C171" s="91"/>
      <c r="D171" s="92"/>
      <c r="E171" s="262"/>
      <c r="F171" s="93"/>
      <c r="G171" s="93"/>
      <c r="J171" s="94"/>
      <c r="K171" s="95"/>
      <c r="L171" s="96"/>
      <c r="M171" s="96"/>
      <c r="N171" s="96"/>
      <c r="O171" s="97"/>
      <c r="P171" s="89"/>
      <c r="Q171" s="89"/>
      <c r="R171" s="89"/>
      <c r="S171" s="89"/>
      <c r="T171" s="90"/>
      <c r="U171" s="90"/>
    </row>
    <row r="172" spans="3:21" ht="14.1" customHeight="1">
      <c r="C172" s="91"/>
      <c r="D172" s="92"/>
      <c r="E172" s="262"/>
      <c r="F172" s="93"/>
      <c r="G172" s="93"/>
      <c r="J172" s="94"/>
      <c r="K172" s="95"/>
      <c r="L172" s="96"/>
      <c r="M172" s="96"/>
      <c r="N172" s="96"/>
      <c r="O172" s="97"/>
      <c r="P172" s="89"/>
      <c r="Q172" s="89"/>
      <c r="R172" s="89"/>
      <c r="S172" s="89"/>
      <c r="T172" s="90"/>
      <c r="U172" s="90"/>
    </row>
    <row r="173" spans="3:21" ht="14.1" customHeight="1">
      <c r="C173" s="91"/>
      <c r="D173" s="92"/>
      <c r="E173" s="262"/>
      <c r="F173" s="93"/>
      <c r="G173" s="93"/>
      <c r="J173" s="94"/>
      <c r="K173" s="95"/>
      <c r="L173" s="96"/>
      <c r="M173" s="96"/>
      <c r="N173" s="96"/>
      <c r="O173" s="97"/>
      <c r="P173" s="89"/>
      <c r="Q173" s="89"/>
      <c r="R173" s="89"/>
      <c r="S173" s="89"/>
      <c r="T173" s="90"/>
      <c r="U173" s="90"/>
    </row>
    <row r="174" spans="3:21" ht="14.1" customHeight="1">
      <c r="C174" s="91"/>
      <c r="D174" s="92"/>
      <c r="E174" s="262"/>
      <c r="F174" s="93"/>
      <c r="G174" s="93"/>
      <c r="J174" s="94"/>
      <c r="K174" s="95"/>
      <c r="L174" s="96"/>
      <c r="M174" s="96"/>
      <c r="N174" s="96"/>
      <c r="O174" s="97"/>
      <c r="P174" s="89"/>
      <c r="Q174" s="89"/>
      <c r="R174" s="89"/>
      <c r="S174" s="89"/>
      <c r="T174" s="90"/>
      <c r="U174" s="90"/>
    </row>
    <row r="175" spans="3:21" ht="14.1" customHeight="1">
      <c r="C175" s="91"/>
      <c r="D175" s="92"/>
      <c r="E175" s="262"/>
      <c r="F175" s="93"/>
      <c r="G175" s="93"/>
      <c r="J175" s="94"/>
      <c r="K175" s="95"/>
      <c r="L175" s="96"/>
      <c r="M175" s="96"/>
      <c r="N175" s="96"/>
      <c r="O175" s="97"/>
      <c r="P175" s="89"/>
      <c r="Q175" s="89"/>
      <c r="R175" s="89"/>
      <c r="S175" s="89"/>
      <c r="T175" s="90"/>
      <c r="U175" s="90"/>
    </row>
    <row r="176" spans="3:21" ht="14.1" customHeight="1">
      <c r="C176" s="91"/>
      <c r="D176" s="92"/>
      <c r="E176" s="262"/>
      <c r="F176" s="93"/>
      <c r="G176" s="93"/>
      <c r="J176" s="94"/>
      <c r="K176" s="95"/>
      <c r="L176" s="96"/>
      <c r="M176" s="96"/>
      <c r="N176" s="96"/>
      <c r="O176" s="97"/>
      <c r="P176" s="89"/>
      <c r="Q176" s="89"/>
      <c r="R176" s="89"/>
      <c r="S176" s="89"/>
      <c r="T176" s="90"/>
      <c r="U176" s="90"/>
    </row>
    <row r="177" spans="3:21" ht="14.1" customHeight="1">
      <c r="C177" s="91"/>
      <c r="D177" s="92"/>
      <c r="E177" s="262"/>
      <c r="F177" s="93"/>
      <c r="G177" s="93"/>
      <c r="J177" s="94"/>
      <c r="K177" s="95"/>
      <c r="L177" s="96"/>
      <c r="M177" s="96"/>
      <c r="N177" s="96"/>
      <c r="O177" s="97"/>
      <c r="P177" s="89"/>
      <c r="Q177" s="89"/>
      <c r="R177" s="89"/>
      <c r="S177" s="89"/>
      <c r="T177" s="90"/>
      <c r="U177" s="90"/>
    </row>
    <row r="178" spans="3:21" ht="14.1" customHeight="1">
      <c r="C178" s="91"/>
      <c r="D178" s="92"/>
      <c r="E178" s="262"/>
      <c r="F178" s="93"/>
      <c r="G178" s="93"/>
      <c r="J178" s="94"/>
      <c r="K178" s="95"/>
      <c r="L178" s="96"/>
      <c r="M178" s="96"/>
      <c r="N178" s="96"/>
      <c r="O178" s="97"/>
      <c r="P178" s="89"/>
      <c r="Q178" s="89"/>
      <c r="R178" s="89"/>
      <c r="S178" s="89"/>
      <c r="T178" s="90"/>
      <c r="U178" s="90"/>
    </row>
    <row r="179" spans="3:21" ht="14.1" customHeight="1">
      <c r="C179" s="91"/>
      <c r="D179" s="92"/>
      <c r="E179" s="262"/>
      <c r="F179" s="93"/>
      <c r="G179" s="93"/>
      <c r="J179" s="94"/>
      <c r="K179" s="95"/>
      <c r="L179" s="96"/>
      <c r="M179" s="96"/>
      <c r="N179" s="96"/>
      <c r="O179" s="97"/>
      <c r="P179" s="89"/>
      <c r="Q179" s="89"/>
      <c r="R179" s="89"/>
      <c r="S179" s="89"/>
      <c r="T179" s="90"/>
      <c r="U179" s="90"/>
    </row>
    <row r="180" spans="3:21" ht="14.1" customHeight="1">
      <c r="C180" s="91"/>
      <c r="D180" s="92"/>
      <c r="E180" s="262"/>
      <c r="F180" s="93"/>
      <c r="G180" s="93"/>
      <c r="J180" s="94"/>
      <c r="K180" s="95"/>
      <c r="L180" s="96"/>
      <c r="M180" s="96"/>
      <c r="N180" s="96"/>
      <c r="O180" s="97"/>
      <c r="P180" s="89"/>
      <c r="Q180" s="89"/>
      <c r="R180" s="89"/>
      <c r="S180" s="89"/>
      <c r="T180" s="90"/>
      <c r="U180" s="90"/>
    </row>
    <row r="181" spans="3:21" ht="14.1" customHeight="1">
      <c r="C181" s="91"/>
      <c r="D181" s="92"/>
      <c r="E181" s="262"/>
      <c r="F181" s="93"/>
      <c r="G181" s="93"/>
      <c r="J181" s="94"/>
      <c r="K181" s="95"/>
      <c r="L181" s="96"/>
      <c r="M181" s="96"/>
      <c r="N181" s="96"/>
      <c r="O181" s="97"/>
      <c r="P181" s="89"/>
      <c r="Q181" s="89"/>
      <c r="R181" s="89"/>
      <c r="S181" s="89"/>
      <c r="T181" s="90"/>
      <c r="U181" s="90"/>
    </row>
    <row r="182" spans="3:21" ht="14.1" customHeight="1">
      <c r="C182" s="91"/>
      <c r="D182" s="92"/>
      <c r="E182" s="262"/>
      <c r="F182" s="93"/>
      <c r="G182" s="93"/>
      <c r="J182" s="94"/>
      <c r="K182" s="95"/>
      <c r="L182" s="96"/>
      <c r="M182" s="96"/>
      <c r="N182" s="96"/>
      <c r="O182" s="97"/>
      <c r="P182" s="89"/>
      <c r="Q182" s="89"/>
      <c r="R182" s="89"/>
      <c r="S182" s="89"/>
      <c r="T182" s="90"/>
      <c r="U182" s="90"/>
    </row>
    <row r="183" spans="3:21" ht="14.1" customHeight="1">
      <c r="C183" s="91"/>
      <c r="D183" s="92"/>
      <c r="E183" s="262"/>
      <c r="F183" s="93"/>
      <c r="G183" s="93"/>
      <c r="J183" s="94"/>
      <c r="K183" s="95"/>
      <c r="L183" s="96"/>
      <c r="M183" s="96"/>
      <c r="N183" s="96"/>
      <c r="O183" s="97"/>
      <c r="P183" s="89"/>
      <c r="Q183" s="89"/>
      <c r="R183" s="89"/>
      <c r="S183" s="89"/>
      <c r="T183" s="90"/>
      <c r="U183" s="90"/>
    </row>
    <row r="184" spans="3:21" ht="14.1" customHeight="1">
      <c r="C184" s="91"/>
      <c r="D184" s="92"/>
      <c r="E184" s="262"/>
      <c r="F184" s="93"/>
      <c r="G184" s="93"/>
      <c r="J184" s="94"/>
      <c r="K184" s="95"/>
      <c r="L184" s="96"/>
      <c r="M184" s="96"/>
      <c r="N184" s="96"/>
      <c r="O184" s="97"/>
      <c r="P184" s="89"/>
      <c r="Q184" s="89"/>
      <c r="R184" s="89"/>
      <c r="S184" s="89"/>
      <c r="T184" s="90"/>
      <c r="U184" s="90"/>
    </row>
    <row r="185" spans="3:21" ht="14.1" customHeight="1">
      <c r="C185" s="91"/>
      <c r="D185" s="92"/>
      <c r="E185" s="262"/>
      <c r="F185" s="93"/>
      <c r="G185" s="93"/>
      <c r="J185" s="94"/>
      <c r="K185" s="95"/>
      <c r="L185" s="96"/>
      <c r="M185" s="96"/>
      <c r="N185" s="96"/>
      <c r="O185" s="97"/>
      <c r="P185" s="89"/>
      <c r="Q185" s="89"/>
      <c r="R185" s="89"/>
      <c r="S185" s="89"/>
      <c r="T185" s="90"/>
      <c r="U185" s="90"/>
    </row>
    <row r="186" spans="3:21" ht="14.1" customHeight="1">
      <c r="C186" s="91"/>
      <c r="D186" s="92"/>
      <c r="E186" s="262"/>
      <c r="F186" s="93"/>
      <c r="G186" s="93"/>
      <c r="J186" s="94"/>
      <c r="K186" s="95"/>
      <c r="L186" s="96"/>
      <c r="M186" s="96"/>
      <c r="N186" s="96"/>
      <c r="O186" s="97"/>
      <c r="P186" s="89"/>
      <c r="Q186" s="89"/>
      <c r="R186" s="89"/>
      <c r="S186" s="89"/>
      <c r="T186" s="90"/>
      <c r="U186" s="90"/>
    </row>
    <row r="187" spans="3:21" ht="14.1" customHeight="1">
      <c r="C187" s="91"/>
      <c r="D187" s="92"/>
      <c r="E187" s="262"/>
      <c r="F187" s="93"/>
      <c r="G187" s="93"/>
      <c r="J187" s="94"/>
      <c r="K187" s="95"/>
      <c r="L187" s="96"/>
      <c r="M187" s="96"/>
      <c r="N187" s="96"/>
      <c r="O187" s="97"/>
      <c r="P187" s="89"/>
      <c r="Q187" s="89"/>
      <c r="R187" s="89"/>
      <c r="S187" s="89"/>
      <c r="T187" s="90"/>
      <c r="U187" s="90"/>
    </row>
    <row r="188" spans="3:21" ht="14.1" customHeight="1">
      <c r="C188" s="91"/>
      <c r="D188" s="92"/>
      <c r="E188" s="262"/>
      <c r="F188" s="93"/>
      <c r="G188" s="93"/>
      <c r="J188" s="94"/>
      <c r="K188" s="95"/>
      <c r="L188" s="96"/>
      <c r="M188" s="96"/>
      <c r="N188" s="96"/>
      <c r="O188" s="97"/>
      <c r="P188" s="89"/>
      <c r="Q188" s="89"/>
      <c r="R188" s="89"/>
      <c r="S188" s="89"/>
      <c r="T188" s="90"/>
      <c r="U188" s="90"/>
    </row>
    <row r="189" spans="3:21" ht="14.1" customHeight="1">
      <c r="C189" s="91"/>
      <c r="D189" s="92"/>
      <c r="E189" s="262"/>
      <c r="F189" s="93"/>
      <c r="G189" s="93"/>
      <c r="J189" s="94"/>
      <c r="K189" s="95"/>
      <c r="L189" s="96"/>
      <c r="M189" s="96"/>
      <c r="N189" s="96"/>
      <c r="O189" s="97"/>
      <c r="P189" s="89"/>
      <c r="Q189" s="89"/>
      <c r="R189" s="89"/>
      <c r="S189" s="89"/>
      <c r="T189" s="90"/>
      <c r="U189" s="90"/>
    </row>
    <row r="190" spans="3:21" ht="14.1" customHeight="1">
      <c r="C190" s="91"/>
      <c r="D190" s="92"/>
      <c r="E190" s="262"/>
      <c r="F190" s="93"/>
      <c r="G190" s="93"/>
      <c r="J190" s="94"/>
      <c r="K190" s="95"/>
      <c r="L190" s="96"/>
      <c r="M190" s="96"/>
      <c r="N190" s="96"/>
      <c r="O190" s="97"/>
      <c r="P190" s="89"/>
      <c r="Q190" s="89"/>
      <c r="R190" s="89"/>
      <c r="S190" s="89"/>
      <c r="T190" s="90"/>
      <c r="U190" s="90"/>
    </row>
    <row r="191" spans="3:21" ht="14.1" customHeight="1">
      <c r="C191" s="91"/>
      <c r="D191" s="92"/>
      <c r="E191" s="262"/>
      <c r="F191" s="93"/>
      <c r="G191" s="93"/>
      <c r="J191" s="94"/>
      <c r="K191" s="95"/>
      <c r="L191" s="96"/>
      <c r="M191" s="96"/>
      <c r="N191" s="96"/>
      <c r="O191" s="97"/>
      <c r="P191" s="89"/>
      <c r="Q191" s="89"/>
      <c r="R191" s="89"/>
      <c r="S191" s="89"/>
      <c r="T191" s="90"/>
      <c r="U191" s="90"/>
    </row>
    <row r="192" spans="3:21" ht="14.1" customHeight="1">
      <c r="C192" s="91"/>
      <c r="D192" s="92"/>
      <c r="E192" s="262"/>
      <c r="F192" s="93"/>
      <c r="G192" s="93"/>
      <c r="J192" s="94"/>
      <c r="K192" s="95"/>
      <c r="L192" s="96"/>
      <c r="M192" s="96"/>
      <c r="N192" s="96"/>
      <c r="O192" s="97"/>
      <c r="P192" s="89"/>
      <c r="Q192" s="89"/>
      <c r="R192" s="89"/>
      <c r="S192" s="89"/>
      <c r="T192" s="90"/>
      <c r="U192" s="90"/>
    </row>
    <row r="193" spans="3:21" ht="14.1" customHeight="1">
      <c r="C193" s="91"/>
      <c r="D193" s="92"/>
      <c r="E193" s="262"/>
      <c r="F193" s="93"/>
      <c r="G193" s="93"/>
      <c r="J193" s="94"/>
      <c r="K193" s="95"/>
      <c r="L193" s="96"/>
      <c r="M193" s="96"/>
      <c r="N193" s="96"/>
      <c r="O193" s="97"/>
      <c r="P193" s="89"/>
      <c r="Q193" s="89"/>
      <c r="R193" s="89"/>
      <c r="S193" s="89"/>
      <c r="T193" s="90"/>
      <c r="U193" s="90"/>
    </row>
    <row r="194" spans="3:21" ht="14.1" customHeight="1">
      <c r="C194" s="91"/>
      <c r="D194" s="92"/>
      <c r="E194" s="262"/>
      <c r="F194" s="93"/>
      <c r="G194" s="93"/>
      <c r="J194" s="94"/>
      <c r="K194" s="95"/>
      <c r="L194" s="96"/>
      <c r="M194" s="96"/>
      <c r="N194" s="96"/>
      <c r="O194" s="97"/>
      <c r="P194" s="89"/>
      <c r="Q194" s="89"/>
      <c r="R194" s="89"/>
      <c r="S194" s="89"/>
      <c r="T194" s="90"/>
      <c r="U194" s="90"/>
    </row>
    <row r="195" spans="3:21" ht="14.1" customHeight="1">
      <c r="C195" s="91"/>
      <c r="D195" s="92"/>
      <c r="E195" s="262"/>
      <c r="F195" s="93"/>
      <c r="G195" s="93"/>
      <c r="J195" s="94"/>
      <c r="K195" s="95"/>
      <c r="L195" s="96"/>
      <c r="M195" s="96"/>
      <c r="N195" s="96"/>
      <c r="O195" s="97"/>
      <c r="P195" s="89"/>
      <c r="Q195" s="89"/>
      <c r="R195" s="89"/>
      <c r="S195" s="89"/>
      <c r="T195" s="90"/>
      <c r="U195" s="90"/>
    </row>
    <row r="196" spans="3:21" ht="14.1" customHeight="1">
      <c r="C196" s="91"/>
      <c r="D196" s="92"/>
      <c r="E196" s="262"/>
      <c r="F196" s="93"/>
      <c r="G196" s="93"/>
      <c r="J196" s="94"/>
      <c r="K196" s="95"/>
      <c r="L196" s="96"/>
      <c r="M196" s="96"/>
      <c r="N196" s="96"/>
      <c r="O196" s="97"/>
      <c r="P196" s="89"/>
      <c r="Q196" s="89"/>
      <c r="R196" s="89"/>
      <c r="S196" s="89"/>
      <c r="T196" s="90"/>
      <c r="U196" s="90"/>
    </row>
    <row r="197" spans="3:21" ht="14.1" customHeight="1">
      <c r="C197" s="91"/>
      <c r="D197" s="92"/>
      <c r="E197" s="262"/>
      <c r="F197" s="93"/>
      <c r="G197" s="93"/>
      <c r="J197" s="94"/>
      <c r="K197" s="95"/>
      <c r="L197" s="96"/>
      <c r="M197" s="96"/>
      <c r="N197" s="96"/>
      <c r="O197" s="97"/>
      <c r="P197" s="89"/>
      <c r="Q197" s="89"/>
      <c r="R197" s="89"/>
      <c r="S197" s="89"/>
      <c r="T197" s="90"/>
      <c r="U197" s="90"/>
    </row>
    <row r="198" spans="3:21" ht="14.1" customHeight="1">
      <c r="C198" s="91"/>
      <c r="D198" s="92"/>
      <c r="E198" s="262"/>
      <c r="F198" s="93"/>
      <c r="G198" s="93"/>
      <c r="J198" s="94"/>
      <c r="K198" s="95"/>
      <c r="L198" s="96"/>
      <c r="M198" s="96"/>
      <c r="N198" s="96"/>
      <c r="O198" s="97"/>
      <c r="P198" s="89"/>
      <c r="Q198" s="89"/>
      <c r="R198" s="89"/>
      <c r="S198" s="89"/>
      <c r="T198" s="90"/>
      <c r="U198" s="90"/>
    </row>
    <row r="199" spans="3:21" ht="14.1" customHeight="1">
      <c r="C199" s="91"/>
      <c r="D199" s="92"/>
      <c r="E199" s="262"/>
      <c r="F199" s="93"/>
      <c r="G199" s="93"/>
      <c r="J199" s="94"/>
      <c r="K199" s="95"/>
      <c r="L199" s="96"/>
      <c r="M199" s="96"/>
      <c r="N199" s="96"/>
      <c r="O199" s="97"/>
      <c r="P199" s="89"/>
      <c r="Q199" s="89"/>
      <c r="R199" s="89"/>
      <c r="S199" s="89"/>
      <c r="T199" s="90"/>
      <c r="U199" s="90"/>
    </row>
    <row r="200" spans="3:21" ht="14.1" customHeight="1">
      <c r="C200" s="91"/>
      <c r="D200" s="92"/>
      <c r="E200" s="262"/>
      <c r="F200" s="93"/>
      <c r="G200" s="93"/>
      <c r="J200" s="94"/>
      <c r="K200" s="95"/>
      <c r="L200" s="96"/>
      <c r="M200" s="96"/>
      <c r="N200" s="96"/>
      <c r="O200" s="97"/>
      <c r="P200" s="89"/>
      <c r="Q200" s="89"/>
      <c r="R200" s="89"/>
      <c r="S200" s="89"/>
      <c r="T200" s="90"/>
      <c r="U200" s="90"/>
    </row>
    <row r="201" spans="3:21" ht="14.1" customHeight="1">
      <c r="C201" s="91"/>
      <c r="D201" s="92"/>
      <c r="E201" s="262"/>
      <c r="F201" s="93"/>
      <c r="G201" s="93"/>
      <c r="J201" s="94"/>
      <c r="K201" s="95"/>
      <c r="L201" s="96"/>
      <c r="M201" s="96"/>
      <c r="N201" s="96"/>
      <c r="O201" s="97"/>
      <c r="P201" s="89"/>
      <c r="Q201" s="89"/>
      <c r="R201" s="89"/>
      <c r="S201" s="89"/>
      <c r="T201" s="90"/>
      <c r="U201" s="90"/>
    </row>
    <row r="202" spans="3:21" ht="14.1" customHeight="1">
      <c r="C202" s="91"/>
      <c r="D202" s="92"/>
      <c r="E202" s="262"/>
      <c r="F202" s="93"/>
      <c r="G202" s="93"/>
      <c r="J202" s="94"/>
      <c r="K202" s="95"/>
      <c r="L202" s="96"/>
      <c r="M202" s="96"/>
      <c r="N202" s="96"/>
      <c r="O202" s="97"/>
      <c r="P202" s="89"/>
      <c r="Q202" s="89"/>
      <c r="R202" s="89"/>
      <c r="S202" s="89"/>
      <c r="T202" s="90"/>
      <c r="U202" s="90"/>
    </row>
    <row r="203" spans="3:21" ht="14.1" customHeight="1">
      <c r="C203" s="91"/>
      <c r="D203" s="92"/>
      <c r="E203" s="262"/>
      <c r="F203" s="93"/>
      <c r="G203" s="93"/>
      <c r="J203" s="94"/>
      <c r="K203" s="95"/>
      <c r="L203" s="96"/>
      <c r="M203" s="96"/>
      <c r="N203" s="96"/>
      <c r="O203" s="97"/>
      <c r="P203" s="89"/>
      <c r="Q203" s="89"/>
      <c r="R203" s="89"/>
      <c r="S203" s="89"/>
      <c r="T203" s="90"/>
      <c r="U203" s="90"/>
    </row>
    <row r="204" spans="3:21" ht="14.1" customHeight="1">
      <c r="C204" s="91"/>
      <c r="D204" s="92"/>
      <c r="E204" s="262"/>
      <c r="F204" s="93"/>
      <c r="G204" s="93"/>
      <c r="J204" s="94"/>
      <c r="K204" s="95"/>
      <c r="L204" s="96"/>
      <c r="M204" s="96"/>
      <c r="N204" s="96"/>
      <c r="O204" s="97"/>
      <c r="P204" s="89"/>
      <c r="Q204" s="89"/>
      <c r="R204" s="89"/>
      <c r="S204" s="89"/>
      <c r="T204" s="90"/>
      <c r="U204" s="90"/>
    </row>
    <row r="205" spans="3:21" ht="14.1" customHeight="1">
      <c r="C205" s="91"/>
      <c r="D205" s="92"/>
      <c r="E205" s="262"/>
      <c r="F205" s="93"/>
      <c r="G205" s="93"/>
      <c r="J205" s="94"/>
      <c r="K205" s="95"/>
      <c r="L205" s="96"/>
      <c r="M205" s="96"/>
      <c r="N205" s="96"/>
      <c r="O205" s="97"/>
      <c r="P205" s="89"/>
      <c r="Q205" s="89"/>
      <c r="R205" s="89"/>
      <c r="S205" s="89"/>
      <c r="T205" s="90"/>
      <c r="U205" s="90"/>
    </row>
    <row r="206" spans="3:21" ht="14.1" customHeight="1">
      <c r="C206" s="91"/>
      <c r="D206" s="92"/>
      <c r="E206" s="262"/>
      <c r="F206" s="93"/>
      <c r="G206" s="93"/>
      <c r="J206" s="94"/>
      <c r="K206" s="95"/>
      <c r="L206" s="96"/>
      <c r="M206" s="96"/>
      <c r="N206" s="96"/>
      <c r="O206" s="97"/>
      <c r="P206" s="89"/>
      <c r="Q206" s="89"/>
      <c r="R206" s="89"/>
      <c r="S206" s="89"/>
      <c r="T206" s="90"/>
      <c r="U206" s="90"/>
    </row>
    <row r="207" spans="3:21" ht="14.1" customHeight="1">
      <c r="C207" s="91"/>
      <c r="D207" s="92"/>
      <c r="E207" s="262"/>
      <c r="F207" s="93"/>
      <c r="G207" s="93"/>
      <c r="J207" s="94"/>
      <c r="K207" s="95"/>
      <c r="L207" s="96"/>
      <c r="M207" s="96"/>
      <c r="N207" s="96"/>
      <c r="O207" s="97"/>
      <c r="P207" s="89"/>
      <c r="Q207" s="89"/>
      <c r="R207" s="89"/>
      <c r="S207" s="89"/>
      <c r="T207" s="90"/>
      <c r="U207" s="90"/>
    </row>
    <row r="208" spans="3:21" ht="14.1" customHeight="1">
      <c r="C208" s="91"/>
      <c r="D208" s="92"/>
      <c r="E208" s="262"/>
      <c r="F208" s="93"/>
      <c r="G208" s="93"/>
      <c r="J208" s="94"/>
      <c r="K208" s="95"/>
      <c r="L208" s="96"/>
      <c r="M208" s="96"/>
      <c r="N208" s="96"/>
      <c r="O208" s="97"/>
      <c r="P208" s="89"/>
      <c r="Q208" s="89"/>
      <c r="R208" s="89"/>
      <c r="S208" s="89"/>
      <c r="T208" s="90"/>
      <c r="U208" s="90"/>
    </row>
    <row r="209" spans="3:21" ht="14.1" customHeight="1">
      <c r="C209" s="91"/>
      <c r="D209" s="92"/>
      <c r="E209" s="262"/>
      <c r="F209" s="93"/>
      <c r="G209" s="93"/>
      <c r="J209" s="94"/>
      <c r="K209" s="95"/>
      <c r="L209" s="96"/>
      <c r="M209" s="96"/>
      <c r="N209" s="96"/>
      <c r="O209" s="97"/>
      <c r="P209" s="89"/>
      <c r="Q209" s="89"/>
      <c r="R209" s="89"/>
      <c r="S209" s="89"/>
      <c r="T209" s="90"/>
      <c r="U209" s="90"/>
    </row>
    <row r="210" spans="3:21" ht="14.1" customHeight="1">
      <c r="C210" s="91"/>
      <c r="D210" s="92"/>
      <c r="E210" s="262"/>
      <c r="F210" s="93"/>
      <c r="G210" s="93"/>
      <c r="J210" s="94"/>
      <c r="K210" s="95"/>
      <c r="L210" s="96"/>
      <c r="M210" s="96"/>
      <c r="N210" s="96"/>
      <c r="O210" s="97"/>
      <c r="P210" s="89"/>
      <c r="Q210" s="89"/>
      <c r="R210" s="89"/>
      <c r="S210" s="89"/>
      <c r="T210" s="90"/>
      <c r="U210" s="90"/>
    </row>
    <row r="211" spans="3:21" ht="14.1" customHeight="1">
      <c r="C211" s="91"/>
      <c r="D211" s="92"/>
      <c r="E211" s="262"/>
      <c r="F211" s="93"/>
      <c r="G211" s="93"/>
      <c r="J211" s="94"/>
      <c r="K211" s="95"/>
      <c r="L211" s="96"/>
      <c r="M211" s="96"/>
      <c r="N211" s="96"/>
      <c r="O211" s="97"/>
      <c r="P211" s="89"/>
      <c r="Q211" s="89"/>
      <c r="R211" s="89"/>
      <c r="S211" s="89"/>
      <c r="T211" s="90"/>
      <c r="U211" s="90"/>
    </row>
    <row r="212" spans="3:21" ht="14.1" customHeight="1">
      <c r="C212" s="91"/>
      <c r="D212" s="92"/>
      <c r="E212" s="262"/>
      <c r="F212" s="93"/>
      <c r="G212" s="93"/>
      <c r="J212" s="94"/>
      <c r="K212" s="95"/>
      <c r="L212" s="96"/>
      <c r="M212" s="96"/>
      <c r="N212" s="96"/>
      <c r="O212" s="97"/>
      <c r="P212" s="89"/>
      <c r="Q212" s="89"/>
      <c r="R212" s="89"/>
      <c r="S212" s="89"/>
      <c r="T212" s="90"/>
      <c r="U212" s="90"/>
    </row>
    <row r="213" spans="3:21" ht="14.1" customHeight="1">
      <c r="C213" s="91"/>
      <c r="D213" s="92"/>
      <c r="E213" s="262"/>
      <c r="F213" s="93"/>
      <c r="G213" s="93"/>
      <c r="J213" s="94"/>
      <c r="K213" s="95"/>
      <c r="L213" s="96"/>
      <c r="M213" s="96"/>
      <c r="N213" s="96"/>
      <c r="O213" s="97"/>
      <c r="P213" s="89"/>
      <c r="Q213" s="89"/>
      <c r="R213" s="89"/>
      <c r="S213" s="89"/>
      <c r="T213" s="90"/>
      <c r="U213" s="90"/>
    </row>
    <row r="214" spans="3:21" ht="14.1" customHeight="1">
      <c r="C214" s="91"/>
      <c r="D214" s="92"/>
      <c r="E214" s="262"/>
      <c r="F214" s="93"/>
      <c r="G214" s="93"/>
      <c r="J214" s="94"/>
      <c r="K214" s="95"/>
      <c r="L214" s="96"/>
      <c r="M214" s="96"/>
      <c r="N214" s="96"/>
      <c r="O214" s="97"/>
      <c r="P214" s="89"/>
      <c r="Q214" s="89"/>
      <c r="R214" s="89"/>
      <c r="S214" s="89"/>
      <c r="T214" s="90"/>
      <c r="U214" s="90"/>
    </row>
    <row r="215" spans="3:21" ht="14.1" customHeight="1">
      <c r="C215" s="91"/>
      <c r="D215" s="92"/>
      <c r="E215" s="262"/>
      <c r="F215" s="93"/>
      <c r="G215" s="93"/>
      <c r="J215" s="94"/>
      <c r="K215" s="95"/>
      <c r="L215" s="96"/>
      <c r="M215" s="96"/>
      <c r="N215" s="96"/>
      <c r="O215" s="97"/>
      <c r="P215" s="89"/>
      <c r="Q215" s="89"/>
      <c r="R215" s="89"/>
      <c r="S215" s="89"/>
      <c r="T215" s="90"/>
      <c r="U215" s="90"/>
    </row>
    <row r="216" spans="3:21" ht="14.1" customHeight="1">
      <c r="C216" s="91"/>
      <c r="D216" s="92"/>
      <c r="E216" s="262"/>
      <c r="F216" s="93"/>
      <c r="G216" s="93"/>
      <c r="J216" s="94"/>
      <c r="K216" s="95"/>
      <c r="L216" s="96"/>
      <c r="M216" s="96"/>
      <c r="N216" s="96"/>
      <c r="O216" s="97"/>
      <c r="P216" s="89"/>
      <c r="Q216" s="89"/>
      <c r="R216" s="89"/>
      <c r="S216" s="89"/>
      <c r="T216" s="90"/>
      <c r="U216" s="90"/>
    </row>
    <row r="217" spans="3:21" ht="14.1" customHeight="1">
      <c r="C217" s="91"/>
      <c r="D217" s="92"/>
      <c r="E217" s="262"/>
      <c r="F217" s="93"/>
      <c r="G217" s="93"/>
      <c r="J217" s="94"/>
      <c r="K217" s="95"/>
      <c r="L217" s="96"/>
      <c r="M217" s="96"/>
      <c r="N217" s="96"/>
      <c r="O217" s="97"/>
      <c r="P217" s="89"/>
      <c r="Q217" s="89"/>
      <c r="R217" s="89"/>
      <c r="S217" s="89"/>
      <c r="T217" s="90"/>
      <c r="U217" s="90"/>
    </row>
    <row r="218" spans="3:21" ht="14.1" customHeight="1">
      <c r="C218" s="91"/>
      <c r="D218" s="92"/>
      <c r="E218" s="262"/>
      <c r="F218" s="93"/>
      <c r="G218" s="93"/>
      <c r="J218" s="94"/>
      <c r="K218" s="95"/>
      <c r="L218" s="96"/>
      <c r="M218" s="96"/>
      <c r="N218" s="96"/>
      <c r="O218" s="97"/>
      <c r="P218" s="89"/>
      <c r="Q218" s="89"/>
      <c r="R218" s="89"/>
      <c r="S218" s="89"/>
      <c r="T218" s="90"/>
      <c r="U218" s="90"/>
    </row>
    <row r="219" spans="3:21" ht="14.1" customHeight="1">
      <c r="C219" s="91"/>
      <c r="D219" s="92"/>
      <c r="E219" s="262"/>
      <c r="F219" s="93"/>
      <c r="G219" s="93"/>
      <c r="J219" s="94"/>
      <c r="K219" s="95"/>
      <c r="L219" s="96"/>
      <c r="M219" s="96"/>
      <c r="N219" s="96"/>
      <c r="O219" s="97"/>
      <c r="P219" s="89"/>
      <c r="Q219" s="89"/>
      <c r="R219" s="89"/>
      <c r="S219" s="89"/>
      <c r="T219" s="90"/>
      <c r="U219" s="90"/>
    </row>
    <row r="220" spans="3:21" ht="14.1" customHeight="1">
      <c r="C220" s="91"/>
      <c r="D220" s="92"/>
      <c r="E220" s="262"/>
      <c r="F220" s="93"/>
      <c r="G220" s="93"/>
      <c r="J220" s="94"/>
      <c r="K220" s="95"/>
      <c r="L220" s="96"/>
      <c r="M220" s="96"/>
      <c r="N220" s="96"/>
      <c r="O220" s="97"/>
      <c r="P220" s="89"/>
      <c r="Q220" s="89"/>
      <c r="R220" s="89"/>
      <c r="S220" s="89"/>
      <c r="T220" s="90"/>
      <c r="U220" s="90"/>
    </row>
    <row r="221" spans="3:21" ht="14.1" customHeight="1">
      <c r="C221" s="91"/>
      <c r="D221" s="92"/>
      <c r="E221" s="262"/>
      <c r="F221" s="93"/>
      <c r="G221" s="93"/>
      <c r="J221" s="94"/>
      <c r="K221" s="95"/>
      <c r="L221" s="96"/>
      <c r="M221" s="96"/>
      <c r="N221" s="96"/>
      <c r="O221" s="97"/>
      <c r="P221" s="89"/>
      <c r="Q221" s="89"/>
      <c r="R221" s="89"/>
      <c r="S221" s="89"/>
      <c r="T221" s="90"/>
      <c r="U221" s="90"/>
    </row>
    <row r="222" spans="3:21" ht="14.1" customHeight="1">
      <c r="C222" s="91"/>
      <c r="D222" s="92"/>
      <c r="E222" s="262"/>
      <c r="F222" s="93"/>
      <c r="G222" s="93"/>
      <c r="J222" s="94"/>
      <c r="K222" s="95"/>
      <c r="L222" s="96"/>
      <c r="M222" s="96"/>
      <c r="N222" s="96"/>
      <c r="O222" s="97"/>
      <c r="P222" s="89"/>
      <c r="Q222" s="89"/>
      <c r="R222" s="89"/>
      <c r="S222" s="89"/>
      <c r="T222" s="90"/>
      <c r="U222" s="90"/>
    </row>
    <row r="223" spans="3:21" ht="14.1" customHeight="1">
      <c r="C223" s="91"/>
      <c r="D223" s="92"/>
      <c r="E223" s="262"/>
      <c r="F223" s="93"/>
      <c r="G223" s="93"/>
      <c r="J223" s="94"/>
      <c r="K223" s="95"/>
      <c r="L223" s="96"/>
      <c r="M223" s="96"/>
      <c r="N223" s="96"/>
      <c r="O223" s="97"/>
      <c r="P223" s="89"/>
      <c r="Q223" s="89"/>
      <c r="R223" s="89"/>
      <c r="S223" s="89"/>
      <c r="T223" s="90"/>
      <c r="U223" s="90"/>
    </row>
    <row r="224" spans="3:21" ht="14.1" customHeight="1">
      <c r="C224" s="91"/>
      <c r="D224" s="92"/>
      <c r="E224" s="262"/>
      <c r="F224" s="93"/>
      <c r="G224" s="93"/>
      <c r="J224" s="94"/>
      <c r="K224" s="95"/>
      <c r="L224" s="96"/>
      <c r="M224" s="96"/>
      <c r="N224" s="96"/>
      <c r="O224" s="97"/>
      <c r="P224" s="89"/>
      <c r="Q224" s="89"/>
      <c r="R224" s="89"/>
      <c r="S224" s="89"/>
      <c r="T224" s="90"/>
      <c r="U224" s="90"/>
    </row>
    <row r="225" spans="3:21" ht="14.1" customHeight="1">
      <c r="C225" s="91"/>
      <c r="D225" s="92"/>
      <c r="E225" s="262"/>
      <c r="F225" s="93"/>
      <c r="G225" s="93"/>
      <c r="J225" s="94"/>
      <c r="K225" s="95"/>
      <c r="L225" s="96"/>
      <c r="M225" s="96"/>
      <c r="N225" s="96"/>
      <c r="O225" s="97"/>
      <c r="P225" s="89"/>
      <c r="Q225" s="89"/>
      <c r="R225" s="89"/>
      <c r="S225" s="89"/>
      <c r="T225" s="90"/>
      <c r="U225" s="90"/>
    </row>
    <row r="226" spans="3:21" ht="14.1" customHeight="1">
      <c r="C226" s="91"/>
      <c r="D226" s="92"/>
      <c r="E226" s="262"/>
      <c r="F226" s="93"/>
      <c r="G226" s="93"/>
      <c r="J226" s="94"/>
      <c r="K226" s="95"/>
      <c r="L226" s="96"/>
      <c r="M226" s="96"/>
      <c r="N226" s="96"/>
      <c r="O226" s="97"/>
      <c r="P226" s="89"/>
      <c r="Q226" s="89"/>
      <c r="R226" s="89"/>
      <c r="S226" s="89"/>
      <c r="T226" s="90"/>
      <c r="U226" s="90"/>
    </row>
    <row r="227" spans="3:21" ht="14.1" customHeight="1">
      <c r="C227" s="91"/>
      <c r="D227" s="92"/>
      <c r="E227" s="262"/>
      <c r="F227" s="93"/>
      <c r="G227" s="93"/>
      <c r="J227" s="94"/>
      <c r="K227" s="95"/>
      <c r="L227" s="96"/>
      <c r="M227" s="96"/>
      <c r="N227" s="96"/>
      <c r="O227" s="97"/>
      <c r="P227" s="89"/>
      <c r="Q227" s="89"/>
      <c r="R227" s="89"/>
      <c r="S227" s="89"/>
      <c r="T227" s="90"/>
      <c r="U227" s="90"/>
    </row>
    <row r="228" spans="3:21" ht="14.1" customHeight="1">
      <c r="C228" s="91"/>
      <c r="D228" s="92"/>
      <c r="E228" s="262"/>
      <c r="F228" s="93"/>
      <c r="G228" s="93"/>
      <c r="J228" s="94"/>
      <c r="K228" s="95"/>
      <c r="L228" s="96"/>
      <c r="M228" s="96"/>
      <c r="N228" s="96"/>
      <c r="O228" s="97"/>
      <c r="P228" s="89"/>
      <c r="Q228" s="89"/>
      <c r="R228" s="89"/>
      <c r="S228" s="89"/>
      <c r="T228" s="90"/>
      <c r="U228" s="90"/>
    </row>
    <row r="229" spans="3:21" ht="14.1" customHeight="1">
      <c r="C229" s="91"/>
      <c r="D229" s="92"/>
      <c r="E229" s="262"/>
      <c r="F229" s="93"/>
      <c r="G229" s="93"/>
      <c r="J229" s="94"/>
      <c r="K229" s="95"/>
      <c r="L229" s="96"/>
      <c r="M229" s="96"/>
      <c r="N229" s="96"/>
      <c r="O229" s="97"/>
      <c r="P229" s="89"/>
      <c r="Q229" s="89"/>
      <c r="R229" s="89"/>
      <c r="S229" s="89"/>
      <c r="T229" s="90"/>
      <c r="U229" s="90"/>
    </row>
    <row r="230" spans="3:21" ht="14.1" customHeight="1">
      <c r="C230" s="91"/>
      <c r="D230" s="92"/>
      <c r="E230" s="262"/>
      <c r="F230" s="93"/>
      <c r="G230" s="93"/>
      <c r="J230" s="94"/>
      <c r="K230" s="95"/>
      <c r="L230" s="96"/>
      <c r="M230" s="96"/>
      <c r="N230" s="96"/>
      <c r="O230" s="97"/>
      <c r="P230" s="89"/>
      <c r="Q230" s="89"/>
      <c r="R230" s="89"/>
      <c r="S230" s="89"/>
      <c r="T230" s="90"/>
      <c r="U230" s="90"/>
    </row>
    <row r="231" spans="3:21" ht="14.1" customHeight="1">
      <c r="C231" s="91"/>
      <c r="D231" s="92"/>
      <c r="E231" s="262"/>
      <c r="F231" s="93"/>
      <c r="G231" s="93"/>
      <c r="J231" s="94"/>
      <c r="K231" s="95"/>
      <c r="L231" s="96"/>
      <c r="M231" s="96"/>
      <c r="N231" s="96"/>
      <c r="O231" s="97"/>
      <c r="P231" s="89"/>
      <c r="Q231" s="89"/>
      <c r="R231" s="89"/>
      <c r="S231" s="89"/>
      <c r="T231" s="90"/>
      <c r="U231" s="90"/>
    </row>
    <row r="232" spans="3:21" ht="14.1" customHeight="1">
      <c r="C232" s="91"/>
      <c r="D232" s="92"/>
      <c r="E232" s="262"/>
      <c r="F232" s="93"/>
      <c r="G232" s="93"/>
      <c r="J232" s="94"/>
      <c r="K232" s="95"/>
      <c r="L232" s="96"/>
      <c r="M232" s="96"/>
      <c r="N232" s="96"/>
      <c r="O232" s="97"/>
      <c r="P232" s="89"/>
      <c r="Q232" s="89"/>
      <c r="R232" s="89"/>
      <c r="S232" s="89"/>
      <c r="T232" s="90"/>
      <c r="U232" s="90"/>
    </row>
    <row r="233" spans="3:21" ht="14.1" customHeight="1">
      <c r="C233" s="91"/>
      <c r="D233" s="92"/>
      <c r="E233" s="262"/>
      <c r="F233" s="93"/>
      <c r="G233" s="93"/>
      <c r="J233" s="94"/>
      <c r="K233" s="95"/>
      <c r="L233" s="96"/>
      <c r="M233" s="96"/>
      <c r="N233" s="96"/>
      <c r="O233" s="97"/>
      <c r="P233" s="89"/>
      <c r="Q233" s="89"/>
      <c r="R233" s="89"/>
      <c r="S233" s="89"/>
      <c r="T233" s="90"/>
      <c r="U233" s="90"/>
    </row>
    <row r="234" spans="3:21" ht="14.1" customHeight="1">
      <c r="C234" s="91"/>
      <c r="D234" s="92"/>
      <c r="E234" s="262"/>
      <c r="F234" s="93"/>
      <c r="G234" s="93"/>
      <c r="J234" s="94"/>
      <c r="K234" s="95"/>
      <c r="L234" s="96"/>
      <c r="M234" s="96"/>
      <c r="N234" s="96"/>
      <c r="O234" s="97"/>
      <c r="P234" s="89"/>
      <c r="Q234" s="89"/>
      <c r="R234" s="89"/>
      <c r="S234" s="89"/>
      <c r="T234" s="90"/>
      <c r="U234" s="90"/>
    </row>
    <row r="235" spans="3:21" ht="14.1" customHeight="1">
      <c r="C235" s="91"/>
      <c r="D235" s="92"/>
      <c r="E235" s="262"/>
      <c r="F235" s="93"/>
      <c r="G235" s="93"/>
      <c r="J235" s="94"/>
      <c r="K235" s="95"/>
      <c r="L235" s="96"/>
      <c r="M235" s="96"/>
      <c r="N235" s="96"/>
      <c r="O235" s="97"/>
      <c r="P235" s="89"/>
      <c r="Q235" s="89"/>
      <c r="R235" s="89"/>
      <c r="S235" s="89"/>
      <c r="T235" s="90"/>
      <c r="U235" s="90"/>
    </row>
    <row r="236" spans="3:21" ht="14.1" customHeight="1">
      <c r="C236" s="91"/>
      <c r="D236" s="92"/>
      <c r="E236" s="262"/>
      <c r="F236" s="93"/>
      <c r="G236" s="93"/>
      <c r="J236" s="94"/>
      <c r="K236" s="95"/>
      <c r="L236" s="96"/>
      <c r="M236" s="96"/>
      <c r="N236" s="96"/>
      <c r="O236" s="97"/>
      <c r="P236" s="89"/>
      <c r="Q236" s="89"/>
      <c r="R236" s="89"/>
      <c r="S236" s="89"/>
      <c r="T236" s="90"/>
      <c r="U236" s="90"/>
    </row>
    <row r="237" spans="3:21" ht="14.1" customHeight="1">
      <c r="C237" s="91"/>
      <c r="D237" s="92"/>
      <c r="E237" s="262"/>
      <c r="F237" s="93"/>
      <c r="G237" s="93"/>
      <c r="J237" s="94"/>
      <c r="K237" s="95"/>
      <c r="L237" s="96"/>
      <c r="M237" s="96"/>
      <c r="N237" s="96"/>
      <c r="O237" s="97"/>
      <c r="P237" s="89"/>
      <c r="Q237" s="89"/>
      <c r="R237" s="89"/>
      <c r="S237" s="89"/>
      <c r="T237" s="90"/>
      <c r="U237" s="90"/>
    </row>
    <row r="238" spans="3:21" ht="14.1" customHeight="1">
      <c r="C238" s="91"/>
      <c r="D238" s="92"/>
      <c r="E238" s="262"/>
      <c r="F238" s="93"/>
      <c r="G238" s="93"/>
      <c r="J238" s="94"/>
      <c r="K238" s="95"/>
      <c r="L238" s="96"/>
      <c r="M238" s="96"/>
      <c r="N238" s="96"/>
      <c r="O238" s="97"/>
      <c r="P238" s="89"/>
      <c r="Q238" s="89"/>
      <c r="R238" s="89"/>
      <c r="S238" s="89"/>
      <c r="T238" s="90"/>
      <c r="U238" s="90"/>
    </row>
    <row r="239" spans="3:21" ht="14.1" customHeight="1">
      <c r="C239" s="91"/>
      <c r="D239" s="92"/>
      <c r="E239" s="262"/>
      <c r="F239" s="93"/>
      <c r="G239" s="93"/>
      <c r="J239" s="94"/>
      <c r="K239" s="95"/>
      <c r="L239" s="96"/>
      <c r="M239" s="96"/>
      <c r="N239" s="96"/>
      <c r="O239" s="97"/>
      <c r="P239" s="89"/>
      <c r="Q239" s="89"/>
      <c r="R239" s="89"/>
      <c r="S239" s="89"/>
      <c r="T239" s="90"/>
      <c r="U239" s="90"/>
    </row>
    <row r="240" spans="3:21" ht="14.1" customHeight="1">
      <c r="C240" s="91"/>
      <c r="D240" s="92"/>
      <c r="E240" s="262"/>
      <c r="F240" s="93"/>
      <c r="G240" s="93"/>
      <c r="J240" s="94"/>
      <c r="K240" s="95"/>
      <c r="L240" s="96"/>
      <c r="M240" s="96"/>
      <c r="N240" s="96"/>
      <c r="O240" s="97"/>
      <c r="P240" s="89"/>
      <c r="Q240" s="89"/>
      <c r="R240" s="89"/>
      <c r="S240" s="89"/>
      <c r="T240" s="90"/>
      <c r="U240" s="90"/>
    </row>
    <row r="241" spans="3:21" ht="14.1" customHeight="1">
      <c r="C241" s="91"/>
      <c r="D241" s="92"/>
      <c r="E241" s="262"/>
      <c r="F241" s="93"/>
      <c r="G241" s="93"/>
      <c r="J241" s="94"/>
      <c r="K241" s="95"/>
      <c r="L241" s="96"/>
      <c r="M241" s="96"/>
      <c r="N241" s="96"/>
      <c r="O241" s="97"/>
      <c r="P241" s="89"/>
      <c r="Q241" s="89"/>
      <c r="R241" s="89"/>
      <c r="S241" s="89"/>
      <c r="T241" s="90"/>
      <c r="U241" s="90"/>
    </row>
    <row r="242" spans="3:21" ht="14.1" customHeight="1">
      <c r="C242" s="91"/>
      <c r="D242" s="92"/>
      <c r="E242" s="262"/>
      <c r="F242" s="93"/>
      <c r="G242" s="93"/>
      <c r="J242" s="94"/>
      <c r="K242" s="95"/>
      <c r="L242" s="96"/>
      <c r="M242" s="96"/>
      <c r="N242" s="96"/>
      <c r="O242" s="97"/>
      <c r="P242" s="89"/>
      <c r="Q242" s="89"/>
      <c r="R242" s="89"/>
      <c r="S242" s="89"/>
      <c r="T242" s="90"/>
      <c r="U242" s="90"/>
    </row>
    <row r="243" spans="3:21" ht="14.1" customHeight="1">
      <c r="C243" s="91"/>
      <c r="D243" s="92"/>
      <c r="E243" s="262"/>
      <c r="F243" s="93"/>
      <c r="G243" s="93"/>
      <c r="J243" s="94"/>
      <c r="K243" s="95"/>
      <c r="L243" s="96"/>
      <c r="M243" s="96"/>
      <c r="N243" s="96"/>
      <c r="O243" s="97"/>
      <c r="P243" s="89"/>
      <c r="Q243" s="89"/>
      <c r="R243" s="89"/>
      <c r="S243" s="89"/>
      <c r="T243" s="90"/>
      <c r="U243" s="90"/>
    </row>
    <row r="244" spans="3:21" ht="14.1" customHeight="1">
      <c r="C244" s="91"/>
      <c r="D244" s="92"/>
      <c r="E244" s="262"/>
      <c r="F244" s="93"/>
      <c r="G244" s="93"/>
      <c r="J244" s="94"/>
      <c r="K244" s="95"/>
      <c r="L244" s="96"/>
      <c r="M244" s="96"/>
      <c r="N244" s="96"/>
      <c r="O244" s="97"/>
      <c r="P244" s="89"/>
      <c r="Q244" s="89"/>
      <c r="R244" s="89"/>
      <c r="S244" s="89"/>
      <c r="T244" s="90"/>
      <c r="U244" s="90"/>
    </row>
    <row r="245" spans="3:21" ht="14.1" customHeight="1">
      <c r="C245" s="91"/>
      <c r="D245" s="92"/>
      <c r="E245" s="262"/>
      <c r="F245" s="93"/>
      <c r="G245" s="93"/>
      <c r="J245" s="94"/>
      <c r="K245" s="95"/>
      <c r="L245" s="96"/>
      <c r="M245" s="96"/>
      <c r="N245" s="96"/>
      <c r="O245" s="97"/>
      <c r="P245" s="89"/>
      <c r="Q245" s="89"/>
      <c r="R245" s="89"/>
      <c r="S245" s="89"/>
      <c r="T245" s="90"/>
      <c r="U245" s="90"/>
    </row>
    <row r="246" spans="3:21" ht="14.1" customHeight="1">
      <c r="C246" s="91"/>
      <c r="D246" s="92"/>
      <c r="E246" s="262"/>
      <c r="F246" s="93"/>
      <c r="G246" s="93"/>
      <c r="J246" s="94"/>
      <c r="K246" s="95"/>
      <c r="L246" s="96"/>
      <c r="M246" s="96"/>
      <c r="N246" s="96"/>
      <c r="O246" s="97"/>
      <c r="P246" s="89"/>
      <c r="Q246" s="89"/>
      <c r="R246" s="89"/>
      <c r="S246" s="89"/>
      <c r="T246" s="90"/>
      <c r="U246" s="90"/>
    </row>
    <row r="247" spans="3:21" ht="14.1" customHeight="1">
      <c r="C247" s="91"/>
      <c r="D247" s="92"/>
      <c r="E247" s="262"/>
      <c r="F247" s="93"/>
      <c r="G247" s="93"/>
      <c r="J247" s="94"/>
      <c r="K247" s="95"/>
      <c r="L247" s="96"/>
      <c r="M247" s="96"/>
      <c r="N247" s="96"/>
      <c r="O247" s="97"/>
      <c r="P247" s="89"/>
      <c r="Q247" s="89"/>
      <c r="R247" s="89"/>
      <c r="S247" s="89"/>
      <c r="T247" s="90"/>
      <c r="U247" s="90"/>
    </row>
    <row r="248" spans="3:21" ht="14.1" customHeight="1">
      <c r="C248" s="91"/>
      <c r="D248" s="92"/>
      <c r="E248" s="262"/>
      <c r="F248" s="93"/>
      <c r="G248" s="93"/>
      <c r="J248" s="94"/>
      <c r="K248" s="95"/>
      <c r="L248" s="96"/>
      <c r="M248" s="96"/>
      <c r="N248" s="96"/>
      <c r="O248" s="97"/>
      <c r="P248" s="89"/>
      <c r="Q248" s="89"/>
      <c r="R248" s="89"/>
      <c r="S248" s="89"/>
      <c r="T248" s="90"/>
      <c r="U248" s="90"/>
    </row>
    <row r="249" spans="3:21" ht="14.1" customHeight="1">
      <c r="C249" s="91"/>
      <c r="D249" s="92"/>
      <c r="E249" s="262"/>
      <c r="F249" s="93"/>
      <c r="G249" s="93"/>
      <c r="J249" s="94"/>
      <c r="K249" s="95"/>
      <c r="L249" s="96"/>
      <c r="M249" s="96"/>
      <c r="N249" s="96"/>
      <c r="O249" s="97"/>
      <c r="P249" s="89"/>
      <c r="Q249" s="89"/>
      <c r="R249" s="89"/>
      <c r="S249" s="89"/>
      <c r="T249" s="90"/>
      <c r="U249" s="90"/>
    </row>
    <row r="250" spans="3:21" ht="14.1" customHeight="1">
      <c r="C250" s="91"/>
      <c r="D250" s="92"/>
      <c r="E250" s="262"/>
      <c r="F250" s="93"/>
      <c r="G250" s="93"/>
      <c r="J250" s="94"/>
      <c r="K250" s="95"/>
      <c r="L250" s="96"/>
      <c r="M250" s="96"/>
      <c r="N250" s="96"/>
      <c r="O250" s="97"/>
      <c r="P250" s="89"/>
      <c r="Q250" s="89"/>
      <c r="R250" s="89"/>
      <c r="S250" s="89"/>
      <c r="T250" s="90"/>
      <c r="U250" s="90"/>
    </row>
    <row r="251" spans="3:21" ht="14.1" customHeight="1">
      <c r="C251" s="91"/>
      <c r="D251" s="92"/>
      <c r="E251" s="262"/>
      <c r="F251" s="93"/>
      <c r="G251" s="93"/>
      <c r="J251" s="94"/>
      <c r="K251" s="95"/>
      <c r="L251" s="96"/>
      <c r="M251" s="96"/>
      <c r="N251" s="96"/>
      <c r="O251" s="97"/>
      <c r="P251" s="89"/>
      <c r="Q251" s="89"/>
      <c r="R251" s="89"/>
      <c r="S251" s="89"/>
      <c r="T251" s="90"/>
      <c r="U251" s="90"/>
    </row>
    <row r="252" spans="3:21" ht="14.1" customHeight="1">
      <c r="C252" s="91"/>
      <c r="D252" s="92"/>
      <c r="E252" s="262"/>
      <c r="F252" s="93"/>
      <c r="G252" s="93"/>
      <c r="J252" s="94"/>
      <c r="K252" s="95"/>
      <c r="L252" s="96"/>
      <c r="M252" s="96"/>
      <c r="N252" s="96"/>
      <c r="O252" s="97"/>
      <c r="P252" s="89"/>
      <c r="Q252" s="89"/>
      <c r="R252" s="89"/>
      <c r="S252" s="89"/>
      <c r="T252" s="90"/>
      <c r="U252" s="90"/>
    </row>
    <row r="253" spans="3:21" ht="14.1" customHeight="1">
      <c r="C253" s="91"/>
      <c r="D253" s="92"/>
      <c r="E253" s="262"/>
      <c r="F253" s="93"/>
      <c r="G253" s="93"/>
      <c r="J253" s="94"/>
      <c r="K253" s="95"/>
      <c r="L253" s="96"/>
      <c r="M253" s="96"/>
      <c r="N253" s="96"/>
      <c r="O253" s="97"/>
      <c r="P253" s="89"/>
      <c r="Q253" s="89"/>
      <c r="R253" s="89"/>
      <c r="S253" s="89"/>
      <c r="T253" s="90"/>
      <c r="U253" s="90"/>
    </row>
    <row r="254" spans="3:21" ht="14.1" customHeight="1">
      <c r="C254" s="91"/>
      <c r="D254" s="92"/>
      <c r="E254" s="262"/>
      <c r="F254" s="93"/>
      <c r="G254" s="93"/>
      <c r="J254" s="94"/>
      <c r="K254" s="95"/>
      <c r="L254" s="96"/>
      <c r="M254" s="96"/>
      <c r="N254" s="96"/>
      <c r="O254" s="97"/>
      <c r="P254" s="89"/>
      <c r="Q254" s="89"/>
      <c r="R254" s="89"/>
      <c r="S254" s="89"/>
      <c r="T254" s="90"/>
      <c r="U254" s="90"/>
    </row>
    <row r="255" spans="3:21" ht="14.1" customHeight="1">
      <c r="C255" s="91"/>
      <c r="D255" s="92"/>
      <c r="E255" s="262"/>
      <c r="F255" s="93"/>
      <c r="G255" s="93"/>
      <c r="J255" s="94"/>
      <c r="K255" s="95"/>
      <c r="L255" s="96"/>
      <c r="M255" s="96"/>
      <c r="N255" s="96"/>
      <c r="O255" s="97"/>
      <c r="P255" s="89"/>
      <c r="Q255" s="89"/>
      <c r="R255" s="89"/>
      <c r="S255" s="89"/>
      <c r="T255" s="90"/>
      <c r="U255" s="90"/>
    </row>
    <row r="256" spans="3:21" ht="14.1" customHeight="1">
      <c r="C256" s="91"/>
      <c r="D256" s="92"/>
      <c r="E256" s="262"/>
      <c r="F256" s="93"/>
      <c r="G256" s="93"/>
      <c r="J256" s="94"/>
      <c r="K256" s="95"/>
      <c r="L256" s="96"/>
      <c r="M256" s="96"/>
      <c r="N256" s="96"/>
      <c r="O256" s="97"/>
      <c r="P256" s="89"/>
      <c r="Q256" s="89"/>
      <c r="R256" s="89"/>
      <c r="S256" s="89"/>
      <c r="T256" s="90"/>
      <c r="U256" s="90"/>
    </row>
    <row r="257" spans="3:21" ht="14.1" customHeight="1">
      <c r="C257" s="91"/>
      <c r="D257" s="92"/>
      <c r="E257" s="262"/>
      <c r="F257" s="93"/>
      <c r="G257" s="93"/>
      <c r="J257" s="94"/>
      <c r="K257" s="95"/>
      <c r="L257" s="96"/>
      <c r="M257" s="96"/>
      <c r="N257" s="96"/>
      <c r="O257" s="97"/>
      <c r="P257" s="89"/>
      <c r="Q257" s="89"/>
      <c r="R257" s="89"/>
      <c r="S257" s="89"/>
      <c r="T257" s="90"/>
      <c r="U257" s="90"/>
    </row>
    <row r="258" spans="3:21" ht="14.1" customHeight="1">
      <c r="C258" s="91"/>
      <c r="D258" s="92"/>
      <c r="E258" s="262"/>
      <c r="F258" s="93"/>
      <c r="G258" s="93"/>
      <c r="J258" s="94"/>
      <c r="K258" s="95"/>
      <c r="L258" s="96"/>
      <c r="M258" s="96"/>
      <c r="N258" s="96"/>
      <c r="O258" s="97"/>
      <c r="P258" s="89"/>
      <c r="Q258" s="89"/>
      <c r="R258" s="89"/>
      <c r="S258" s="89"/>
      <c r="T258" s="90"/>
      <c r="U258" s="90"/>
    </row>
    <row r="259" spans="3:21" ht="14.1" customHeight="1">
      <c r="C259" s="91"/>
      <c r="D259" s="92"/>
      <c r="E259" s="262"/>
      <c r="F259" s="93"/>
      <c r="G259" s="93"/>
      <c r="J259" s="94"/>
      <c r="K259" s="95"/>
      <c r="L259" s="96"/>
      <c r="M259" s="96"/>
      <c r="N259" s="96"/>
      <c r="O259" s="97"/>
      <c r="P259" s="89"/>
      <c r="Q259" s="89"/>
      <c r="R259" s="89"/>
      <c r="S259" s="89"/>
      <c r="T259" s="90"/>
      <c r="U259" s="90"/>
    </row>
    <row r="260" spans="3:21" ht="14.1" customHeight="1">
      <c r="C260" s="91"/>
      <c r="D260" s="92"/>
      <c r="E260" s="262"/>
      <c r="F260" s="93"/>
      <c r="G260" s="93"/>
      <c r="J260" s="94"/>
      <c r="K260" s="95"/>
      <c r="L260" s="96"/>
      <c r="M260" s="96"/>
      <c r="N260" s="96"/>
      <c r="O260" s="97"/>
      <c r="P260" s="89"/>
      <c r="Q260" s="89"/>
      <c r="R260" s="89"/>
      <c r="S260" s="89"/>
      <c r="T260" s="90"/>
      <c r="U260" s="90"/>
    </row>
    <row r="261" spans="3:21" ht="14.1" customHeight="1">
      <c r="C261" s="91"/>
      <c r="D261" s="92"/>
      <c r="E261" s="262"/>
      <c r="F261" s="93"/>
      <c r="G261" s="93"/>
      <c r="J261" s="94"/>
      <c r="K261" s="95"/>
      <c r="L261" s="96"/>
      <c r="M261" s="96"/>
      <c r="N261" s="96"/>
      <c r="O261" s="97"/>
      <c r="P261" s="89"/>
      <c r="Q261" s="89"/>
      <c r="R261" s="89"/>
      <c r="S261" s="89"/>
      <c r="T261" s="90"/>
      <c r="U261" s="90"/>
    </row>
    <row r="262" spans="3:21" ht="14.1" customHeight="1">
      <c r="C262" s="91"/>
      <c r="D262" s="92"/>
      <c r="E262" s="262"/>
      <c r="F262" s="93"/>
      <c r="G262" s="93"/>
      <c r="J262" s="94"/>
      <c r="K262" s="95"/>
      <c r="L262" s="96"/>
      <c r="M262" s="96"/>
      <c r="N262" s="96"/>
      <c r="O262" s="97"/>
      <c r="P262" s="89"/>
      <c r="Q262" s="89"/>
      <c r="R262" s="89"/>
      <c r="S262" s="89"/>
      <c r="T262" s="90"/>
      <c r="U262" s="90"/>
    </row>
    <row r="263" spans="3:21" ht="14.1" customHeight="1">
      <c r="C263" s="91"/>
      <c r="D263" s="92"/>
      <c r="E263" s="262"/>
      <c r="F263" s="93"/>
      <c r="G263" s="93"/>
      <c r="J263" s="94"/>
      <c r="K263" s="95"/>
      <c r="L263" s="96"/>
      <c r="M263" s="96"/>
      <c r="N263" s="96"/>
      <c r="O263" s="97"/>
      <c r="P263" s="89"/>
      <c r="Q263" s="89"/>
      <c r="R263" s="89"/>
      <c r="S263" s="89"/>
      <c r="T263" s="90"/>
      <c r="U263" s="90"/>
    </row>
    <row r="264" spans="3:21" ht="14.1" customHeight="1">
      <c r="C264" s="91"/>
      <c r="D264" s="92"/>
      <c r="E264" s="262"/>
      <c r="F264" s="93"/>
      <c r="G264" s="93"/>
      <c r="J264" s="94"/>
      <c r="K264" s="95"/>
      <c r="L264" s="96"/>
      <c r="M264" s="96"/>
      <c r="N264" s="96"/>
      <c r="O264" s="97"/>
      <c r="P264" s="89"/>
      <c r="Q264" s="89"/>
      <c r="R264" s="89"/>
      <c r="S264" s="89"/>
      <c r="T264" s="90"/>
      <c r="U264" s="90"/>
    </row>
    <row r="265" spans="3:21" ht="14.1" customHeight="1">
      <c r="C265" s="91"/>
      <c r="D265" s="92"/>
      <c r="E265" s="262"/>
      <c r="F265" s="93"/>
      <c r="G265" s="93"/>
      <c r="J265" s="94"/>
      <c r="K265" s="95"/>
      <c r="L265" s="96"/>
      <c r="M265" s="96"/>
      <c r="N265" s="96"/>
      <c r="O265" s="97"/>
      <c r="P265" s="89"/>
      <c r="Q265" s="89"/>
      <c r="R265" s="89"/>
      <c r="S265" s="89"/>
      <c r="T265" s="90"/>
      <c r="U265" s="90"/>
    </row>
    <row r="266" spans="3:21" ht="14.1" customHeight="1">
      <c r="C266" s="91"/>
      <c r="D266" s="92"/>
      <c r="E266" s="262"/>
      <c r="F266" s="93"/>
      <c r="G266" s="93"/>
      <c r="J266" s="94"/>
      <c r="K266" s="95"/>
      <c r="L266" s="96"/>
      <c r="M266" s="96"/>
      <c r="N266" s="96"/>
      <c r="O266" s="97"/>
      <c r="P266" s="89"/>
      <c r="Q266" s="89"/>
      <c r="R266" s="89"/>
      <c r="S266" s="89"/>
      <c r="T266" s="90"/>
      <c r="U266" s="90"/>
    </row>
    <row r="267" spans="3:21" ht="14.1" customHeight="1">
      <c r="C267" s="91"/>
      <c r="D267" s="92"/>
      <c r="E267" s="262"/>
      <c r="F267" s="93"/>
      <c r="G267" s="93"/>
      <c r="J267" s="94"/>
      <c r="K267" s="95"/>
      <c r="L267" s="96"/>
      <c r="M267" s="96"/>
      <c r="N267" s="96"/>
      <c r="O267" s="97"/>
      <c r="P267" s="89"/>
      <c r="Q267" s="89"/>
      <c r="R267" s="89"/>
      <c r="S267" s="89"/>
      <c r="T267" s="90"/>
      <c r="U267" s="90"/>
    </row>
    <row r="268" spans="3:21" ht="14.1" customHeight="1">
      <c r="C268" s="91"/>
      <c r="D268" s="92"/>
      <c r="E268" s="262"/>
      <c r="F268" s="93"/>
      <c r="G268" s="93"/>
      <c r="J268" s="94"/>
      <c r="K268" s="95"/>
      <c r="L268" s="96"/>
      <c r="M268" s="96"/>
      <c r="N268" s="96"/>
      <c r="O268" s="97"/>
      <c r="P268" s="89"/>
      <c r="Q268" s="89"/>
      <c r="R268" s="89"/>
      <c r="S268" s="89"/>
      <c r="T268" s="90"/>
      <c r="U268" s="90"/>
    </row>
    <row r="269" spans="3:21" ht="14.1" customHeight="1">
      <c r="C269" s="91"/>
      <c r="D269" s="92"/>
      <c r="E269" s="262"/>
      <c r="F269" s="93"/>
      <c r="G269" s="93"/>
      <c r="J269" s="94"/>
      <c r="K269" s="95"/>
      <c r="L269" s="96"/>
      <c r="M269" s="96"/>
      <c r="N269" s="96"/>
      <c r="O269" s="97"/>
      <c r="P269" s="89"/>
      <c r="Q269" s="89"/>
      <c r="R269" s="89"/>
      <c r="S269" s="89"/>
      <c r="T269" s="90"/>
      <c r="U269" s="90"/>
    </row>
    <row r="270" spans="3:21" ht="14.1" customHeight="1">
      <c r="C270" s="91"/>
      <c r="D270" s="92"/>
      <c r="E270" s="262"/>
      <c r="F270" s="93"/>
      <c r="G270" s="93"/>
      <c r="J270" s="94"/>
      <c r="K270" s="95"/>
      <c r="L270" s="96"/>
      <c r="M270" s="96"/>
      <c r="N270" s="96"/>
      <c r="O270" s="97"/>
      <c r="P270" s="89"/>
      <c r="Q270" s="89"/>
      <c r="R270" s="89"/>
      <c r="S270" s="89"/>
      <c r="T270" s="90"/>
      <c r="U270" s="90"/>
    </row>
    <row r="271" spans="3:21" ht="14.1" customHeight="1">
      <c r="C271" s="91"/>
      <c r="D271" s="92"/>
      <c r="E271" s="262"/>
      <c r="F271" s="93"/>
      <c r="G271" s="93"/>
      <c r="J271" s="94"/>
      <c r="K271" s="95"/>
      <c r="L271" s="96"/>
      <c r="M271" s="96"/>
      <c r="N271" s="96"/>
      <c r="O271" s="97"/>
      <c r="P271" s="89"/>
      <c r="Q271" s="89"/>
      <c r="R271" s="89"/>
      <c r="S271" s="89"/>
      <c r="T271" s="90"/>
      <c r="U271" s="90"/>
    </row>
    <row r="272" spans="3:21" ht="14.1" customHeight="1">
      <c r="C272" s="91"/>
      <c r="D272" s="92"/>
      <c r="E272" s="262"/>
      <c r="F272" s="93"/>
      <c r="G272" s="93"/>
      <c r="J272" s="94"/>
      <c r="K272" s="95"/>
      <c r="L272" s="96"/>
      <c r="M272" s="96"/>
      <c r="N272" s="96"/>
      <c r="O272" s="97"/>
      <c r="P272" s="89"/>
      <c r="Q272" s="89"/>
      <c r="R272" s="89"/>
      <c r="S272" s="89"/>
      <c r="T272" s="90"/>
      <c r="U272" s="90"/>
    </row>
    <row r="273" spans="3:21" ht="14.1" customHeight="1">
      <c r="C273" s="91"/>
      <c r="D273" s="92"/>
      <c r="E273" s="262"/>
      <c r="F273" s="93"/>
      <c r="G273" s="93"/>
      <c r="J273" s="94"/>
      <c r="K273" s="95"/>
      <c r="L273" s="96"/>
      <c r="M273" s="96"/>
      <c r="N273" s="96"/>
      <c r="O273" s="97"/>
      <c r="P273" s="89"/>
      <c r="Q273" s="89"/>
      <c r="R273" s="89"/>
      <c r="S273" s="89"/>
      <c r="T273" s="90"/>
      <c r="U273" s="90"/>
    </row>
    <row r="274" spans="3:21" ht="14.1" customHeight="1">
      <c r="C274" s="91"/>
      <c r="D274" s="92"/>
      <c r="E274" s="262"/>
      <c r="F274" s="93"/>
      <c r="G274" s="93"/>
      <c r="J274" s="94"/>
      <c r="K274" s="95"/>
      <c r="L274" s="96"/>
      <c r="M274" s="96"/>
      <c r="N274" s="96"/>
      <c r="O274" s="97"/>
      <c r="P274" s="89"/>
      <c r="Q274" s="89"/>
      <c r="R274" s="89"/>
      <c r="S274" s="89"/>
      <c r="T274" s="90"/>
      <c r="U274" s="90"/>
    </row>
    <row r="275" spans="3:21" ht="14.1" customHeight="1">
      <c r="C275" s="91"/>
      <c r="D275" s="92"/>
      <c r="E275" s="262"/>
      <c r="F275" s="93"/>
      <c r="G275" s="93"/>
      <c r="J275" s="94"/>
      <c r="K275" s="95"/>
      <c r="L275" s="96"/>
      <c r="M275" s="96"/>
      <c r="N275" s="96"/>
      <c r="O275" s="97"/>
      <c r="P275" s="89"/>
      <c r="Q275" s="89"/>
      <c r="R275" s="89"/>
      <c r="S275" s="89"/>
      <c r="T275" s="90"/>
      <c r="U275" s="90"/>
    </row>
    <row r="276" spans="3:21" ht="14.1" customHeight="1">
      <c r="C276" s="91"/>
      <c r="D276" s="92"/>
      <c r="E276" s="262"/>
      <c r="F276" s="93"/>
      <c r="G276" s="93"/>
      <c r="J276" s="94"/>
      <c r="K276" s="95"/>
      <c r="L276" s="96"/>
      <c r="M276" s="96"/>
      <c r="N276" s="96"/>
      <c r="O276" s="97"/>
      <c r="P276" s="89"/>
      <c r="Q276" s="89"/>
      <c r="R276" s="89"/>
      <c r="S276" s="89"/>
      <c r="T276" s="90"/>
      <c r="U276" s="90"/>
    </row>
    <row r="277" spans="3:21" ht="14.1" customHeight="1">
      <c r="C277" s="91"/>
      <c r="D277" s="92"/>
      <c r="E277" s="262"/>
      <c r="F277" s="93"/>
      <c r="G277" s="93"/>
      <c r="J277" s="94"/>
      <c r="K277" s="95"/>
      <c r="L277" s="96"/>
      <c r="M277" s="96"/>
      <c r="N277" s="96"/>
      <c r="O277" s="97"/>
      <c r="P277" s="89"/>
      <c r="Q277" s="89"/>
      <c r="R277" s="89"/>
      <c r="S277" s="89"/>
      <c r="T277" s="90"/>
      <c r="U277" s="90"/>
    </row>
    <row r="278" spans="3:21" ht="14.1" customHeight="1">
      <c r="C278" s="91"/>
      <c r="D278" s="92"/>
      <c r="E278" s="262"/>
      <c r="F278" s="93"/>
      <c r="G278" s="93"/>
      <c r="J278" s="94"/>
      <c r="K278" s="95"/>
      <c r="L278" s="96"/>
      <c r="M278" s="96"/>
      <c r="N278" s="96"/>
      <c r="O278" s="97"/>
      <c r="P278" s="89"/>
      <c r="Q278" s="89"/>
      <c r="R278" s="89"/>
      <c r="S278" s="89"/>
      <c r="T278" s="90"/>
      <c r="U278" s="90"/>
    </row>
    <row r="279" spans="3:21" ht="14.1" customHeight="1">
      <c r="C279" s="91"/>
      <c r="D279" s="92"/>
      <c r="E279" s="262"/>
      <c r="F279" s="93"/>
      <c r="G279" s="93"/>
      <c r="J279" s="94"/>
      <c r="K279" s="95"/>
      <c r="L279" s="96"/>
      <c r="M279" s="96"/>
      <c r="N279" s="96"/>
      <c r="O279" s="97"/>
      <c r="P279" s="89"/>
      <c r="Q279" s="89"/>
      <c r="R279" s="89"/>
      <c r="S279" s="89"/>
      <c r="T279" s="90"/>
      <c r="U279" s="90"/>
    </row>
    <row r="280" spans="3:21" ht="14.1" customHeight="1">
      <c r="C280" s="91"/>
      <c r="D280" s="92"/>
      <c r="E280" s="262"/>
      <c r="F280" s="93"/>
      <c r="G280" s="93"/>
      <c r="J280" s="94"/>
      <c r="K280" s="95"/>
      <c r="L280" s="96"/>
      <c r="M280" s="96"/>
      <c r="N280" s="96"/>
      <c r="O280" s="97"/>
      <c r="P280" s="89"/>
      <c r="Q280" s="89"/>
      <c r="R280" s="89"/>
      <c r="S280" s="89"/>
      <c r="T280" s="90"/>
      <c r="U280" s="90"/>
    </row>
    <row r="281" spans="3:21" ht="14.1" customHeight="1">
      <c r="C281" s="91"/>
      <c r="D281" s="92"/>
      <c r="E281" s="262"/>
      <c r="F281" s="93"/>
      <c r="G281" s="93"/>
      <c r="J281" s="94"/>
      <c r="K281" s="95"/>
      <c r="L281" s="96"/>
      <c r="M281" s="96"/>
      <c r="N281" s="96"/>
      <c r="O281" s="97"/>
      <c r="P281" s="89"/>
      <c r="Q281" s="89"/>
      <c r="R281" s="89"/>
      <c r="S281" s="89"/>
      <c r="T281" s="90"/>
      <c r="U281" s="90"/>
    </row>
    <row r="282" spans="3:21" ht="14.1" customHeight="1">
      <c r="C282" s="91"/>
      <c r="D282" s="92"/>
      <c r="E282" s="262"/>
      <c r="F282" s="93"/>
      <c r="G282" s="93"/>
      <c r="J282" s="94"/>
      <c r="K282" s="95"/>
      <c r="L282" s="96"/>
      <c r="M282" s="96"/>
      <c r="N282" s="96"/>
      <c r="O282" s="97"/>
      <c r="P282" s="89"/>
      <c r="Q282" s="89"/>
      <c r="R282" s="89"/>
      <c r="S282" s="89"/>
      <c r="T282" s="90"/>
      <c r="U282" s="90"/>
    </row>
    <row r="283" spans="3:21" ht="14.1" customHeight="1">
      <c r="C283" s="91"/>
      <c r="D283" s="92"/>
      <c r="E283" s="262"/>
      <c r="F283" s="93"/>
      <c r="G283" s="93"/>
      <c r="J283" s="94"/>
      <c r="K283" s="95"/>
      <c r="L283" s="96"/>
      <c r="M283" s="96"/>
      <c r="N283" s="96"/>
      <c r="O283" s="97"/>
      <c r="P283" s="89"/>
      <c r="Q283" s="89"/>
      <c r="R283" s="89"/>
      <c r="S283" s="89"/>
      <c r="T283" s="90"/>
      <c r="U283" s="90"/>
    </row>
    <row r="284" spans="3:21" ht="14.1" customHeight="1">
      <c r="C284" s="91"/>
      <c r="D284" s="92"/>
      <c r="E284" s="262"/>
      <c r="F284" s="93"/>
      <c r="G284" s="93"/>
      <c r="J284" s="94"/>
      <c r="K284" s="95"/>
      <c r="L284" s="96"/>
      <c r="M284" s="96"/>
      <c r="N284" s="96"/>
      <c r="O284" s="97"/>
      <c r="P284" s="89"/>
      <c r="Q284" s="89"/>
      <c r="R284" s="89"/>
      <c r="S284" s="89"/>
      <c r="T284" s="90"/>
      <c r="U284" s="90"/>
    </row>
    <row r="285" spans="3:21" ht="14.1" customHeight="1">
      <c r="C285" s="91"/>
      <c r="D285" s="92"/>
      <c r="E285" s="262"/>
      <c r="F285" s="93"/>
      <c r="G285" s="93"/>
      <c r="J285" s="94"/>
      <c r="K285" s="95"/>
      <c r="L285" s="96"/>
      <c r="M285" s="96"/>
      <c r="N285" s="96"/>
      <c r="O285" s="97"/>
      <c r="P285" s="89"/>
      <c r="Q285" s="89"/>
      <c r="R285" s="89"/>
      <c r="S285" s="89"/>
      <c r="T285" s="90"/>
      <c r="U285" s="90"/>
    </row>
    <row r="286" spans="3:21" ht="14.1" customHeight="1">
      <c r="C286" s="91"/>
      <c r="D286" s="92"/>
      <c r="E286" s="262"/>
      <c r="F286" s="93"/>
      <c r="G286" s="93"/>
      <c r="J286" s="94"/>
      <c r="K286" s="95"/>
      <c r="L286" s="96"/>
      <c r="M286" s="96"/>
      <c r="N286" s="96"/>
      <c r="O286" s="97"/>
      <c r="P286" s="89"/>
      <c r="Q286" s="89"/>
      <c r="R286" s="89"/>
      <c r="S286" s="89"/>
      <c r="T286" s="90"/>
      <c r="U286" s="90"/>
    </row>
    <row r="287" spans="3:21" ht="14.1" customHeight="1">
      <c r="C287" s="91"/>
      <c r="D287" s="92"/>
      <c r="E287" s="262"/>
      <c r="F287" s="93"/>
      <c r="G287" s="93"/>
      <c r="J287" s="94"/>
      <c r="K287" s="95"/>
      <c r="L287" s="96"/>
      <c r="M287" s="96"/>
      <c r="N287" s="96"/>
      <c r="O287" s="97"/>
      <c r="P287" s="89"/>
      <c r="Q287" s="89"/>
      <c r="R287" s="89"/>
      <c r="S287" s="89"/>
      <c r="T287" s="90"/>
      <c r="U287" s="90"/>
    </row>
    <row r="288" spans="3:21" ht="14.1" customHeight="1">
      <c r="C288" s="91"/>
      <c r="D288" s="92"/>
      <c r="E288" s="262"/>
      <c r="F288" s="93"/>
      <c r="G288" s="93"/>
      <c r="J288" s="94"/>
      <c r="K288" s="95"/>
      <c r="L288" s="96"/>
      <c r="M288" s="96"/>
      <c r="N288" s="96"/>
      <c r="O288" s="97"/>
      <c r="P288" s="89"/>
      <c r="Q288" s="89"/>
      <c r="R288" s="89"/>
      <c r="S288" s="89"/>
      <c r="T288" s="90"/>
      <c r="U288" s="90"/>
    </row>
    <row r="289" spans="3:21" ht="14.1" customHeight="1">
      <c r="C289" s="91"/>
      <c r="D289" s="92"/>
      <c r="E289" s="262"/>
      <c r="F289" s="93"/>
      <c r="G289" s="93"/>
      <c r="J289" s="94"/>
      <c r="K289" s="95"/>
      <c r="L289" s="96"/>
      <c r="M289" s="96"/>
      <c r="N289" s="96"/>
      <c r="O289" s="97"/>
      <c r="P289" s="89"/>
      <c r="Q289" s="89"/>
      <c r="R289" s="89"/>
      <c r="S289" s="89"/>
      <c r="T289" s="90"/>
      <c r="U289" s="90"/>
    </row>
    <row r="290" spans="3:21" ht="14.1" customHeight="1">
      <c r="C290" s="91"/>
      <c r="D290" s="92"/>
      <c r="E290" s="262"/>
      <c r="F290" s="93"/>
      <c r="G290" s="93"/>
      <c r="J290" s="94"/>
      <c r="K290" s="95"/>
      <c r="L290" s="96"/>
      <c r="M290" s="96"/>
      <c r="N290" s="96"/>
      <c r="O290" s="97"/>
      <c r="P290" s="89"/>
      <c r="Q290" s="89"/>
      <c r="R290" s="89"/>
      <c r="S290" s="89"/>
      <c r="T290" s="90"/>
      <c r="U290" s="90"/>
    </row>
    <row r="291" spans="3:21" ht="14.1" customHeight="1">
      <c r="C291" s="91"/>
      <c r="D291" s="92"/>
      <c r="E291" s="262"/>
      <c r="F291" s="93"/>
      <c r="G291" s="93"/>
      <c r="J291" s="94"/>
      <c r="K291" s="95"/>
      <c r="L291" s="96"/>
      <c r="M291" s="96"/>
      <c r="N291" s="96"/>
      <c r="O291" s="97"/>
      <c r="P291" s="89"/>
      <c r="Q291" s="89"/>
      <c r="R291" s="89"/>
      <c r="S291" s="89"/>
      <c r="T291" s="90"/>
      <c r="U291" s="90"/>
    </row>
    <row r="292" spans="3:21" ht="14.1" customHeight="1">
      <c r="C292" s="91"/>
      <c r="D292" s="92"/>
      <c r="E292" s="262"/>
      <c r="F292" s="93"/>
      <c r="G292" s="93"/>
      <c r="J292" s="94"/>
      <c r="K292" s="95"/>
      <c r="L292" s="96"/>
      <c r="M292" s="96"/>
      <c r="N292" s="96"/>
      <c r="O292" s="97"/>
      <c r="P292" s="89"/>
      <c r="Q292" s="89"/>
      <c r="R292" s="89"/>
      <c r="S292" s="89"/>
      <c r="T292" s="90"/>
      <c r="U292" s="90"/>
    </row>
    <row r="293" spans="3:21" ht="14.1" customHeight="1">
      <c r="C293" s="91"/>
      <c r="D293" s="92"/>
      <c r="E293" s="262"/>
      <c r="F293" s="93"/>
      <c r="G293" s="93"/>
      <c r="J293" s="94"/>
      <c r="K293" s="95"/>
      <c r="L293" s="96"/>
      <c r="M293" s="96"/>
      <c r="N293" s="96"/>
      <c r="O293" s="97"/>
      <c r="P293" s="89"/>
      <c r="Q293" s="89"/>
      <c r="R293" s="89"/>
      <c r="S293" s="89"/>
      <c r="T293" s="90"/>
      <c r="U293" s="90"/>
    </row>
    <row r="294" spans="3:21" ht="14.1" customHeight="1">
      <c r="C294" s="91"/>
      <c r="D294" s="92"/>
      <c r="E294" s="262"/>
      <c r="F294" s="93"/>
      <c r="G294" s="93"/>
      <c r="J294" s="94"/>
      <c r="K294" s="95"/>
      <c r="L294" s="96"/>
      <c r="M294" s="96"/>
      <c r="N294" s="96"/>
      <c r="O294" s="97"/>
      <c r="P294" s="89"/>
      <c r="Q294" s="89"/>
      <c r="R294" s="89"/>
      <c r="S294" s="89"/>
      <c r="T294" s="90"/>
      <c r="U294" s="90"/>
    </row>
    <row r="295" spans="3:21" ht="14.1" customHeight="1">
      <c r="C295" s="91"/>
      <c r="D295" s="92"/>
      <c r="E295" s="262"/>
      <c r="F295" s="93"/>
      <c r="G295" s="93"/>
      <c r="J295" s="94"/>
      <c r="K295" s="95"/>
      <c r="L295" s="96"/>
      <c r="M295" s="96"/>
      <c r="N295" s="96"/>
      <c r="O295" s="97"/>
      <c r="P295" s="89"/>
      <c r="Q295" s="89"/>
      <c r="R295" s="89"/>
      <c r="S295" s="89"/>
      <c r="T295" s="90"/>
      <c r="U295" s="90"/>
    </row>
    <row r="296" spans="3:21" ht="14.1" customHeight="1">
      <c r="C296" s="91"/>
      <c r="D296" s="92"/>
      <c r="E296" s="262"/>
      <c r="F296" s="93"/>
      <c r="G296" s="93"/>
      <c r="J296" s="94"/>
      <c r="K296" s="95"/>
      <c r="L296" s="96"/>
      <c r="M296" s="96"/>
      <c r="N296" s="96"/>
      <c r="O296" s="97"/>
      <c r="P296" s="89"/>
      <c r="Q296" s="89"/>
      <c r="R296" s="89"/>
      <c r="S296" s="89"/>
      <c r="T296" s="90"/>
      <c r="U296" s="90"/>
    </row>
    <row r="297" spans="3:21" ht="14.1" customHeight="1">
      <c r="C297" s="91"/>
      <c r="D297" s="92"/>
      <c r="E297" s="262"/>
      <c r="F297" s="93"/>
      <c r="G297" s="93"/>
      <c r="J297" s="94"/>
      <c r="K297" s="95"/>
      <c r="L297" s="96"/>
      <c r="M297" s="96"/>
      <c r="N297" s="96"/>
      <c r="O297" s="97"/>
      <c r="P297" s="89"/>
      <c r="Q297" s="89"/>
      <c r="R297" s="89"/>
      <c r="S297" s="89"/>
      <c r="T297" s="90"/>
      <c r="U297" s="90"/>
    </row>
    <row r="298" spans="3:21" ht="14.1" customHeight="1">
      <c r="C298" s="91"/>
      <c r="D298" s="92"/>
      <c r="E298" s="262"/>
      <c r="F298" s="93"/>
      <c r="G298" s="93"/>
      <c r="J298" s="94"/>
      <c r="K298" s="95"/>
      <c r="L298" s="96"/>
      <c r="M298" s="96"/>
      <c r="N298" s="96"/>
      <c r="O298" s="97"/>
      <c r="P298" s="89"/>
      <c r="Q298" s="89"/>
      <c r="R298" s="89"/>
      <c r="S298" s="89"/>
      <c r="T298" s="90"/>
      <c r="U298" s="90"/>
    </row>
    <row r="299" spans="3:21" ht="14.1" customHeight="1">
      <c r="C299" s="91"/>
      <c r="D299" s="92"/>
      <c r="E299" s="262"/>
      <c r="F299" s="93"/>
      <c r="G299" s="93"/>
      <c r="J299" s="94"/>
      <c r="K299" s="95"/>
      <c r="L299" s="96"/>
      <c r="M299" s="96"/>
      <c r="N299" s="96"/>
      <c r="O299" s="97"/>
      <c r="P299" s="89"/>
      <c r="Q299" s="89"/>
      <c r="R299" s="89"/>
      <c r="S299" s="89"/>
      <c r="T299" s="90"/>
      <c r="U299" s="90"/>
    </row>
    <row r="300" spans="3:21" ht="14.1" customHeight="1">
      <c r="C300" s="91"/>
      <c r="D300" s="92"/>
      <c r="E300" s="262"/>
      <c r="F300" s="93"/>
      <c r="G300" s="93"/>
      <c r="J300" s="94"/>
      <c r="K300" s="95"/>
      <c r="L300" s="96"/>
      <c r="M300" s="96"/>
      <c r="N300" s="96"/>
      <c r="O300" s="97"/>
      <c r="P300" s="89"/>
      <c r="Q300" s="89"/>
      <c r="R300" s="89"/>
      <c r="S300" s="89"/>
      <c r="T300" s="90"/>
      <c r="U300" s="90"/>
    </row>
    <row r="301" spans="3:21" ht="14.1" customHeight="1">
      <c r="C301" s="91"/>
      <c r="D301" s="92"/>
      <c r="E301" s="262"/>
      <c r="F301" s="93"/>
      <c r="G301" s="93"/>
      <c r="J301" s="94"/>
      <c r="K301" s="95"/>
      <c r="L301" s="96"/>
      <c r="M301" s="96"/>
      <c r="N301" s="96"/>
      <c r="O301" s="97"/>
      <c r="P301" s="89"/>
      <c r="Q301" s="89"/>
      <c r="R301" s="89"/>
      <c r="S301" s="89"/>
      <c r="T301" s="90"/>
      <c r="U301" s="90"/>
    </row>
    <row r="302" spans="3:21" ht="14.1" customHeight="1">
      <c r="C302" s="91"/>
      <c r="D302" s="92"/>
      <c r="E302" s="262"/>
      <c r="F302" s="93"/>
      <c r="G302" s="93"/>
      <c r="J302" s="94"/>
      <c r="K302" s="95"/>
      <c r="L302" s="96"/>
      <c r="M302" s="96"/>
      <c r="N302" s="96"/>
      <c r="O302" s="97"/>
      <c r="P302" s="89"/>
      <c r="Q302" s="89"/>
      <c r="R302" s="89"/>
      <c r="S302" s="89"/>
      <c r="T302" s="90"/>
      <c r="U302" s="90"/>
    </row>
    <row r="303" spans="3:21" ht="14.1" customHeight="1">
      <c r="C303" s="91"/>
      <c r="D303" s="92"/>
      <c r="E303" s="262"/>
      <c r="F303" s="93"/>
      <c r="G303" s="93"/>
      <c r="J303" s="94"/>
      <c r="K303" s="95"/>
      <c r="L303" s="96"/>
      <c r="M303" s="96"/>
      <c r="N303" s="96"/>
      <c r="O303" s="97"/>
      <c r="P303" s="89"/>
      <c r="Q303" s="89"/>
      <c r="R303" s="89"/>
      <c r="S303" s="89"/>
      <c r="T303" s="90"/>
      <c r="U303" s="90"/>
    </row>
    <row r="304" spans="3:21" ht="14.1" customHeight="1">
      <c r="C304" s="91"/>
      <c r="D304" s="92"/>
      <c r="E304" s="262"/>
      <c r="F304" s="93"/>
      <c r="G304" s="93"/>
      <c r="J304" s="94"/>
      <c r="K304" s="95"/>
      <c r="L304" s="96"/>
      <c r="M304" s="96"/>
      <c r="N304" s="96"/>
      <c r="O304" s="97"/>
      <c r="P304" s="89"/>
      <c r="Q304" s="89"/>
      <c r="R304" s="89"/>
      <c r="S304" s="89"/>
      <c r="T304" s="90"/>
      <c r="U304" s="90"/>
    </row>
    <row r="305" spans="3:21" ht="14.1" customHeight="1">
      <c r="C305" s="91"/>
      <c r="D305" s="92"/>
      <c r="E305" s="262"/>
      <c r="F305" s="93"/>
      <c r="G305" s="93"/>
      <c r="J305" s="94"/>
      <c r="K305" s="95"/>
      <c r="L305" s="96"/>
      <c r="M305" s="96"/>
      <c r="N305" s="96"/>
      <c r="O305" s="97"/>
      <c r="P305" s="89"/>
      <c r="Q305" s="89"/>
      <c r="R305" s="89"/>
      <c r="S305" s="89"/>
      <c r="T305" s="90"/>
      <c r="U305" s="90"/>
    </row>
    <row r="306" spans="3:21" ht="14.1" customHeight="1">
      <c r="C306" s="91"/>
      <c r="D306" s="92"/>
      <c r="E306" s="262"/>
      <c r="F306" s="93"/>
      <c r="G306" s="93"/>
      <c r="J306" s="94"/>
      <c r="K306" s="95"/>
      <c r="L306" s="96"/>
      <c r="M306" s="96"/>
      <c r="N306" s="96"/>
      <c r="O306" s="97"/>
      <c r="P306" s="89"/>
      <c r="Q306" s="89"/>
      <c r="R306" s="89"/>
      <c r="S306" s="89"/>
      <c r="T306" s="90"/>
      <c r="U306" s="90"/>
    </row>
    <row r="307" spans="3:21" ht="14.1" customHeight="1">
      <c r="C307" s="91"/>
      <c r="D307" s="92"/>
      <c r="E307" s="262"/>
      <c r="F307" s="93"/>
      <c r="G307" s="93"/>
      <c r="J307" s="94"/>
      <c r="K307" s="95"/>
      <c r="L307" s="96"/>
      <c r="M307" s="96"/>
      <c r="N307" s="96"/>
      <c r="O307" s="97"/>
      <c r="P307" s="89"/>
      <c r="Q307" s="89"/>
      <c r="R307" s="89"/>
      <c r="S307" s="89"/>
      <c r="T307" s="90"/>
      <c r="U307" s="90"/>
    </row>
    <row r="308" spans="3:21" ht="14.1" customHeight="1">
      <c r="C308" s="91"/>
      <c r="D308" s="92"/>
      <c r="E308" s="262"/>
      <c r="F308" s="93"/>
      <c r="G308" s="93"/>
      <c r="J308" s="94"/>
      <c r="K308" s="95"/>
      <c r="L308" s="96"/>
      <c r="M308" s="96"/>
      <c r="N308" s="96"/>
      <c r="O308" s="97"/>
      <c r="P308" s="89"/>
      <c r="Q308" s="89"/>
      <c r="R308" s="89"/>
      <c r="S308" s="89"/>
      <c r="T308" s="90"/>
      <c r="U308" s="90"/>
    </row>
    <row r="309" spans="3:21" ht="14.1" customHeight="1">
      <c r="C309" s="91"/>
      <c r="D309" s="92"/>
      <c r="E309" s="262"/>
      <c r="F309" s="93"/>
      <c r="G309" s="93"/>
      <c r="J309" s="94"/>
      <c r="K309" s="95"/>
      <c r="L309" s="96"/>
      <c r="M309" s="96"/>
      <c r="N309" s="96"/>
      <c r="O309" s="97"/>
      <c r="P309" s="89"/>
      <c r="Q309" s="89"/>
      <c r="R309" s="89"/>
      <c r="S309" s="89"/>
      <c r="T309" s="90"/>
      <c r="U309" s="90"/>
    </row>
    <row r="310" spans="3:21" ht="14.1" customHeight="1">
      <c r="C310" s="91"/>
      <c r="D310" s="92"/>
      <c r="E310" s="262"/>
      <c r="F310" s="93"/>
      <c r="G310" s="93"/>
      <c r="J310" s="94"/>
      <c r="K310" s="95"/>
      <c r="L310" s="96"/>
      <c r="M310" s="96"/>
      <c r="N310" s="96"/>
      <c r="O310" s="97"/>
      <c r="P310" s="89"/>
      <c r="Q310" s="89"/>
      <c r="R310" s="89"/>
      <c r="S310" s="89"/>
      <c r="T310" s="90"/>
      <c r="U310" s="90"/>
    </row>
    <row r="311" spans="3:21" ht="14.1" customHeight="1">
      <c r="C311" s="91"/>
      <c r="D311" s="92"/>
      <c r="E311" s="262"/>
      <c r="F311" s="93"/>
      <c r="G311" s="93"/>
      <c r="J311" s="94"/>
      <c r="K311" s="95"/>
      <c r="L311" s="96"/>
      <c r="M311" s="96"/>
      <c r="N311" s="96"/>
      <c r="O311" s="97"/>
      <c r="P311" s="89"/>
      <c r="Q311" s="89"/>
      <c r="R311" s="89"/>
      <c r="S311" s="89"/>
      <c r="T311" s="90"/>
      <c r="U311" s="90"/>
    </row>
    <row r="312" spans="3:21" ht="14.1" customHeight="1">
      <c r="C312" s="91"/>
      <c r="D312" s="92"/>
      <c r="E312" s="262"/>
      <c r="F312" s="93"/>
      <c r="G312" s="93"/>
      <c r="J312" s="94"/>
      <c r="K312" s="95"/>
      <c r="L312" s="96"/>
      <c r="M312" s="96"/>
      <c r="N312" s="96"/>
      <c r="O312" s="97"/>
      <c r="P312" s="89"/>
      <c r="Q312" s="89"/>
      <c r="R312" s="89"/>
      <c r="S312" s="89"/>
      <c r="T312" s="90"/>
      <c r="U312" s="90"/>
    </row>
    <row r="313" spans="3:21" ht="14.1" customHeight="1">
      <c r="C313" s="91"/>
      <c r="D313" s="92"/>
      <c r="E313" s="262"/>
      <c r="F313" s="93"/>
      <c r="G313" s="93"/>
      <c r="J313" s="94"/>
      <c r="K313" s="95"/>
      <c r="L313" s="96"/>
      <c r="M313" s="96"/>
      <c r="N313" s="96"/>
      <c r="O313" s="97"/>
      <c r="P313" s="89"/>
      <c r="Q313" s="89"/>
      <c r="R313" s="89"/>
      <c r="S313" s="89"/>
      <c r="T313" s="90"/>
      <c r="U313" s="90"/>
    </row>
    <row r="314" spans="3:21" ht="14.1" customHeight="1">
      <c r="C314" s="91"/>
      <c r="D314" s="92"/>
      <c r="E314" s="262"/>
      <c r="F314" s="93"/>
      <c r="G314" s="93"/>
      <c r="J314" s="94"/>
      <c r="K314" s="95"/>
      <c r="L314" s="96"/>
      <c r="M314" s="96"/>
      <c r="N314" s="96"/>
      <c r="O314" s="97"/>
      <c r="P314" s="89"/>
      <c r="Q314" s="89"/>
      <c r="R314" s="89"/>
      <c r="S314" s="89"/>
      <c r="T314" s="90"/>
      <c r="U314" s="90"/>
    </row>
    <row r="315" spans="3:21" ht="14.1" customHeight="1">
      <c r="C315" s="91"/>
      <c r="D315" s="92"/>
      <c r="E315" s="262"/>
      <c r="F315" s="93"/>
      <c r="G315" s="93"/>
      <c r="J315" s="94"/>
      <c r="K315" s="95"/>
      <c r="L315" s="96"/>
      <c r="M315" s="96"/>
      <c r="N315" s="96"/>
      <c r="O315" s="97"/>
      <c r="P315" s="89"/>
      <c r="Q315" s="89"/>
      <c r="R315" s="89"/>
      <c r="S315" s="89"/>
      <c r="T315" s="90"/>
      <c r="U315" s="90"/>
    </row>
    <row r="316" spans="3:21" ht="14.1" customHeight="1">
      <c r="C316" s="91"/>
      <c r="D316" s="92"/>
      <c r="E316" s="262"/>
      <c r="F316" s="93"/>
      <c r="G316" s="93"/>
      <c r="J316" s="94"/>
      <c r="K316" s="95"/>
      <c r="L316" s="96"/>
      <c r="M316" s="96"/>
      <c r="N316" s="96"/>
      <c r="O316" s="97"/>
      <c r="P316" s="89"/>
      <c r="Q316" s="89"/>
      <c r="R316" s="89"/>
      <c r="S316" s="89"/>
      <c r="T316" s="90"/>
      <c r="U316" s="90"/>
    </row>
    <row r="317" spans="3:21" ht="14.1" customHeight="1">
      <c r="C317" s="91"/>
      <c r="D317" s="92"/>
      <c r="E317" s="262"/>
      <c r="F317" s="93"/>
      <c r="G317" s="93"/>
      <c r="J317" s="94"/>
      <c r="K317" s="95"/>
      <c r="L317" s="96"/>
      <c r="M317" s="96"/>
      <c r="N317" s="96"/>
      <c r="O317" s="97"/>
      <c r="P317" s="89"/>
      <c r="Q317" s="89"/>
      <c r="R317" s="89"/>
      <c r="S317" s="89"/>
      <c r="T317" s="90"/>
      <c r="U317" s="90"/>
    </row>
    <row r="318" spans="3:21" ht="14.1" customHeight="1">
      <c r="C318" s="91"/>
      <c r="D318" s="92"/>
      <c r="E318" s="262"/>
      <c r="F318" s="93"/>
      <c r="G318" s="93"/>
      <c r="J318" s="94"/>
      <c r="K318" s="95"/>
      <c r="L318" s="96"/>
      <c r="M318" s="96"/>
      <c r="N318" s="96"/>
      <c r="O318" s="97"/>
      <c r="P318" s="89"/>
      <c r="Q318" s="89"/>
      <c r="R318" s="89"/>
      <c r="S318" s="89"/>
      <c r="T318" s="90"/>
      <c r="U318" s="90"/>
    </row>
    <row r="319" spans="3:21" ht="14.1" customHeight="1">
      <c r="C319" s="91"/>
      <c r="D319" s="92"/>
      <c r="E319" s="262"/>
      <c r="F319" s="93"/>
      <c r="G319" s="93"/>
      <c r="J319" s="94"/>
      <c r="K319" s="95"/>
      <c r="L319" s="96"/>
      <c r="M319" s="96"/>
      <c r="N319" s="96"/>
      <c r="O319" s="97"/>
      <c r="P319" s="89"/>
      <c r="Q319" s="89"/>
      <c r="R319" s="89"/>
      <c r="S319" s="89"/>
      <c r="T319" s="90"/>
      <c r="U319" s="90"/>
    </row>
    <row r="320" spans="3:21" ht="14.1" customHeight="1">
      <c r="C320" s="91"/>
      <c r="D320" s="92"/>
      <c r="E320" s="262"/>
      <c r="F320" s="93"/>
      <c r="G320" s="93"/>
      <c r="J320" s="94"/>
      <c r="K320" s="95"/>
      <c r="L320" s="96"/>
      <c r="M320" s="96"/>
      <c r="N320" s="96"/>
      <c r="O320" s="97"/>
      <c r="P320" s="89"/>
      <c r="Q320" s="89"/>
      <c r="R320" s="89"/>
      <c r="S320" s="89"/>
      <c r="T320" s="90"/>
      <c r="U320" s="90"/>
    </row>
    <row r="321" spans="3:21" ht="14.1" customHeight="1">
      <c r="C321" s="91"/>
      <c r="D321" s="92"/>
      <c r="E321" s="262"/>
      <c r="F321" s="93"/>
      <c r="G321" s="93"/>
      <c r="J321" s="94"/>
      <c r="K321" s="95"/>
      <c r="L321" s="96"/>
      <c r="M321" s="96"/>
      <c r="N321" s="96"/>
      <c r="O321" s="97"/>
      <c r="P321" s="89"/>
      <c r="Q321" s="89"/>
      <c r="R321" s="89"/>
      <c r="S321" s="89"/>
      <c r="T321" s="90"/>
      <c r="U321" s="90"/>
    </row>
    <row r="322" spans="3:21" ht="14.1" customHeight="1">
      <c r="C322" s="91"/>
      <c r="D322" s="92"/>
      <c r="E322" s="262"/>
      <c r="F322" s="93"/>
      <c r="G322" s="93"/>
      <c r="J322" s="94"/>
      <c r="K322" s="95"/>
      <c r="L322" s="96"/>
      <c r="M322" s="96"/>
      <c r="N322" s="96"/>
      <c r="O322" s="97"/>
      <c r="P322" s="89"/>
      <c r="Q322" s="89"/>
      <c r="R322" s="89"/>
      <c r="S322" s="89"/>
      <c r="T322" s="90"/>
      <c r="U322" s="90"/>
    </row>
    <row r="323" spans="3:21" ht="14.1" customHeight="1">
      <c r="C323" s="91"/>
      <c r="D323" s="92"/>
      <c r="E323" s="262"/>
      <c r="F323" s="93"/>
      <c r="G323" s="93"/>
      <c r="J323" s="94"/>
      <c r="K323" s="95"/>
      <c r="L323" s="96"/>
      <c r="M323" s="96"/>
      <c r="N323" s="96"/>
      <c r="O323" s="97"/>
      <c r="P323" s="89"/>
      <c r="Q323" s="89"/>
      <c r="R323" s="89"/>
      <c r="S323" s="89"/>
      <c r="T323" s="90"/>
      <c r="U323" s="90"/>
    </row>
    <row r="324" spans="3:21" ht="14.1" customHeight="1">
      <c r="C324" s="91"/>
      <c r="D324" s="92"/>
      <c r="E324" s="262"/>
      <c r="F324" s="93"/>
      <c r="G324" s="93"/>
      <c r="J324" s="94"/>
      <c r="K324" s="95"/>
      <c r="L324" s="96"/>
      <c r="M324" s="96"/>
      <c r="N324" s="96"/>
      <c r="O324" s="97"/>
      <c r="P324" s="89"/>
      <c r="Q324" s="89"/>
      <c r="R324" s="89"/>
      <c r="S324" s="89"/>
      <c r="T324" s="90"/>
      <c r="U324" s="90"/>
    </row>
    <row r="325" spans="3:21" ht="14.1" customHeight="1">
      <c r="C325" s="91"/>
      <c r="D325" s="92"/>
      <c r="E325" s="262"/>
      <c r="F325" s="93"/>
      <c r="G325" s="93"/>
      <c r="J325" s="94"/>
      <c r="K325" s="95"/>
      <c r="L325" s="96"/>
      <c r="M325" s="96"/>
      <c r="N325" s="96"/>
      <c r="O325" s="97"/>
      <c r="P325" s="89"/>
      <c r="Q325" s="89"/>
      <c r="R325" s="89"/>
      <c r="S325" s="89"/>
      <c r="T325" s="90"/>
      <c r="U325" s="90"/>
    </row>
    <row r="326" spans="3:21" ht="14.1" customHeight="1">
      <c r="C326" s="91"/>
      <c r="D326" s="92"/>
      <c r="E326" s="262"/>
      <c r="F326" s="93"/>
      <c r="G326" s="93"/>
      <c r="J326" s="94"/>
      <c r="K326" s="95"/>
      <c r="L326" s="96"/>
      <c r="M326" s="96"/>
      <c r="N326" s="96"/>
      <c r="O326" s="97"/>
      <c r="P326" s="89"/>
      <c r="Q326" s="89"/>
      <c r="R326" s="89"/>
      <c r="S326" s="89"/>
      <c r="T326" s="90"/>
      <c r="U326" s="90"/>
    </row>
    <row r="327" spans="3:21" ht="14.1" customHeight="1">
      <c r="C327" s="91"/>
      <c r="D327" s="92"/>
      <c r="E327" s="262"/>
      <c r="F327" s="93"/>
      <c r="G327" s="93"/>
      <c r="J327" s="94"/>
      <c r="K327" s="95"/>
      <c r="L327" s="96"/>
      <c r="M327" s="96"/>
      <c r="N327" s="96"/>
      <c r="O327" s="97"/>
      <c r="P327" s="89"/>
      <c r="Q327" s="89"/>
      <c r="R327" s="89"/>
      <c r="S327" s="89"/>
      <c r="T327" s="90"/>
      <c r="U327" s="90"/>
    </row>
    <row r="328" spans="3:21" ht="14.1" customHeight="1">
      <c r="C328" s="91"/>
      <c r="D328" s="92"/>
      <c r="E328" s="262"/>
      <c r="F328" s="93"/>
      <c r="G328" s="93"/>
      <c r="J328" s="94"/>
      <c r="K328" s="95"/>
      <c r="L328" s="96"/>
      <c r="M328" s="96"/>
      <c r="N328" s="96"/>
      <c r="O328" s="97"/>
      <c r="P328" s="89"/>
      <c r="Q328" s="89"/>
      <c r="R328" s="89"/>
      <c r="S328" s="89"/>
      <c r="T328" s="90"/>
      <c r="U328" s="90"/>
    </row>
    <row r="329" spans="3:21" ht="14.1" customHeight="1">
      <c r="C329" s="91"/>
      <c r="D329" s="92"/>
      <c r="E329" s="262"/>
      <c r="F329" s="93"/>
      <c r="G329" s="93"/>
      <c r="J329" s="94"/>
      <c r="K329" s="95"/>
      <c r="L329" s="96"/>
      <c r="M329" s="96"/>
      <c r="N329" s="96"/>
      <c r="O329" s="97"/>
      <c r="P329" s="89"/>
      <c r="Q329" s="89"/>
      <c r="R329" s="89"/>
      <c r="S329" s="89"/>
      <c r="T329" s="90"/>
      <c r="U329" s="90"/>
    </row>
    <row r="330" spans="3:21" ht="14.1" customHeight="1">
      <c r="C330" s="91"/>
      <c r="D330" s="92"/>
      <c r="E330" s="262"/>
      <c r="F330" s="93"/>
      <c r="G330" s="93"/>
      <c r="J330" s="94"/>
      <c r="K330" s="95"/>
      <c r="L330" s="96"/>
      <c r="M330" s="96"/>
      <c r="N330" s="96"/>
      <c r="O330" s="97"/>
      <c r="P330" s="89"/>
      <c r="Q330" s="89"/>
      <c r="R330" s="89"/>
      <c r="S330" s="89"/>
      <c r="T330" s="90"/>
      <c r="U330" s="90"/>
    </row>
    <row r="331" spans="3:21" ht="14.1" customHeight="1">
      <c r="C331" s="91"/>
      <c r="D331" s="92"/>
      <c r="E331" s="262"/>
      <c r="F331" s="93"/>
      <c r="G331" s="93"/>
      <c r="J331" s="94"/>
      <c r="K331" s="95"/>
      <c r="L331" s="96"/>
      <c r="M331" s="96"/>
      <c r="N331" s="96"/>
      <c r="O331" s="97"/>
      <c r="P331" s="89"/>
      <c r="Q331" s="89"/>
      <c r="R331" s="89"/>
      <c r="S331" s="89"/>
      <c r="T331" s="90"/>
      <c r="U331" s="90"/>
    </row>
    <row r="332" spans="3:21" ht="14.1" customHeight="1">
      <c r="C332" s="91"/>
      <c r="D332" s="92"/>
      <c r="E332" s="262"/>
      <c r="F332" s="93"/>
      <c r="G332" s="93"/>
      <c r="J332" s="94"/>
      <c r="K332" s="95"/>
      <c r="L332" s="96"/>
      <c r="M332" s="96"/>
      <c r="N332" s="96"/>
      <c r="O332" s="97"/>
      <c r="P332" s="89"/>
      <c r="Q332" s="89"/>
      <c r="R332" s="89"/>
      <c r="S332" s="89"/>
      <c r="T332" s="90"/>
      <c r="U332" s="90"/>
    </row>
    <row r="333" spans="3:21" ht="14.1" customHeight="1">
      <c r="C333" s="91"/>
      <c r="D333" s="92"/>
      <c r="E333" s="262"/>
      <c r="F333" s="93"/>
      <c r="G333" s="93"/>
      <c r="J333" s="94"/>
      <c r="K333" s="95"/>
      <c r="L333" s="96"/>
      <c r="M333" s="96"/>
      <c r="N333" s="96"/>
      <c r="O333" s="97"/>
      <c r="P333" s="89"/>
      <c r="Q333" s="89"/>
      <c r="R333" s="89"/>
      <c r="S333" s="89"/>
      <c r="T333" s="90"/>
      <c r="U333" s="90"/>
    </row>
    <row r="334" spans="3:21" ht="14.1" customHeight="1">
      <c r="C334" s="91"/>
      <c r="D334" s="92"/>
      <c r="E334" s="262"/>
      <c r="F334" s="93"/>
      <c r="G334" s="93"/>
      <c r="J334" s="94"/>
      <c r="K334" s="95"/>
      <c r="L334" s="96"/>
      <c r="M334" s="96"/>
      <c r="N334" s="96"/>
      <c r="O334" s="97"/>
      <c r="P334" s="89"/>
      <c r="Q334" s="89"/>
      <c r="R334" s="89"/>
      <c r="S334" s="89"/>
      <c r="T334" s="90"/>
      <c r="U334" s="90"/>
    </row>
    <row r="335" spans="3:21" ht="14.1" customHeight="1">
      <c r="C335" s="91"/>
      <c r="D335" s="92"/>
      <c r="E335" s="262"/>
      <c r="F335" s="93"/>
      <c r="G335" s="93"/>
      <c r="J335" s="94"/>
      <c r="K335" s="95"/>
      <c r="L335" s="96"/>
      <c r="M335" s="96"/>
      <c r="N335" s="96"/>
      <c r="O335" s="97"/>
      <c r="P335" s="89"/>
      <c r="Q335" s="89"/>
      <c r="R335" s="89"/>
      <c r="S335" s="89"/>
      <c r="T335" s="90"/>
      <c r="U335" s="90"/>
    </row>
    <row r="336" spans="3:21" ht="14.1" customHeight="1">
      <c r="C336" s="91"/>
      <c r="D336" s="92"/>
      <c r="E336" s="262"/>
      <c r="F336" s="93"/>
      <c r="G336" s="93"/>
      <c r="J336" s="94"/>
      <c r="K336" s="95"/>
      <c r="L336" s="96"/>
      <c r="M336" s="96"/>
      <c r="N336" s="96"/>
      <c r="O336" s="97"/>
      <c r="P336" s="89"/>
      <c r="Q336" s="89"/>
      <c r="R336" s="89"/>
      <c r="S336" s="89"/>
      <c r="T336" s="90"/>
      <c r="U336" s="90"/>
    </row>
    <row r="337" spans="3:21" ht="14.1" customHeight="1">
      <c r="C337" s="91"/>
      <c r="D337" s="92"/>
      <c r="E337" s="262"/>
      <c r="F337" s="93"/>
      <c r="G337" s="93"/>
      <c r="J337" s="94"/>
      <c r="K337" s="95"/>
      <c r="L337" s="96"/>
      <c r="M337" s="96"/>
      <c r="N337" s="96"/>
      <c r="O337" s="97"/>
      <c r="P337" s="89"/>
      <c r="Q337" s="89"/>
      <c r="R337" s="89"/>
      <c r="S337" s="89"/>
      <c r="T337" s="90"/>
      <c r="U337" s="90"/>
    </row>
    <row r="338" spans="3:21" ht="14.1" customHeight="1">
      <c r="C338" s="91"/>
      <c r="D338" s="92"/>
      <c r="E338" s="262"/>
      <c r="F338" s="93"/>
      <c r="G338" s="93"/>
      <c r="J338" s="94"/>
      <c r="K338" s="95"/>
      <c r="L338" s="96"/>
      <c r="M338" s="96"/>
      <c r="N338" s="96"/>
      <c r="O338" s="97"/>
      <c r="P338" s="89"/>
      <c r="Q338" s="89"/>
      <c r="R338" s="89"/>
      <c r="S338" s="89"/>
      <c r="T338" s="90"/>
      <c r="U338" s="90"/>
    </row>
    <row r="339" spans="3:21" ht="14.1" customHeight="1">
      <c r="C339" s="91"/>
      <c r="D339" s="92"/>
      <c r="E339" s="262"/>
      <c r="F339" s="93"/>
      <c r="G339" s="93"/>
      <c r="J339" s="94"/>
      <c r="K339" s="95"/>
      <c r="L339" s="96"/>
      <c r="M339" s="96"/>
      <c r="N339" s="96"/>
      <c r="O339" s="97"/>
      <c r="P339" s="89"/>
      <c r="Q339" s="89"/>
      <c r="R339" s="89"/>
      <c r="S339" s="89"/>
      <c r="T339" s="90"/>
      <c r="U339" s="90"/>
    </row>
    <row r="340" spans="3:21" ht="14.1" customHeight="1">
      <c r="C340" s="91"/>
      <c r="D340" s="92"/>
      <c r="E340" s="262"/>
      <c r="F340" s="93"/>
      <c r="G340" s="93"/>
      <c r="J340" s="94"/>
      <c r="K340" s="95"/>
      <c r="L340" s="96"/>
      <c r="M340" s="96"/>
      <c r="N340" s="96"/>
      <c r="O340" s="97"/>
      <c r="P340" s="89"/>
      <c r="Q340" s="89"/>
      <c r="R340" s="89"/>
      <c r="S340" s="89"/>
      <c r="T340" s="90"/>
      <c r="U340" s="90"/>
    </row>
    <row r="341" spans="3:21" ht="14.1" customHeight="1">
      <c r="C341" s="91"/>
      <c r="D341" s="92"/>
      <c r="E341" s="262"/>
      <c r="F341" s="93"/>
      <c r="G341" s="93"/>
      <c r="J341" s="94"/>
      <c r="K341" s="95"/>
      <c r="L341" s="96"/>
      <c r="M341" s="96"/>
      <c r="N341" s="96"/>
      <c r="O341" s="97"/>
      <c r="P341" s="89"/>
      <c r="Q341" s="89"/>
      <c r="R341" s="89"/>
      <c r="S341" s="89"/>
      <c r="T341" s="90"/>
      <c r="U341" s="90"/>
    </row>
    <row r="342" spans="3:21" ht="14.1" customHeight="1">
      <c r="C342" s="91"/>
      <c r="D342" s="92"/>
      <c r="E342" s="262"/>
      <c r="F342" s="93"/>
      <c r="G342" s="93"/>
      <c r="J342" s="94"/>
      <c r="K342" s="95"/>
      <c r="L342" s="96"/>
      <c r="M342" s="96"/>
      <c r="N342" s="96"/>
      <c r="O342" s="97"/>
      <c r="P342" s="89"/>
      <c r="Q342" s="89"/>
      <c r="R342" s="89"/>
      <c r="S342" s="89"/>
      <c r="T342" s="90"/>
      <c r="U342" s="90"/>
    </row>
    <row r="343" spans="3:21" ht="14.1" customHeight="1">
      <c r="C343" s="91"/>
      <c r="D343" s="92"/>
      <c r="E343" s="262"/>
      <c r="F343" s="93"/>
      <c r="G343" s="93"/>
      <c r="J343" s="94"/>
      <c r="K343" s="95"/>
      <c r="L343" s="96"/>
      <c r="M343" s="96"/>
      <c r="N343" s="96"/>
      <c r="O343" s="97"/>
      <c r="P343" s="89"/>
      <c r="Q343" s="89"/>
      <c r="R343" s="89"/>
      <c r="S343" s="89"/>
      <c r="T343" s="90"/>
      <c r="U343" s="90"/>
    </row>
    <row r="344" spans="3:21" ht="14.1" customHeight="1">
      <c r="C344" s="91"/>
      <c r="D344" s="92"/>
      <c r="E344" s="262"/>
      <c r="F344" s="93"/>
      <c r="G344" s="93"/>
      <c r="J344" s="94"/>
      <c r="K344" s="95"/>
      <c r="L344" s="96"/>
      <c r="M344" s="96"/>
      <c r="N344" s="96"/>
      <c r="O344" s="97"/>
      <c r="P344" s="89"/>
      <c r="Q344" s="89"/>
      <c r="R344" s="89"/>
      <c r="S344" s="89"/>
      <c r="T344" s="90"/>
      <c r="U344" s="90"/>
    </row>
    <row r="345" spans="3:21" ht="14.1" customHeight="1">
      <c r="C345" s="91"/>
      <c r="D345" s="92"/>
      <c r="E345" s="262"/>
      <c r="F345" s="93"/>
      <c r="G345" s="93"/>
      <c r="J345" s="94"/>
      <c r="K345" s="95"/>
      <c r="L345" s="96"/>
      <c r="M345" s="96"/>
      <c r="N345" s="96"/>
      <c r="O345" s="97"/>
      <c r="P345" s="89"/>
      <c r="Q345" s="89"/>
      <c r="R345" s="89"/>
      <c r="S345" s="89"/>
      <c r="T345" s="90"/>
      <c r="U345" s="90"/>
    </row>
    <row r="346" spans="3:21" ht="14.1" customHeight="1">
      <c r="C346" s="91"/>
      <c r="D346" s="92"/>
      <c r="E346" s="262"/>
      <c r="F346" s="93"/>
      <c r="G346" s="93"/>
      <c r="J346" s="94"/>
      <c r="K346" s="95"/>
      <c r="L346" s="96"/>
      <c r="M346" s="96"/>
      <c r="N346" s="96"/>
      <c r="O346" s="97"/>
      <c r="P346" s="89"/>
      <c r="Q346" s="89"/>
      <c r="R346" s="89"/>
      <c r="S346" s="89"/>
      <c r="T346" s="90"/>
      <c r="U346" s="90"/>
    </row>
    <row r="347" spans="3:21" ht="14.1" customHeight="1">
      <c r="C347" s="91"/>
      <c r="D347" s="92"/>
      <c r="E347" s="262"/>
      <c r="F347" s="93"/>
      <c r="G347" s="93"/>
      <c r="J347" s="94"/>
      <c r="K347" s="95"/>
      <c r="L347" s="96"/>
      <c r="M347" s="96"/>
      <c r="N347" s="96"/>
      <c r="O347" s="97"/>
      <c r="P347" s="89"/>
      <c r="Q347" s="89"/>
      <c r="R347" s="89"/>
      <c r="S347" s="89"/>
      <c r="T347" s="90"/>
      <c r="U347" s="90"/>
    </row>
    <row r="348" spans="3:21" ht="14.1" customHeight="1">
      <c r="C348" s="91"/>
      <c r="D348" s="92"/>
      <c r="E348" s="262"/>
      <c r="F348" s="93"/>
      <c r="G348" s="93"/>
      <c r="J348" s="94"/>
      <c r="K348" s="95"/>
      <c r="L348" s="96"/>
      <c r="M348" s="96"/>
      <c r="N348" s="96"/>
      <c r="O348" s="97"/>
      <c r="P348" s="89"/>
      <c r="Q348" s="89"/>
      <c r="R348" s="89"/>
      <c r="S348" s="89"/>
      <c r="T348" s="90"/>
      <c r="U348" s="90"/>
    </row>
    <row r="349" spans="3:21" ht="14.1" customHeight="1">
      <c r="C349" s="91"/>
      <c r="D349" s="92"/>
      <c r="E349" s="262"/>
      <c r="F349" s="93"/>
      <c r="G349" s="93"/>
      <c r="J349" s="94"/>
      <c r="K349" s="95"/>
      <c r="L349" s="96"/>
      <c r="M349" s="96"/>
      <c r="N349" s="96"/>
      <c r="O349" s="97"/>
      <c r="P349" s="89"/>
      <c r="Q349" s="89"/>
      <c r="R349" s="89"/>
      <c r="S349" s="89"/>
      <c r="T349" s="90"/>
      <c r="U349" s="90"/>
    </row>
    <row r="350" spans="3:21" ht="14.1" customHeight="1">
      <c r="C350" s="91"/>
      <c r="D350" s="92"/>
      <c r="E350" s="262"/>
      <c r="F350" s="93"/>
      <c r="G350" s="93"/>
      <c r="J350" s="94"/>
      <c r="K350" s="95"/>
      <c r="L350" s="96"/>
      <c r="M350" s="96"/>
      <c r="N350" s="96"/>
      <c r="O350" s="97"/>
      <c r="P350" s="89"/>
      <c r="Q350" s="89"/>
      <c r="R350" s="89"/>
      <c r="S350" s="89"/>
      <c r="T350" s="90"/>
      <c r="U350" s="90"/>
    </row>
    <row r="351" spans="3:21" ht="14.1" customHeight="1">
      <c r="C351" s="91"/>
      <c r="D351" s="92"/>
      <c r="E351" s="262"/>
      <c r="F351" s="93"/>
      <c r="G351" s="93"/>
      <c r="J351" s="94"/>
      <c r="K351" s="95"/>
      <c r="L351" s="96"/>
      <c r="M351" s="96"/>
      <c r="N351" s="96"/>
      <c r="O351" s="97"/>
      <c r="P351" s="89"/>
      <c r="Q351" s="89"/>
      <c r="R351" s="89"/>
      <c r="S351" s="89"/>
      <c r="T351" s="90"/>
      <c r="U351" s="90"/>
    </row>
    <row r="352" spans="3:21" ht="14.1" customHeight="1">
      <c r="C352" s="91"/>
      <c r="D352" s="92"/>
      <c r="E352" s="262"/>
      <c r="F352" s="93"/>
      <c r="G352" s="93"/>
      <c r="J352" s="94"/>
      <c r="K352" s="95"/>
      <c r="L352" s="96"/>
      <c r="M352" s="96"/>
      <c r="N352" s="96"/>
      <c r="O352" s="97"/>
      <c r="P352" s="89"/>
      <c r="Q352" s="89"/>
      <c r="R352" s="89"/>
      <c r="S352" s="89"/>
      <c r="T352" s="90"/>
      <c r="U352" s="90"/>
    </row>
    <row r="353" spans="3:21" ht="14.1" customHeight="1">
      <c r="C353" s="91"/>
      <c r="D353" s="92"/>
      <c r="E353" s="262"/>
      <c r="F353" s="93"/>
      <c r="G353" s="93"/>
      <c r="J353" s="94"/>
      <c r="K353" s="95"/>
      <c r="L353" s="96"/>
      <c r="M353" s="96"/>
      <c r="N353" s="96"/>
      <c r="O353" s="97"/>
      <c r="P353" s="89"/>
      <c r="Q353" s="89"/>
      <c r="R353" s="89"/>
      <c r="S353" s="89"/>
      <c r="T353" s="90"/>
      <c r="U353" s="90"/>
    </row>
    <row r="354" spans="3:21" ht="14.1" customHeight="1">
      <c r="C354" s="91"/>
      <c r="D354" s="92"/>
      <c r="E354" s="262"/>
      <c r="F354" s="93"/>
      <c r="G354" s="93"/>
      <c r="J354" s="94"/>
      <c r="K354" s="95"/>
      <c r="L354" s="96"/>
      <c r="M354" s="96"/>
      <c r="N354" s="96"/>
      <c r="O354" s="97"/>
      <c r="P354" s="89"/>
      <c r="Q354" s="89"/>
      <c r="R354" s="89"/>
      <c r="S354" s="89"/>
      <c r="T354" s="90"/>
      <c r="U354" s="90"/>
    </row>
    <row r="355" spans="3:21" ht="14.1" customHeight="1">
      <c r="C355" s="91"/>
      <c r="D355" s="92"/>
      <c r="E355" s="262"/>
      <c r="F355" s="93"/>
      <c r="G355" s="93"/>
      <c r="J355" s="94"/>
      <c r="K355" s="95"/>
      <c r="L355" s="96"/>
      <c r="M355" s="96"/>
      <c r="N355" s="96"/>
      <c r="O355" s="97"/>
      <c r="P355" s="89"/>
      <c r="Q355" s="89"/>
      <c r="R355" s="89"/>
      <c r="S355" s="89"/>
      <c r="T355" s="90"/>
      <c r="U355" s="90"/>
    </row>
    <row r="356" spans="3:21" ht="14.1" customHeight="1">
      <c r="C356" s="91"/>
      <c r="D356" s="92"/>
      <c r="E356" s="262"/>
      <c r="F356" s="93"/>
      <c r="G356" s="93"/>
      <c r="J356" s="94"/>
      <c r="K356" s="95"/>
      <c r="L356" s="96"/>
      <c r="M356" s="96"/>
      <c r="N356" s="96"/>
      <c r="O356" s="97"/>
      <c r="P356" s="89"/>
      <c r="Q356" s="89"/>
      <c r="R356" s="89"/>
      <c r="S356" s="89"/>
      <c r="T356" s="90"/>
      <c r="U356" s="90"/>
    </row>
    <row r="357" spans="3:21" ht="14.1" customHeight="1">
      <c r="C357" s="91"/>
      <c r="D357" s="92"/>
      <c r="E357" s="262"/>
      <c r="F357" s="93"/>
      <c r="G357" s="93"/>
      <c r="J357" s="94"/>
      <c r="K357" s="95"/>
      <c r="L357" s="96"/>
      <c r="M357" s="96"/>
      <c r="N357" s="96"/>
      <c r="O357" s="97"/>
      <c r="P357" s="89"/>
      <c r="Q357" s="89"/>
      <c r="R357" s="89"/>
      <c r="S357" s="89"/>
      <c r="T357" s="90"/>
      <c r="U357" s="90"/>
    </row>
    <row r="358" spans="3:21" ht="14.1" customHeight="1">
      <c r="C358" s="91"/>
      <c r="D358" s="92"/>
      <c r="E358" s="262"/>
      <c r="F358" s="93"/>
      <c r="G358" s="93"/>
      <c r="J358" s="94"/>
      <c r="K358" s="95"/>
      <c r="L358" s="96"/>
      <c r="M358" s="96"/>
      <c r="N358" s="96"/>
      <c r="O358" s="97"/>
      <c r="P358" s="89"/>
      <c r="Q358" s="89"/>
      <c r="R358" s="89"/>
      <c r="S358" s="89"/>
      <c r="T358" s="90"/>
      <c r="U358" s="90"/>
    </row>
    <row r="359" spans="3:21" ht="14.1" customHeight="1">
      <c r="C359" s="91"/>
      <c r="D359" s="92"/>
      <c r="E359" s="262"/>
      <c r="F359" s="93"/>
      <c r="G359" s="93"/>
      <c r="J359" s="94"/>
      <c r="K359" s="95"/>
      <c r="L359" s="96"/>
      <c r="M359" s="96"/>
      <c r="N359" s="96"/>
      <c r="O359" s="97"/>
      <c r="P359" s="89"/>
      <c r="Q359" s="89"/>
      <c r="R359" s="89"/>
      <c r="S359" s="89"/>
      <c r="T359" s="90"/>
      <c r="U359" s="90"/>
    </row>
    <row r="360" spans="3:21" ht="14.1" customHeight="1">
      <c r="C360" s="91"/>
      <c r="D360" s="92"/>
      <c r="E360" s="262"/>
      <c r="F360" s="93"/>
      <c r="G360" s="93"/>
      <c r="J360" s="94"/>
      <c r="K360" s="95"/>
      <c r="L360" s="96"/>
      <c r="M360" s="96"/>
      <c r="N360" s="96"/>
      <c r="O360" s="97"/>
      <c r="P360" s="89"/>
      <c r="Q360" s="89"/>
      <c r="R360" s="89"/>
      <c r="S360" s="89"/>
      <c r="T360" s="90"/>
      <c r="U360" s="90"/>
    </row>
    <row r="361" spans="3:21" ht="14.1" customHeight="1">
      <c r="C361" s="91"/>
      <c r="D361" s="92"/>
      <c r="E361" s="262"/>
      <c r="F361" s="93"/>
      <c r="G361" s="93"/>
      <c r="J361" s="94"/>
      <c r="K361" s="95"/>
      <c r="L361" s="96"/>
      <c r="M361" s="96"/>
      <c r="N361" s="96"/>
      <c r="O361" s="97"/>
      <c r="P361" s="89"/>
      <c r="Q361" s="89"/>
      <c r="R361" s="89"/>
      <c r="S361" s="89"/>
      <c r="T361" s="90"/>
      <c r="U361" s="90"/>
    </row>
    <row r="362" spans="3:21" ht="14.1" customHeight="1">
      <c r="C362" s="91"/>
      <c r="D362" s="92"/>
      <c r="E362" s="262"/>
      <c r="F362" s="93"/>
      <c r="G362" s="93"/>
      <c r="J362" s="94"/>
      <c r="K362" s="95"/>
      <c r="L362" s="96"/>
      <c r="M362" s="96"/>
      <c r="N362" s="96"/>
      <c r="O362" s="97"/>
      <c r="P362" s="89"/>
      <c r="Q362" s="89"/>
      <c r="R362" s="89"/>
      <c r="S362" s="89"/>
      <c r="T362" s="90"/>
      <c r="U362" s="90"/>
    </row>
    <row r="363" spans="3:21" ht="14.1" customHeight="1">
      <c r="C363" s="91"/>
      <c r="D363" s="92"/>
      <c r="E363" s="262"/>
      <c r="F363" s="93"/>
      <c r="G363" s="93"/>
      <c r="J363" s="94"/>
      <c r="K363" s="95"/>
      <c r="L363" s="96"/>
      <c r="M363" s="96"/>
      <c r="N363" s="96"/>
      <c r="O363" s="97"/>
      <c r="P363" s="89"/>
      <c r="Q363" s="89"/>
      <c r="R363" s="89"/>
      <c r="S363" s="89"/>
      <c r="T363" s="90"/>
      <c r="U363" s="90"/>
    </row>
    <row r="364" spans="3:21" ht="14.1" customHeight="1">
      <c r="C364" s="91"/>
      <c r="D364" s="92"/>
      <c r="E364" s="262"/>
      <c r="F364" s="93"/>
      <c r="G364" s="93"/>
      <c r="J364" s="94"/>
      <c r="K364" s="95"/>
      <c r="L364" s="96"/>
      <c r="M364" s="96"/>
      <c r="N364" s="96"/>
      <c r="O364" s="97"/>
      <c r="P364" s="89"/>
      <c r="Q364" s="89"/>
      <c r="R364" s="89"/>
      <c r="S364" s="89"/>
      <c r="T364" s="90"/>
      <c r="U364" s="90"/>
    </row>
    <row r="365" spans="3:21" ht="14.1" customHeight="1">
      <c r="C365" s="91"/>
      <c r="D365" s="92"/>
      <c r="E365" s="262"/>
      <c r="F365" s="93"/>
      <c r="G365" s="93"/>
      <c r="J365" s="94"/>
      <c r="K365" s="95"/>
      <c r="L365" s="96"/>
      <c r="M365" s="96"/>
      <c r="N365" s="96"/>
      <c r="O365" s="97"/>
      <c r="P365" s="89"/>
      <c r="Q365" s="89"/>
      <c r="R365" s="89"/>
      <c r="S365" s="89"/>
      <c r="T365" s="90"/>
      <c r="U365" s="90"/>
    </row>
    <row r="366" spans="3:21" ht="14.1" customHeight="1">
      <c r="C366" s="91"/>
      <c r="D366" s="92"/>
      <c r="E366" s="262"/>
      <c r="F366" s="93"/>
      <c r="G366" s="93"/>
      <c r="J366" s="94"/>
      <c r="K366" s="95"/>
      <c r="L366" s="96"/>
      <c r="M366" s="96"/>
      <c r="N366" s="96"/>
      <c r="O366" s="97"/>
      <c r="P366" s="89"/>
      <c r="Q366" s="89"/>
      <c r="R366" s="89"/>
      <c r="S366" s="89"/>
      <c r="T366" s="90"/>
      <c r="U366" s="90"/>
    </row>
    <row r="367" spans="3:21" ht="14.1" customHeight="1">
      <c r="C367" s="91"/>
      <c r="D367" s="92"/>
      <c r="E367" s="262"/>
      <c r="F367" s="93"/>
      <c r="G367" s="93"/>
      <c r="J367" s="94"/>
      <c r="K367" s="95"/>
      <c r="L367" s="96"/>
      <c r="M367" s="96"/>
      <c r="N367" s="96"/>
      <c r="O367" s="97"/>
      <c r="P367" s="89"/>
      <c r="Q367" s="89"/>
      <c r="R367" s="89"/>
      <c r="S367" s="89"/>
      <c r="T367" s="90"/>
      <c r="U367" s="90"/>
    </row>
    <row r="368" spans="3:21" ht="14.1" customHeight="1">
      <c r="C368" s="91"/>
      <c r="D368" s="92"/>
      <c r="E368" s="262"/>
      <c r="F368" s="93"/>
      <c r="G368" s="93"/>
      <c r="J368" s="94"/>
      <c r="K368" s="95"/>
      <c r="L368" s="96"/>
      <c r="M368" s="96"/>
      <c r="N368" s="96"/>
      <c r="O368" s="97"/>
      <c r="P368" s="89"/>
      <c r="Q368" s="89"/>
      <c r="R368" s="89"/>
      <c r="S368" s="89"/>
      <c r="T368" s="90"/>
      <c r="U368" s="90"/>
    </row>
    <row r="369" spans="3:21" ht="14.1" customHeight="1">
      <c r="C369" s="91"/>
      <c r="D369" s="92"/>
      <c r="E369" s="262"/>
      <c r="F369" s="93"/>
      <c r="G369" s="93"/>
      <c r="J369" s="94"/>
      <c r="K369" s="95"/>
      <c r="L369" s="96"/>
      <c r="M369" s="96"/>
      <c r="N369" s="96"/>
      <c r="O369" s="97"/>
      <c r="P369" s="89"/>
      <c r="Q369" s="89"/>
      <c r="R369" s="89"/>
      <c r="S369" s="89"/>
      <c r="T369" s="90"/>
      <c r="U369" s="90"/>
    </row>
    <row r="370" spans="3:21" ht="14.1" customHeight="1">
      <c r="C370" s="91"/>
      <c r="D370" s="92"/>
      <c r="E370" s="262"/>
      <c r="F370" s="93"/>
      <c r="G370" s="93"/>
      <c r="J370" s="94"/>
      <c r="K370" s="95"/>
      <c r="L370" s="96"/>
      <c r="M370" s="96"/>
      <c r="N370" s="96"/>
      <c r="O370" s="97"/>
      <c r="P370" s="89"/>
      <c r="Q370" s="89"/>
      <c r="R370" s="89"/>
      <c r="S370" s="89"/>
      <c r="T370" s="90"/>
      <c r="U370" s="90"/>
    </row>
    <row r="371" spans="3:21" ht="14.1" customHeight="1">
      <c r="C371" s="91"/>
      <c r="D371" s="92"/>
      <c r="E371" s="262"/>
      <c r="F371" s="93"/>
      <c r="G371" s="93"/>
      <c r="J371" s="94"/>
      <c r="K371" s="95"/>
      <c r="L371" s="96"/>
      <c r="M371" s="96"/>
      <c r="N371" s="96"/>
      <c r="O371" s="97"/>
      <c r="P371" s="89"/>
      <c r="Q371" s="89"/>
      <c r="R371" s="89"/>
      <c r="S371" s="89"/>
      <c r="T371" s="90"/>
      <c r="U371" s="90"/>
    </row>
    <row r="372" spans="3:21" ht="14.1" customHeight="1">
      <c r="C372" s="91"/>
      <c r="D372" s="92"/>
      <c r="E372" s="262"/>
      <c r="F372" s="93"/>
      <c r="G372" s="93"/>
      <c r="J372" s="94"/>
      <c r="K372" s="95"/>
      <c r="L372" s="96"/>
      <c r="M372" s="96"/>
      <c r="N372" s="96"/>
      <c r="O372" s="97"/>
      <c r="P372" s="89"/>
      <c r="Q372" s="89"/>
      <c r="R372" s="89"/>
      <c r="S372" s="89"/>
      <c r="T372" s="90"/>
      <c r="U372" s="90"/>
    </row>
    <row r="373" spans="3:21" ht="14.1" customHeight="1">
      <c r="C373" s="91"/>
      <c r="D373" s="92"/>
      <c r="E373" s="262"/>
      <c r="F373" s="93"/>
      <c r="G373" s="93"/>
      <c r="J373" s="94"/>
      <c r="K373" s="95"/>
      <c r="L373" s="96"/>
      <c r="M373" s="96"/>
      <c r="N373" s="96"/>
      <c r="O373" s="97"/>
      <c r="P373" s="89"/>
      <c r="Q373" s="89"/>
      <c r="R373" s="89"/>
      <c r="S373" s="89"/>
      <c r="T373" s="90"/>
      <c r="U373" s="90"/>
    </row>
    <row r="374" spans="3:21" ht="14.1" customHeight="1">
      <c r="C374" s="91"/>
      <c r="D374" s="92"/>
      <c r="E374" s="262"/>
      <c r="F374" s="93"/>
      <c r="G374" s="93"/>
      <c r="J374" s="94"/>
      <c r="K374" s="95"/>
      <c r="L374" s="96"/>
      <c r="M374" s="96"/>
      <c r="N374" s="96"/>
      <c r="O374" s="97"/>
      <c r="P374" s="89"/>
      <c r="Q374" s="89"/>
      <c r="R374" s="89"/>
      <c r="S374" s="89"/>
      <c r="T374" s="90"/>
      <c r="U374" s="90"/>
    </row>
    <row r="375" spans="3:21" ht="14.1" customHeight="1">
      <c r="C375" s="91"/>
      <c r="D375" s="92"/>
      <c r="E375" s="262"/>
      <c r="F375" s="93"/>
      <c r="G375" s="93"/>
      <c r="J375" s="94"/>
      <c r="K375" s="95"/>
      <c r="L375" s="96"/>
      <c r="M375" s="96"/>
      <c r="N375" s="96"/>
      <c r="O375" s="97"/>
      <c r="P375" s="89"/>
      <c r="Q375" s="89"/>
      <c r="R375" s="89"/>
      <c r="S375" s="89"/>
      <c r="T375" s="90"/>
      <c r="U375" s="90"/>
    </row>
    <row r="376" spans="3:21" ht="14.1" customHeight="1">
      <c r="C376" s="91"/>
      <c r="D376" s="92"/>
      <c r="E376" s="262"/>
      <c r="F376" s="93"/>
      <c r="G376" s="93"/>
      <c r="J376" s="94"/>
      <c r="K376" s="95"/>
      <c r="L376" s="96"/>
      <c r="M376" s="96"/>
      <c r="N376" s="96"/>
      <c r="O376" s="97"/>
      <c r="P376" s="89"/>
      <c r="Q376" s="89"/>
      <c r="R376" s="89"/>
      <c r="S376" s="89"/>
      <c r="T376" s="90"/>
      <c r="U376" s="90"/>
    </row>
    <row r="377" spans="3:21" ht="14.1" customHeight="1">
      <c r="C377" s="91"/>
      <c r="D377" s="92"/>
      <c r="E377" s="262"/>
      <c r="F377" s="93"/>
      <c r="G377" s="93"/>
      <c r="J377" s="94"/>
      <c r="K377" s="95"/>
      <c r="L377" s="96"/>
      <c r="M377" s="96"/>
      <c r="N377" s="96"/>
      <c r="O377" s="97"/>
      <c r="P377" s="89"/>
      <c r="Q377" s="89"/>
      <c r="R377" s="89"/>
      <c r="S377" s="89"/>
      <c r="T377" s="90"/>
      <c r="U377" s="90"/>
    </row>
    <row r="378" spans="3:21" ht="14.1" customHeight="1">
      <c r="C378" s="91"/>
      <c r="D378" s="92"/>
      <c r="E378" s="262"/>
      <c r="F378" s="93"/>
      <c r="G378" s="93"/>
      <c r="J378" s="94"/>
      <c r="K378" s="95"/>
      <c r="L378" s="96"/>
      <c r="M378" s="96"/>
      <c r="N378" s="96"/>
      <c r="O378" s="97"/>
      <c r="P378" s="89"/>
      <c r="Q378" s="89"/>
      <c r="R378" s="89"/>
      <c r="S378" s="89"/>
      <c r="T378" s="90"/>
      <c r="U378" s="90"/>
    </row>
    <row r="379" spans="3:21" ht="14.1" customHeight="1">
      <c r="C379" s="91"/>
      <c r="D379" s="92"/>
      <c r="E379" s="262"/>
      <c r="F379" s="93"/>
      <c r="G379" s="93"/>
      <c r="J379" s="94"/>
      <c r="K379" s="95"/>
      <c r="L379" s="96"/>
      <c r="M379" s="96"/>
      <c r="N379" s="96"/>
      <c r="O379" s="97"/>
      <c r="P379" s="89"/>
      <c r="Q379" s="89"/>
      <c r="R379" s="89"/>
      <c r="S379" s="89"/>
      <c r="T379" s="90"/>
      <c r="U379" s="90"/>
    </row>
    <row r="380" spans="3:21" ht="14.1" customHeight="1">
      <c r="C380" s="91"/>
      <c r="D380" s="92"/>
      <c r="E380" s="262"/>
      <c r="F380" s="93"/>
      <c r="G380" s="93"/>
      <c r="J380" s="94"/>
      <c r="K380" s="95"/>
      <c r="L380" s="96"/>
      <c r="M380" s="96"/>
      <c r="N380" s="96"/>
      <c r="O380" s="97"/>
      <c r="P380" s="89"/>
      <c r="Q380" s="89"/>
      <c r="R380" s="89"/>
      <c r="S380" s="89"/>
      <c r="T380" s="90"/>
      <c r="U380" s="90"/>
    </row>
    <row r="381" spans="3:21" ht="14.1" customHeight="1">
      <c r="C381" s="91"/>
      <c r="D381" s="92"/>
      <c r="E381" s="262"/>
      <c r="F381" s="93"/>
      <c r="G381" s="93"/>
      <c r="J381" s="94"/>
      <c r="K381" s="95"/>
      <c r="L381" s="96"/>
      <c r="M381" s="96"/>
      <c r="N381" s="96"/>
      <c r="O381" s="97"/>
      <c r="P381" s="89"/>
      <c r="Q381" s="89"/>
      <c r="R381" s="89"/>
      <c r="S381" s="89"/>
      <c r="T381" s="90"/>
      <c r="U381" s="90"/>
    </row>
    <row r="382" spans="3:21" ht="14.1" customHeight="1">
      <c r="C382" s="91"/>
      <c r="D382" s="92"/>
      <c r="E382" s="262"/>
      <c r="F382" s="93"/>
      <c r="G382" s="93"/>
      <c r="J382" s="94"/>
      <c r="K382" s="95"/>
      <c r="L382" s="96"/>
      <c r="M382" s="96"/>
      <c r="N382" s="96"/>
      <c r="O382" s="97"/>
      <c r="P382" s="89"/>
      <c r="Q382" s="89"/>
      <c r="R382" s="89"/>
      <c r="S382" s="89"/>
      <c r="T382" s="90"/>
      <c r="U382" s="90"/>
    </row>
    <row r="383" spans="3:21" ht="14.1" customHeight="1">
      <c r="C383" s="91"/>
      <c r="D383" s="92"/>
      <c r="E383" s="262"/>
      <c r="F383" s="93"/>
      <c r="G383" s="93"/>
      <c r="J383" s="94"/>
      <c r="K383" s="95"/>
      <c r="L383" s="96"/>
      <c r="M383" s="96"/>
      <c r="N383" s="96"/>
      <c r="O383" s="97"/>
      <c r="P383" s="89"/>
      <c r="Q383" s="89"/>
      <c r="R383" s="89"/>
      <c r="S383" s="89"/>
      <c r="T383" s="90"/>
      <c r="U383" s="90"/>
    </row>
    <row r="384" spans="3:21" ht="14.1" customHeight="1">
      <c r="C384" s="91"/>
      <c r="D384" s="92"/>
      <c r="E384" s="262"/>
      <c r="F384" s="93"/>
      <c r="G384" s="93"/>
      <c r="J384" s="94"/>
      <c r="K384" s="95"/>
      <c r="L384" s="96"/>
      <c r="M384" s="96"/>
      <c r="N384" s="96"/>
      <c r="O384" s="97"/>
      <c r="P384" s="89"/>
      <c r="Q384" s="89"/>
      <c r="R384" s="89"/>
      <c r="S384" s="89"/>
      <c r="T384" s="90"/>
      <c r="U384" s="90"/>
    </row>
    <row r="385" spans="3:21" ht="14.1" customHeight="1">
      <c r="C385" s="91"/>
      <c r="D385" s="92"/>
      <c r="E385" s="262"/>
      <c r="F385" s="93"/>
      <c r="G385" s="93"/>
      <c r="J385" s="94"/>
      <c r="K385" s="95"/>
      <c r="L385" s="96"/>
      <c r="M385" s="96"/>
      <c r="N385" s="96"/>
      <c r="O385" s="97"/>
      <c r="P385" s="89"/>
      <c r="Q385" s="89"/>
      <c r="R385" s="89"/>
      <c r="S385" s="89"/>
      <c r="T385" s="90"/>
      <c r="U385" s="90"/>
    </row>
    <row r="386" spans="3:21" ht="14.1" customHeight="1">
      <c r="C386" s="91"/>
      <c r="D386" s="92"/>
      <c r="E386" s="262"/>
      <c r="F386" s="93"/>
      <c r="G386" s="93"/>
      <c r="J386" s="94"/>
      <c r="K386" s="95"/>
      <c r="L386" s="96"/>
      <c r="M386" s="96"/>
      <c r="N386" s="96"/>
      <c r="O386" s="97"/>
      <c r="P386" s="89"/>
      <c r="Q386" s="89"/>
      <c r="R386" s="89"/>
      <c r="S386" s="89"/>
      <c r="T386" s="90"/>
      <c r="U386" s="90"/>
    </row>
    <row r="387" spans="3:21" ht="14.1" customHeight="1">
      <c r="C387" s="91"/>
      <c r="D387" s="92"/>
      <c r="E387" s="262"/>
      <c r="F387" s="93"/>
      <c r="G387" s="93"/>
      <c r="J387" s="94"/>
      <c r="K387" s="95"/>
      <c r="L387" s="96"/>
      <c r="M387" s="96"/>
      <c r="N387" s="96"/>
      <c r="O387" s="97"/>
      <c r="P387" s="89"/>
      <c r="Q387" s="89"/>
      <c r="R387" s="89"/>
      <c r="S387" s="89"/>
      <c r="T387" s="90"/>
      <c r="U387" s="90"/>
    </row>
    <row r="388" spans="3:21" ht="14.1" customHeight="1">
      <c r="C388" s="91"/>
      <c r="D388" s="92"/>
      <c r="E388" s="262"/>
      <c r="F388" s="93"/>
      <c r="G388" s="93"/>
      <c r="J388" s="94"/>
      <c r="K388" s="95"/>
      <c r="L388" s="96"/>
      <c r="M388" s="96"/>
      <c r="N388" s="96"/>
      <c r="O388" s="97"/>
      <c r="P388" s="89"/>
      <c r="Q388" s="89"/>
      <c r="R388" s="89"/>
      <c r="S388" s="89"/>
      <c r="T388" s="90"/>
      <c r="U388" s="90"/>
    </row>
    <row r="389" spans="3:21" ht="14.1" customHeight="1">
      <c r="C389" s="91"/>
      <c r="D389" s="92"/>
      <c r="E389" s="262"/>
      <c r="F389" s="93"/>
      <c r="G389" s="93"/>
      <c r="J389" s="94"/>
      <c r="K389" s="95"/>
      <c r="L389" s="96"/>
      <c r="M389" s="96"/>
      <c r="N389" s="96"/>
      <c r="O389" s="97"/>
      <c r="P389" s="89"/>
      <c r="Q389" s="89"/>
      <c r="R389" s="89"/>
      <c r="S389" s="89"/>
      <c r="T389" s="90"/>
      <c r="U389" s="90"/>
    </row>
    <row r="390" spans="3:21" ht="14.1" customHeight="1">
      <c r="C390" s="91"/>
      <c r="D390" s="92"/>
      <c r="E390" s="262"/>
      <c r="F390" s="93"/>
      <c r="G390" s="93"/>
      <c r="J390" s="94"/>
      <c r="K390" s="95"/>
      <c r="L390" s="96"/>
      <c r="M390" s="96"/>
      <c r="N390" s="96"/>
      <c r="O390" s="97"/>
      <c r="P390" s="89"/>
      <c r="Q390" s="89"/>
      <c r="R390" s="89"/>
      <c r="S390" s="89"/>
      <c r="T390" s="90"/>
      <c r="U390" s="90"/>
    </row>
    <row r="391" spans="3:21" ht="14.1" customHeight="1">
      <c r="C391" s="91"/>
      <c r="D391" s="92"/>
      <c r="E391" s="262"/>
      <c r="F391" s="93"/>
      <c r="G391" s="93"/>
      <c r="J391" s="94"/>
      <c r="K391" s="95"/>
      <c r="L391" s="96"/>
      <c r="M391" s="96"/>
      <c r="N391" s="96"/>
      <c r="O391" s="97"/>
      <c r="P391" s="89"/>
      <c r="Q391" s="89"/>
      <c r="R391" s="89"/>
      <c r="S391" s="89"/>
      <c r="T391" s="90"/>
      <c r="U391" s="90"/>
    </row>
    <row r="392" spans="3:21" ht="14.1" customHeight="1">
      <c r="C392" s="91"/>
      <c r="D392" s="92"/>
      <c r="E392" s="262"/>
      <c r="F392" s="93"/>
      <c r="G392" s="93"/>
      <c r="J392" s="94"/>
      <c r="K392" s="95"/>
      <c r="L392" s="96"/>
      <c r="M392" s="96"/>
      <c r="N392" s="96"/>
      <c r="O392" s="97"/>
      <c r="P392" s="89"/>
      <c r="Q392" s="89"/>
      <c r="R392" s="89"/>
      <c r="S392" s="89"/>
      <c r="T392" s="90"/>
      <c r="U392" s="90"/>
    </row>
  </sheetData>
  <autoFilter ref="B9:W115" xr:uid="{00000000-0009-0000-0000-000004000000}"/>
  <mergeCells count="1">
    <mergeCell ref="S6:S7"/>
  </mergeCells>
  <phoneticPr fontId="9"/>
  <dataValidations count="1">
    <dataValidation type="list" allowBlank="1" showInputMessage="1" showErrorMessage="1" sqref="I10:I115" xr:uid="{E4F5AD0C-378B-4933-B233-A1B8C5C0018B}">
      <formula1>$I$3:$I$6</formula1>
    </dataValidation>
  </dataValidations>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5"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32" activePane="bottomLeft" state="frozen"/>
      <selection activeCell="B1" sqref="B1"/>
      <selection pane="bottomLeft" activeCell="C13" sqref="C13"/>
    </sheetView>
  </sheetViews>
  <sheetFormatPr defaultColWidth="9.33203125" defaultRowHeight="13.2"/>
  <cols>
    <col min="1" max="1" width="45.5546875" style="59" customWidth="1"/>
    <col min="2" max="2" width="18.33203125" style="59" customWidth="1"/>
    <col min="3" max="3" width="18.44140625" style="59"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502" t="s">
        <v>5</v>
      </c>
      <c r="B1" s="99"/>
      <c r="C1" s="100"/>
      <c r="D1" s="1"/>
      <c r="E1" s="1"/>
      <c r="F1" s="1"/>
      <c r="G1" s="1"/>
    </row>
    <row r="2" spans="1:8">
      <c r="A2" s="100"/>
      <c r="B2" s="100"/>
      <c r="C2" s="100"/>
      <c r="D2" s="1"/>
      <c r="E2" s="1"/>
      <c r="F2" s="1"/>
      <c r="G2" s="1"/>
    </row>
    <row r="3" spans="1:8" ht="15.6">
      <c r="A3" s="39" t="str">
        <f>'2-Kosten'!A3</f>
        <v>Naam opdrachtgever</v>
      </c>
      <c r="B3" s="48">
        <f>'2-Kosten'!B3</f>
        <v>0</v>
      </c>
      <c r="C3" s="100"/>
      <c r="D3" s="1"/>
      <c r="E3" s="31"/>
      <c r="F3" s="1"/>
      <c r="G3" s="1"/>
    </row>
    <row r="4" spans="1:8" ht="15.6">
      <c r="A4" s="39" t="str">
        <f>'2-Kosten'!A4</f>
        <v>Calculatie onderdeel</v>
      </c>
      <c r="B4" s="48" t="str">
        <f ca="1">MID(CELL("bestandsnaam",$C$9),SEARCH("]",CELL("bestandsnaam",$C$9),1)+1,256)</f>
        <v>5-Premies en opslagen</v>
      </c>
      <c r="C4" s="101"/>
      <c r="D4" s="16"/>
      <c r="E4" s="4"/>
      <c r="F4" s="4"/>
      <c r="G4" s="4"/>
    </row>
    <row r="5" spans="1:8" ht="15.6">
      <c r="A5" s="39" t="str">
        <f>'2-Kosten'!A5</f>
        <v>Gebouw/plaats</v>
      </c>
      <c r="B5" s="48">
        <f>'2-Kosten'!B5</f>
        <v>0</v>
      </c>
      <c r="C5" s="39"/>
      <c r="D5" s="8"/>
      <c r="E5" s="17"/>
      <c r="F5" s="5"/>
      <c r="G5" s="4"/>
    </row>
    <row r="6" spans="1:8" ht="15.6">
      <c r="A6" s="39" t="str">
        <f>'2-Kosten'!A6</f>
        <v>Referentie nummer</v>
      </c>
      <c r="B6" s="48">
        <f>'2-Kosten'!B6</f>
        <v>0</v>
      </c>
      <c r="C6" s="79"/>
      <c r="D6" s="8"/>
      <c r="E6" s="33"/>
      <c r="F6" s="32"/>
      <c r="G6" s="34"/>
      <c r="H6" s="35"/>
    </row>
    <row r="7" spans="1:8" ht="15.6">
      <c r="A7" s="39" t="str">
        <f>'2-Kosten'!A7</f>
        <v>Naam dienstverlener</v>
      </c>
      <c r="B7" s="48">
        <f>'2-Kosten'!B7</f>
        <v>0</v>
      </c>
      <c r="C7" s="79"/>
      <c r="D7" s="8"/>
      <c r="E7" s="17"/>
      <c r="F7" s="5"/>
      <c r="G7" s="4"/>
    </row>
    <row r="8" spans="1:8" ht="15.6">
      <c r="A8" s="39" t="str">
        <f>'2-Kosten'!A8</f>
        <v>Prijspeil</v>
      </c>
      <c r="B8" s="265">
        <f>'2-Kosten'!B8</f>
        <v>46023</v>
      </c>
      <c r="C8" s="102"/>
      <c r="D8" s="17"/>
      <c r="E8" s="17"/>
      <c r="F8" s="5"/>
      <c r="G8" s="4"/>
    </row>
    <row r="9" spans="1:8" ht="18.600000000000001">
      <c r="A9" s="213"/>
      <c r="B9" s="102"/>
      <c r="C9" s="102"/>
      <c r="D9" s="17"/>
      <c r="E9" s="17"/>
      <c r="F9" s="5"/>
      <c r="G9" s="4"/>
    </row>
    <row r="10" spans="1:8" ht="21">
      <c r="A10" s="361" t="s">
        <v>100</v>
      </c>
      <c r="B10" s="362"/>
      <c r="C10" s="363"/>
      <c r="D10" s="17"/>
      <c r="E10" s="17"/>
      <c r="F10" s="5"/>
      <c r="G10" s="4"/>
    </row>
    <row r="11" spans="1:8">
      <c r="A11" s="103"/>
      <c r="B11" s="104"/>
      <c r="C11" s="104"/>
      <c r="D11" s="17"/>
      <c r="E11" s="17"/>
      <c r="F11" s="4"/>
      <c r="G11" s="4"/>
    </row>
    <row r="12" spans="1:8">
      <c r="A12" s="364"/>
      <c r="B12" s="352"/>
      <c r="C12" s="365" t="s">
        <v>101</v>
      </c>
      <c r="D12" s="17"/>
      <c r="E12" s="17"/>
      <c r="F12" s="5"/>
      <c r="G12" s="4"/>
    </row>
    <row r="13" spans="1:8">
      <c r="A13" s="105" t="s">
        <v>102</v>
      </c>
      <c r="B13" s="352"/>
      <c r="C13" s="266"/>
      <c r="D13" s="17"/>
      <c r="E13" s="17"/>
      <c r="F13" s="18"/>
      <c r="G13" s="4"/>
    </row>
    <row r="14" spans="1:8">
      <c r="A14" s="105" t="s">
        <v>103</v>
      </c>
      <c r="B14" s="352"/>
      <c r="C14" s="266"/>
      <c r="D14" s="17"/>
      <c r="E14" s="17"/>
      <c r="F14" s="18"/>
      <c r="G14" s="4"/>
    </row>
    <row r="15" spans="1:8">
      <c r="A15" s="105" t="s">
        <v>104</v>
      </c>
      <c r="B15" s="352"/>
      <c r="C15" s="266"/>
      <c r="D15" s="17"/>
      <c r="E15" s="17"/>
      <c r="F15" s="18"/>
      <c r="G15" s="4"/>
    </row>
    <row r="16" spans="1:8">
      <c r="A16" s="366" t="s">
        <v>38</v>
      </c>
      <c r="B16" s="367"/>
      <c r="C16" s="368">
        <f>SUM(C13:C15)</f>
        <v>0</v>
      </c>
      <c r="D16" s="17"/>
      <c r="E16" s="17"/>
      <c r="F16" s="4"/>
    </row>
    <row r="17" spans="1:7">
      <c r="A17" s="366"/>
      <c r="B17" s="367"/>
      <c r="C17" s="368"/>
      <c r="D17" s="17"/>
      <c r="E17" s="17"/>
      <c r="F17" s="4"/>
    </row>
    <row r="18" spans="1:7">
      <c r="A18" s="558" t="s">
        <v>105</v>
      </c>
      <c r="B18" s="559"/>
      <c r="C18" s="266"/>
      <c r="D18" s="17"/>
      <c r="E18" s="17"/>
      <c r="F18" s="4"/>
    </row>
    <row r="19" spans="1:7">
      <c r="A19" s="105" t="s">
        <v>106</v>
      </c>
      <c r="B19" s="106"/>
      <c r="C19" s="266"/>
      <c r="D19" s="17"/>
      <c r="E19" s="17"/>
      <c r="F19" s="4"/>
    </row>
    <row r="20" spans="1:7">
      <c r="A20" s="558" t="s">
        <v>107</v>
      </c>
      <c r="B20" s="559"/>
      <c r="C20" s="266"/>
      <c r="D20" s="17"/>
      <c r="E20" s="17"/>
      <c r="F20" s="4"/>
    </row>
    <row r="21" spans="1:7">
      <c r="A21" s="558" t="s">
        <v>108</v>
      </c>
      <c r="B21" s="559"/>
      <c r="C21" s="369" t="e">
        <f>C34</f>
        <v>#DIV/0!</v>
      </c>
      <c r="D21" s="17"/>
      <c r="E21" s="17"/>
      <c r="F21" s="4"/>
    </row>
    <row r="22" spans="1:7">
      <c r="A22" s="558" t="s">
        <v>109</v>
      </c>
      <c r="B22" s="559"/>
      <c r="C22" s="266"/>
      <c r="D22" s="17"/>
      <c r="E22" s="17"/>
      <c r="F22" s="4"/>
    </row>
    <row r="23" spans="1:7">
      <c r="A23" s="558" t="s">
        <v>110</v>
      </c>
      <c r="B23" s="559"/>
      <c r="C23" s="266"/>
      <c r="D23" s="17"/>
      <c r="E23" s="17"/>
      <c r="F23" s="4"/>
    </row>
    <row r="24" spans="1:7">
      <c r="A24" s="560" t="s">
        <v>111</v>
      </c>
      <c r="B24" s="561"/>
      <c r="C24" s="370" t="e">
        <f>SUM(C16:C23)</f>
        <v>#DIV/0!</v>
      </c>
      <c r="D24" s="17"/>
      <c r="E24" s="17"/>
      <c r="F24" s="4"/>
    </row>
    <row r="25" spans="1:7">
      <c r="A25" s="107"/>
      <c r="B25" s="108"/>
      <c r="C25" s="109"/>
      <c r="D25" s="17"/>
      <c r="E25" s="17"/>
      <c r="F25" s="7"/>
      <c r="G25" s="4"/>
    </row>
    <row r="26" spans="1:7" ht="21">
      <c r="A26" s="361" t="s">
        <v>112</v>
      </c>
      <c r="B26" s="362"/>
      <c r="C26" s="363"/>
      <c r="D26" s="17"/>
      <c r="E26" s="17"/>
      <c r="F26" s="5"/>
      <c r="G26" s="4"/>
    </row>
    <row r="27" spans="1:7">
      <c r="A27" s="103"/>
      <c r="B27" s="104"/>
      <c r="C27" s="104"/>
      <c r="D27" s="17"/>
      <c r="E27" s="17"/>
      <c r="F27" s="4"/>
      <c r="G27" s="4"/>
    </row>
    <row r="28" spans="1:7">
      <c r="A28" s="104"/>
      <c r="B28" s="104"/>
      <c r="C28" s="371" t="s">
        <v>113</v>
      </c>
      <c r="D28" s="17"/>
      <c r="E28" s="17"/>
      <c r="F28" s="4"/>
      <c r="G28" s="4"/>
    </row>
    <row r="29" spans="1:7">
      <c r="A29" s="105" t="s">
        <v>114</v>
      </c>
      <c r="B29" s="352"/>
      <c r="C29" s="372">
        <f>'6-Opbouw uurtarief productie'!E20</f>
        <v>0</v>
      </c>
      <c r="D29" s="17"/>
      <c r="E29" s="17"/>
      <c r="G29" s="4"/>
    </row>
    <row r="30" spans="1:7">
      <c r="A30" s="105" t="s">
        <v>115</v>
      </c>
      <c r="B30" s="110" t="s">
        <v>116</v>
      </c>
      <c r="C30" s="373"/>
      <c r="D30" s="17"/>
      <c r="E30" s="17"/>
      <c r="F30" s="5"/>
      <c r="G30" s="4"/>
    </row>
    <row r="31" spans="1:7">
      <c r="A31" s="105" t="s">
        <v>117</v>
      </c>
      <c r="B31" s="352"/>
      <c r="C31" s="267">
        <f>C29+C30</f>
        <v>0</v>
      </c>
      <c r="D31" s="17"/>
      <c r="E31" s="17"/>
      <c r="F31" s="5"/>
      <c r="G31" s="4"/>
    </row>
    <row r="32" spans="1:7">
      <c r="A32" s="374" t="s">
        <v>118</v>
      </c>
      <c r="B32" s="111"/>
      <c r="C32" s="375"/>
      <c r="E32" s="19"/>
      <c r="F32" s="5"/>
      <c r="G32" s="4"/>
    </row>
    <row r="33" spans="1:7">
      <c r="A33" s="103"/>
      <c r="B33" s="376"/>
      <c r="C33" s="268"/>
      <c r="E33" s="3"/>
      <c r="F33" s="4"/>
      <c r="G33" s="4"/>
    </row>
    <row r="34" spans="1:7">
      <c r="A34" s="377" t="s">
        <v>119</v>
      </c>
      <c r="B34" s="378"/>
      <c r="C34" s="379" t="e">
        <f>(C31/C29)*C32</f>
        <v>#DIV/0!</v>
      </c>
      <c r="E34" s="20"/>
      <c r="F34" s="5"/>
      <c r="G34" s="21"/>
    </row>
    <row r="35" spans="1:7">
      <c r="A35" s="103"/>
      <c r="B35" s="104"/>
      <c r="C35" s="104"/>
      <c r="E35" s="20"/>
      <c r="F35" s="5"/>
      <c r="G35" s="4"/>
    </row>
    <row r="36" spans="1:7" ht="21">
      <c r="A36" s="380" t="s">
        <v>120</v>
      </c>
      <c r="B36" s="381"/>
      <c r="C36" s="382"/>
      <c r="E36" s="20"/>
      <c r="F36" s="5"/>
      <c r="G36" s="4"/>
    </row>
    <row r="37" spans="1:7">
      <c r="A37" s="107"/>
      <c r="B37" s="108"/>
      <c r="C37" s="109"/>
      <c r="E37" s="20"/>
      <c r="F37" s="5"/>
      <c r="G37" s="4"/>
    </row>
    <row r="38" spans="1:7" ht="16.2">
      <c r="A38" s="107"/>
      <c r="B38" s="383" t="s">
        <v>121</v>
      </c>
      <c r="C38" s="109"/>
      <c r="E38" s="20"/>
      <c r="F38" s="5"/>
      <c r="G38" s="4"/>
    </row>
    <row r="39" spans="1:7">
      <c r="A39" s="384" t="s">
        <v>122</v>
      </c>
      <c r="B39" s="385">
        <v>365</v>
      </c>
      <c r="C39" s="109"/>
      <c r="E39" s="20"/>
      <c r="F39" s="5"/>
      <c r="G39" s="9"/>
    </row>
    <row r="40" spans="1:7">
      <c r="A40" s="384" t="s">
        <v>123</v>
      </c>
      <c r="B40" s="385">
        <v>104</v>
      </c>
      <c r="C40" s="109"/>
      <c r="E40" s="20"/>
      <c r="F40" s="5"/>
      <c r="G40" s="9"/>
    </row>
    <row r="41" spans="1:7">
      <c r="A41" s="386" t="s">
        <v>124</v>
      </c>
      <c r="B41" s="387">
        <f>B39-B40</f>
        <v>261</v>
      </c>
      <c r="C41" s="109"/>
      <c r="E41" s="20"/>
      <c r="F41" s="5"/>
      <c r="G41" s="6"/>
    </row>
    <row r="42" spans="1:7">
      <c r="A42" s="388"/>
      <c r="B42" s="389"/>
      <c r="C42" s="109"/>
      <c r="E42" s="20"/>
      <c r="F42" s="5"/>
      <c r="G42" s="6"/>
    </row>
    <row r="43" spans="1:7">
      <c r="A43" s="384" t="s">
        <v>125</v>
      </c>
      <c r="B43" s="390"/>
      <c r="C43" s="109"/>
      <c r="E43" s="20"/>
      <c r="F43" s="5"/>
      <c r="G43" s="6"/>
    </row>
    <row r="44" spans="1:7">
      <c r="A44" s="384" t="s">
        <v>126</v>
      </c>
      <c r="B44" s="390"/>
      <c r="C44" s="109"/>
      <c r="E44" s="20"/>
      <c r="F44" s="5"/>
      <c r="G44" s="6"/>
    </row>
    <row r="45" spans="1:7">
      <c r="A45" s="384" t="s">
        <v>127</v>
      </c>
      <c r="B45" s="390"/>
      <c r="C45" s="109"/>
      <c r="E45" s="20"/>
      <c r="F45" s="5"/>
      <c r="G45" s="6"/>
    </row>
    <row r="46" spans="1:7">
      <c r="A46" s="384" t="s">
        <v>128</v>
      </c>
      <c r="B46" s="390"/>
      <c r="C46" s="109"/>
      <c r="E46" s="20"/>
      <c r="F46" s="5"/>
      <c r="G46" s="6"/>
    </row>
    <row r="47" spans="1:7">
      <c r="A47" s="386" t="s">
        <v>129</v>
      </c>
      <c r="B47" s="387">
        <f>B41-SUM(B43:B46)</f>
        <v>261</v>
      </c>
      <c r="C47" s="109"/>
      <c r="E47" s="20"/>
      <c r="F47" s="5"/>
      <c r="G47" s="6"/>
    </row>
    <row r="48" spans="1:7">
      <c r="A48" s="391"/>
      <c r="B48" s="389"/>
      <c r="C48" s="109"/>
      <c r="E48" s="20"/>
      <c r="F48" s="5"/>
      <c r="G48" s="6"/>
    </row>
    <row r="49" spans="1:7">
      <c r="A49" s="392" t="s">
        <v>130</v>
      </c>
      <c r="B49" s="393">
        <f>IF(B43=0,0,B43/$B$47)</f>
        <v>0</v>
      </c>
      <c r="C49" s="109"/>
      <c r="E49" s="20"/>
      <c r="F49" s="5"/>
      <c r="G49" s="6"/>
    </row>
    <row r="50" spans="1:7">
      <c r="A50" s="392" t="s">
        <v>126</v>
      </c>
      <c r="B50" s="393">
        <f>IF(B44=0,0,B44/$B$47)</f>
        <v>0</v>
      </c>
      <c r="C50" s="109"/>
      <c r="E50" s="20"/>
      <c r="F50" s="5"/>
      <c r="G50" s="6"/>
    </row>
    <row r="51" spans="1:7">
      <c r="A51" s="384" t="s">
        <v>127</v>
      </c>
      <c r="B51" s="393">
        <f>IF(B45=0,0,B45/$B$47)</f>
        <v>0</v>
      </c>
      <c r="C51" s="109"/>
      <c r="E51" s="20"/>
      <c r="F51" s="5"/>
      <c r="G51" s="6"/>
    </row>
    <row r="52" spans="1:7">
      <c r="A52" s="392" t="s">
        <v>128</v>
      </c>
      <c r="B52" s="393">
        <f>IF(B46=0,0,B46/$B$47)</f>
        <v>0</v>
      </c>
      <c r="C52" s="109"/>
      <c r="E52" s="20"/>
      <c r="F52" s="5"/>
      <c r="G52" s="10"/>
    </row>
    <row r="53" spans="1:7">
      <c r="A53" s="386" t="s">
        <v>131</v>
      </c>
      <c r="B53" s="394">
        <f>SUM(B49:B52)</f>
        <v>0</v>
      </c>
      <c r="C53" s="109"/>
      <c r="E53" s="20"/>
      <c r="F53" s="5"/>
      <c r="G53" s="11"/>
    </row>
    <row r="54" spans="1:7">
      <c r="A54" s="112"/>
      <c r="B54" s="112"/>
      <c r="C54" s="112"/>
      <c r="E54" s="20"/>
      <c r="F54" s="5"/>
      <c r="G54" s="1"/>
    </row>
    <row r="55" spans="1:7" ht="31.2" customHeight="1">
      <c r="A55" s="555" t="s">
        <v>132</v>
      </c>
      <c r="B55" s="556"/>
      <c r="C55" s="557"/>
      <c r="E55" s="20"/>
      <c r="F55" s="5"/>
      <c r="G55" s="1"/>
    </row>
    <row r="58" spans="1:7" ht="13.8">
      <c r="A58" s="113"/>
      <c r="B58" s="114"/>
    </row>
    <row r="59" spans="1:7" ht="13.8">
      <c r="A59" s="113"/>
      <c r="B59" s="114"/>
    </row>
    <row r="60" spans="1:7" ht="13.8">
      <c r="A60" s="113"/>
      <c r="B60" s="114"/>
    </row>
    <row r="61" spans="1:7" ht="13.8">
      <c r="A61" s="113"/>
      <c r="B61" s="114"/>
    </row>
    <row r="62" spans="1:7" ht="13.8">
      <c r="A62" s="115"/>
      <c r="B62" s="114"/>
    </row>
    <row r="63" spans="1:7" ht="13.8">
      <c r="A63" s="114"/>
      <c r="B63" s="114"/>
    </row>
    <row r="64" spans="1:7" ht="13.8">
      <c r="A64" s="114"/>
      <c r="B64" s="114"/>
    </row>
    <row r="65" spans="1:3" ht="13.8">
      <c r="A65" s="114"/>
      <c r="B65" s="114"/>
    </row>
    <row r="66" spans="1:3" ht="13.8">
      <c r="A66" s="114"/>
      <c r="B66" s="114"/>
    </row>
    <row r="67" spans="1:3" ht="13.8">
      <c r="A67" s="114"/>
      <c r="B67" s="114"/>
    </row>
    <row r="68" spans="1:3" ht="13.8">
      <c r="A68" s="114"/>
      <c r="B68" s="114"/>
    </row>
    <row r="69" spans="1:3" ht="13.8">
      <c r="A69" s="114"/>
      <c r="B69" s="114"/>
    </row>
    <row r="70" spans="1:3" ht="13.8">
      <c r="A70" s="114"/>
      <c r="B70" s="116"/>
    </row>
    <row r="71" spans="1:3" ht="13.8">
      <c r="A71" s="114"/>
      <c r="B71" s="114"/>
    </row>
    <row r="72" spans="1:3" ht="13.8">
      <c r="B72" s="114"/>
    </row>
    <row r="73" spans="1:3" ht="13.8">
      <c r="A73" s="114"/>
      <c r="B73" s="114"/>
      <c r="C73" s="114"/>
    </row>
    <row r="74" spans="1:3" ht="13.8">
      <c r="A74" s="117"/>
      <c r="B74" s="114"/>
      <c r="C74" s="117"/>
    </row>
    <row r="75" spans="1:3" ht="13.8">
      <c r="A75" s="114"/>
      <c r="B75" s="114"/>
      <c r="C75" s="114"/>
    </row>
    <row r="76" spans="1:3" ht="13.8">
      <c r="A76" s="114"/>
      <c r="B76" s="114"/>
      <c r="C76" s="114"/>
    </row>
    <row r="77" spans="1:3" ht="13.8">
      <c r="A77" s="114"/>
      <c r="B77" s="114"/>
      <c r="C77" s="114"/>
    </row>
    <row r="78" spans="1:3" ht="13.8">
      <c r="A78" s="117"/>
      <c r="B78" s="114"/>
      <c r="C78" s="117"/>
    </row>
    <row r="79" spans="1:3" ht="13.8">
      <c r="A79" s="117"/>
      <c r="B79" s="114"/>
      <c r="C79" s="117"/>
    </row>
    <row r="80" spans="1:3" ht="13.8">
      <c r="A80" s="117"/>
      <c r="B80" s="114"/>
      <c r="C80" s="117"/>
    </row>
    <row r="81" spans="1:2" ht="13.8">
      <c r="A81" s="114"/>
      <c r="B81" s="114"/>
    </row>
    <row r="82" spans="1:2" ht="13.8">
      <c r="A82" s="114"/>
      <c r="B82" s="114"/>
    </row>
    <row r="83" spans="1:2" ht="13.8">
      <c r="A83" s="114"/>
      <c r="B83" s="114"/>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activeCell="H33" sqref="H33"/>
    </sheetView>
  </sheetViews>
  <sheetFormatPr defaultColWidth="11.44140625" defaultRowHeight="13.2"/>
  <cols>
    <col min="1" max="1" width="35.88671875" style="59" customWidth="1"/>
    <col min="2" max="2" width="21.6640625" style="59" customWidth="1"/>
    <col min="3" max="3" width="19.33203125" style="59" bestFit="1" customWidth="1"/>
    <col min="4" max="4" width="2" style="59" customWidth="1"/>
    <col min="5" max="5" width="14.44140625" style="59" customWidth="1"/>
    <col min="6" max="6" width="12.33203125" style="59" customWidth="1"/>
    <col min="7" max="7" width="9.88671875" style="59" customWidth="1"/>
    <col min="8" max="8" width="27.5546875" style="59" customWidth="1"/>
    <col min="9" max="15" width="11.44140625" style="59"/>
    <col min="16" max="16" width="14" style="59" customWidth="1"/>
    <col min="17" max="17" width="11.44140625" style="59"/>
    <col min="18" max="18" width="13.44140625" style="59" customWidth="1"/>
    <col min="19" max="21" width="11.44140625" style="59"/>
    <col min="22" max="16384" width="11.44140625" style="2"/>
  </cols>
  <sheetData>
    <row r="1" spans="1:30" ht="12.75" customHeight="1">
      <c r="A1" s="502" t="s">
        <v>5</v>
      </c>
      <c r="B1" s="99"/>
      <c r="C1" s="100"/>
      <c r="D1" s="100"/>
      <c r="E1" s="100"/>
      <c r="F1" s="100"/>
      <c r="H1" s="570"/>
      <c r="I1" s="570"/>
      <c r="J1" s="570"/>
      <c r="K1" s="570"/>
      <c r="L1" s="570"/>
      <c r="M1" s="570"/>
      <c r="N1" s="570"/>
      <c r="P1" s="497"/>
    </row>
    <row r="2" spans="1:30">
      <c r="A2" s="100"/>
      <c r="B2" s="118"/>
      <c r="C2" s="119"/>
      <c r="D2" s="118"/>
      <c r="E2" s="120"/>
      <c r="F2" s="121"/>
      <c r="H2" s="570"/>
      <c r="I2" s="570"/>
      <c r="J2" s="570"/>
      <c r="K2" s="570"/>
      <c r="L2" s="570"/>
      <c r="M2" s="570"/>
      <c r="N2" s="570"/>
      <c r="P2" s="497"/>
    </row>
    <row r="3" spans="1:30" ht="14.25" customHeight="1">
      <c r="A3" s="39" t="str">
        <f>'2-Kosten'!A3</f>
        <v>Naam opdrachtgever</v>
      </c>
      <c r="B3" s="122">
        <f>'2-Kosten'!B3</f>
        <v>0</v>
      </c>
      <c r="C3" s="123"/>
      <c r="D3" s="118"/>
      <c r="E3" s="124"/>
      <c r="F3" s="125"/>
      <c r="H3" s="570"/>
      <c r="I3" s="570"/>
      <c r="J3" s="570"/>
      <c r="K3" s="570"/>
      <c r="L3" s="570"/>
      <c r="M3" s="570"/>
      <c r="N3" s="570"/>
      <c r="P3" s="497"/>
    </row>
    <row r="4" spans="1:30" ht="15.75" customHeight="1">
      <c r="A4" s="39" t="str">
        <f>'2-Kosten'!A4</f>
        <v>Calculatie onderdeel</v>
      </c>
      <c r="B4" s="126" t="str">
        <f ca="1">MID(CELL("bestandsnaam",$C$9),SEARCH("]",CELL("bestandsnaam",$C$9),1)+1,256)</f>
        <v>6-Opbouw uurtarief productie</v>
      </c>
      <c r="C4" s="127"/>
      <c r="D4" s="128"/>
      <c r="H4" s="570"/>
      <c r="I4" s="570"/>
      <c r="J4" s="570"/>
      <c r="K4" s="570"/>
      <c r="L4" s="570"/>
      <c r="M4" s="570"/>
      <c r="N4" s="570"/>
      <c r="P4" s="497"/>
    </row>
    <row r="5" spans="1:30" ht="15.6">
      <c r="A5" s="39" t="str">
        <f>'2-Kosten'!A5</f>
        <v>Gebouw/plaats</v>
      </c>
      <c r="B5" s="122">
        <f>'2-Kosten'!B5</f>
        <v>0</v>
      </c>
      <c r="C5" s="127"/>
      <c r="D5" s="128"/>
      <c r="H5" s="570"/>
      <c r="I5" s="570"/>
      <c r="J5" s="570"/>
      <c r="K5" s="570"/>
      <c r="L5" s="570"/>
      <c r="M5" s="570"/>
      <c r="N5" s="570"/>
      <c r="P5" s="497"/>
    </row>
    <row r="6" spans="1:30" ht="15.6">
      <c r="A6" s="39" t="str">
        <f>'2-Kosten'!A6</f>
        <v>Referentie nummer</v>
      </c>
      <c r="B6" s="122">
        <f>'2-Kosten'!B6</f>
        <v>0</v>
      </c>
      <c r="C6" s="127"/>
      <c r="D6" s="128"/>
      <c r="H6" s="129"/>
      <c r="I6" s="129"/>
      <c r="J6" s="129"/>
      <c r="K6" s="129"/>
      <c r="L6" s="129"/>
      <c r="M6" s="129"/>
      <c r="N6" s="129"/>
      <c r="P6" s="497"/>
    </row>
    <row r="7" spans="1:30" ht="15.6">
      <c r="A7" s="39" t="str">
        <f>'2-Kosten'!A7</f>
        <v>Naam dienstverlener</v>
      </c>
      <c r="B7" s="122">
        <f>'2-Kosten'!B7</f>
        <v>0</v>
      </c>
      <c r="C7" s="127"/>
      <c r="D7" s="128"/>
      <c r="H7" s="129"/>
      <c r="I7" s="129"/>
      <c r="J7" s="129"/>
      <c r="K7" s="129"/>
      <c r="L7" s="129"/>
      <c r="M7" s="129"/>
      <c r="N7" s="129"/>
      <c r="P7" s="497"/>
    </row>
    <row r="8" spans="1:30" ht="15.6">
      <c r="A8" s="39" t="str">
        <f>'2-Kosten'!A8</f>
        <v>Prijspeil</v>
      </c>
      <c r="B8" s="287">
        <f>'2-Kosten'!B8</f>
        <v>46023</v>
      </c>
      <c r="C8" s="127"/>
      <c r="D8" s="128"/>
      <c r="J8" s="129"/>
      <c r="K8" s="129"/>
      <c r="L8" s="129"/>
      <c r="M8" s="129"/>
      <c r="N8" s="129"/>
      <c r="O8" s="130"/>
      <c r="P8" s="497"/>
    </row>
    <row r="9" spans="1:30" ht="15.6">
      <c r="A9" s="131"/>
      <c r="B9" s="132"/>
      <c r="C9" s="133"/>
      <c r="D9" s="128"/>
      <c r="E9" s="134"/>
      <c r="F9" s="135"/>
      <c r="P9" s="497"/>
    </row>
    <row r="10" spans="1:30" s="22" customFormat="1" ht="30.75" customHeight="1">
      <c r="A10" s="216" t="s">
        <v>133</v>
      </c>
      <c r="B10" s="395"/>
      <c r="C10" s="396"/>
      <c r="D10" s="214"/>
      <c r="E10" s="568" t="s">
        <v>134</v>
      </c>
      <c r="F10" s="569"/>
      <c r="G10" s="215"/>
      <c r="H10" s="216" t="s">
        <v>135</v>
      </c>
      <c r="I10" s="571" t="s">
        <v>136</v>
      </c>
      <c r="J10" s="572"/>
      <c r="K10" s="572"/>
      <c r="L10" s="572"/>
      <c r="M10" s="572"/>
      <c r="N10" s="572"/>
      <c r="O10" s="130"/>
      <c r="P10" s="497"/>
      <c r="Q10" s="59"/>
      <c r="R10" s="59"/>
      <c r="S10" s="59"/>
      <c r="T10" s="59"/>
      <c r="U10" s="59"/>
      <c r="V10" s="2"/>
    </row>
    <row r="11" spans="1:30" ht="30" customHeight="1">
      <c r="A11" s="143"/>
      <c r="B11" s="397" t="s">
        <v>137</v>
      </c>
      <c r="C11" s="398" t="s">
        <v>137</v>
      </c>
      <c r="D11" s="128"/>
      <c r="E11" s="269"/>
      <c r="F11" s="399"/>
      <c r="H11" s="143"/>
      <c r="I11" s="290">
        <v>1</v>
      </c>
      <c r="J11" s="290">
        <v>2</v>
      </c>
      <c r="K11" s="290">
        <v>3</v>
      </c>
      <c r="L11" s="290">
        <v>4</v>
      </c>
      <c r="M11" s="290">
        <v>5</v>
      </c>
      <c r="N11" s="290">
        <v>6</v>
      </c>
      <c r="P11" s="498"/>
    </row>
    <row r="12" spans="1:30">
      <c r="A12" s="143" t="s">
        <v>138</v>
      </c>
      <c r="B12" s="400" t="s">
        <v>139</v>
      </c>
      <c r="C12" s="401"/>
      <c r="D12" s="128"/>
      <c r="E12" s="270">
        <f>SUM(I41:N41)</f>
        <v>0</v>
      </c>
      <c r="F12" s="271"/>
      <c r="H12" s="143" t="s">
        <v>140</v>
      </c>
      <c r="I12" s="440">
        <v>12</v>
      </c>
      <c r="J12" s="440">
        <v>12.43</v>
      </c>
      <c r="K12" s="440">
        <v>12.91</v>
      </c>
      <c r="L12" s="440">
        <v>13.55</v>
      </c>
      <c r="M12" s="440">
        <v>14.07</v>
      </c>
      <c r="N12" s="440">
        <v>14.78</v>
      </c>
      <c r="P12" s="499"/>
      <c r="W12" s="496"/>
      <c r="X12" s="496"/>
      <c r="Y12" s="496"/>
      <c r="Z12" s="496"/>
      <c r="AA12" s="496"/>
      <c r="AB12" s="496"/>
      <c r="AC12" s="496"/>
      <c r="AD12" s="496"/>
    </row>
    <row r="13" spans="1:30">
      <c r="A13" s="143" t="s">
        <v>141</v>
      </c>
      <c r="B13" s="400" t="s">
        <v>139</v>
      </c>
      <c r="C13" s="402"/>
      <c r="D13" s="128"/>
      <c r="E13" s="272"/>
      <c r="F13" s="271"/>
      <c r="H13" s="143" t="s">
        <v>142</v>
      </c>
      <c r="I13" s="440">
        <v>12.74</v>
      </c>
      <c r="J13" s="440">
        <v>13.2</v>
      </c>
      <c r="K13" s="440">
        <v>13.71</v>
      </c>
      <c r="L13" s="440">
        <v>14.39</v>
      </c>
      <c r="M13" s="440">
        <v>14.94</v>
      </c>
      <c r="N13" s="440">
        <v>15.7</v>
      </c>
      <c r="P13" s="500"/>
      <c r="W13" s="496"/>
      <c r="X13" s="496"/>
      <c r="Y13" s="496"/>
      <c r="Z13" s="496"/>
      <c r="AA13" s="496"/>
      <c r="AB13" s="496"/>
      <c r="AC13" s="496"/>
      <c r="AD13" s="496"/>
    </row>
    <row r="14" spans="1:30">
      <c r="A14" s="403" t="s">
        <v>143</v>
      </c>
      <c r="B14" s="404"/>
      <c r="C14" s="405"/>
      <c r="D14" s="140"/>
      <c r="E14" s="273">
        <f>SUM(E12:E13)</f>
        <v>0</v>
      </c>
      <c r="F14" s="271"/>
      <c r="H14" s="143" t="s">
        <v>144</v>
      </c>
      <c r="I14" s="440">
        <v>13.49</v>
      </c>
      <c r="J14" s="440">
        <v>13.97</v>
      </c>
      <c r="K14" s="440">
        <v>14.51</v>
      </c>
      <c r="L14" s="440">
        <v>15.23</v>
      </c>
      <c r="M14" s="440">
        <v>15.82</v>
      </c>
      <c r="N14" s="440">
        <v>16.62</v>
      </c>
      <c r="W14" s="496"/>
      <c r="X14" s="496"/>
      <c r="Y14" s="496"/>
      <c r="Z14" s="496"/>
      <c r="AA14" s="496"/>
      <c r="AB14" s="496"/>
      <c r="AC14" s="496"/>
      <c r="AD14" s="496"/>
    </row>
    <row r="15" spans="1:30">
      <c r="A15" s="138"/>
      <c r="B15" s="406"/>
      <c r="C15" s="407"/>
      <c r="D15" s="128"/>
      <c r="E15" s="274"/>
      <c r="F15" s="271"/>
      <c r="H15" s="143" t="s">
        <v>145</v>
      </c>
      <c r="I15" s="440">
        <v>15.52</v>
      </c>
      <c r="J15" s="440">
        <v>16.079999999999998</v>
      </c>
      <c r="K15" s="440">
        <v>16.7</v>
      </c>
      <c r="L15" s="440">
        <v>17.53</v>
      </c>
      <c r="M15" s="440">
        <v>18.2</v>
      </c>
      <c r="N15" s="440">
        <v>19.12</v>
      </c>
      <c r="W15" s="496"/>
      <c r="X15" s="496"/>
      <c r="Y15" s="496"/>
      <c r="Z15" s="496"/>
      <c r="AA15" s="496"/>
      <c r="AB15" s="496"/>
      <c r="AC15" s="496"/>
      <c r="AD15" s="496"/>
    </row>
    <row r="16" spans="1:30">
      <c r="A16" s="408" t="s">
        <v>146</v>
      </c>
      <c r="B16" s="400" t="s">
        <v>139</v>
      </c>
      <c r="C16" s="409"/>
      <c r="D16" s="128"/>
      <c r="E16" s="275">
        <f>$C16*E14</f>
        <v>0</v>
      </c>
      <c r="F16" s="271"/>
      <c r="H16" s="143" t="s">
        <v>147</v>
      </c>
      <c r="I16" s="440">
        <v>16.079999999999998</v>
      </c>
      <c r="J16" s="440">
        <v>16.63</v>
      </c>
      <c r="K16" s="440">
        <v>17.3</v>
      </c>
      <c r="L16" s="440">
        <v>18.14</v>
      </c>
      <c r="M16" s="440">
        <v>18.82</v>
      </c>
      <c r="N16" s="440">
        <v>19.77</v>
      </c>
      <c r="W16" s="496"/>
      <c r="X16" s="496"/>
      <c r="Y16" s="496"/>
      <c r="Z16" s="496"/>
      <c r="AA16" s="496"/>
      <c r="AB16" s="496"/>
      <c r="AC16" s="496"/>
      <c r="AD16" s="496"/>
    </row>
    <row r="17" spans="1:30">
      <c r="A17" s="408" t="s">
        <v>148</v>
      </c>
      <c r="B17" s="400" t="s">
        <v>139</v>
      </c>
      <c r="C17" s="409"/>
      <c r="D17" s="128"/>
      <c r="E17" s="276">
        <f>$C17*E14</f>
        <v>0</v>
      </c>
      <c r="F17" s="271"/>
      <c r="H17" s="143" t="s">
        <v>149</v>
      </c>
      <c r="I17" s="440">
        <v>16.55</v>
      </c>
      <c r="J17" s="440">
        <v>17.07</v>
      </c>
      <c r="K17" s="440">
        <v>17.84</v>
      </c>
      <c r="L17" s="440">
        <v>18.73</v>
      </c>
      <c r="M17" s="440">
        <v>19.45</v>
      </c>
      <c r="N17" s="440">
        <v>20.420000000000002</v>
      </c>
      <c r="W17" s="496"/>
      <c r="X17" s="496"/>
      <c r="Y17" s="496"/>
      <c r="Z17" s="496"/>
      <c r="AA17" s="496"/>
      <c r="AB17" s="496"/>
      <c r="AC17" s="496"/>
      <c r="AD17" s="496"/>
    </row>
    <row r="18" spans="1:30">
      <c r="A18" s="403" t="s">
        <v>150</v>
      </c>
      <c r="B18" s="410"/>
      <c r="C18" s="139"/>
      <c r="D18" s="128"/>
      <c r="E18" s="273">
        <f>SUM(E14:E17)</f>
        <v>0</v>
      </c>
      <c r="F18" s="411">
        <f>IF(E18=0,0,E18/E$47)</f>
        <v>0</v>
      </c>
      <c r="H18" s="143" t="s">
        <v>151</v>
      </c>
      <c r="I18" s="440">
        <v>17.05</v>
      </c>
      <c r="J18" s="440">
        <v>17.7</v>
      </c>
      <c r="K18" s="440">
        <v>18.440000000000001</v>
      </c>
      <c r="L18" s="440">
        <v>19.309999999999999</v>
      </c>
      <c r="M18" s="440">
        <v>20.059999999999999</v>
      </c>
      <c r="N18" s="440">
        <v>21.07</v>
      </c>
      <c r="W18" s="496"/>
      <c r="X18" s="496"/>
      <c r="Y18" s="496"/>
      <c r="Z18" s="496"/>
      <c r="AA18" s="496"/>
      <c r="AB18" s="496"/>
      <c r="AC18" s="496"/>
      <c r="AD18" s="496"/>
    </row>
    <row r="19" spans="1:30">
      <c r="A19" s="138"/>
      <c r="B19" s="406"/>
      <c r="C19" s="407"/>
      <c r="D19" s="128"/>
      <c r="E19" s="274"/>
      <c r="F19" s="271"/>
      <c r="H19" s="2"/>
      <c r="I19" s="2"/>
      <c r="J19" s="2"/>
      <c r="K19" s="2"/>
      <c r="L19" s="2"/>
      <c r="M19" s="2"/>
      <c r="N19" s="2"/>
      <c r="W19" s="496"/>
      <c r="X19" s="496"/>
      <c r="Y19" s="496"/>
      <c r="Z19" s="496"/>
      <c r="AA19" s="496"/>
      <c r="AB19" s="496"/>
      <c r="AC19" s="496"/>
      <c r="AD19" s="496"/>
    </row>
    <row r="20" spans="1:30" ht="15">
      <c r="A20" s="412" t="s">
        <v>152</v>
      </c>
      <c r="B20" s="413"/>
      <c r="C20" s="407"/>
      <c r="D20" s="141"/>
      <c r="E20" s="277">
        <f>E18*0.96</f>
        <v>0</v>
      </c>
      <c r="F20" s="278"/>
      <c r="H20" s="216" t="s">
        <v>135</v>
      </c>
      <c r="I20" s="562" t="s">
        <v>153</v>
      </c>
      <c r="J20" s="563"/>
      <c r="K20" s="563"/>
      <c r="L20" s="563"/>
      <c r="M20" s="563"/>
      <c r="N20" s="564"/>
      <c r="W20" s="496"/>
      <c r="X20" s="496"/>
      <c r="Y20" s="496"/>
      <c r="Z20" s="496"/>
      <c r="AA20" s="496"/>
      <c r="AB20" s="496"/>
      <c r="AC20" s="496"/>
      <c r="AD20" s="496"/>
    </row>
    <row r="21" spans="1:30" ht="15" customHeight="1">
      <c r="A21" s="408" t="s">
        <v>154</v>
      </c>
      <c r="B21" s="413"/>
      <c r="C21" s="414" t="s">
        <v>155</v>
      </c>
      <c r="D21" s="128"/>
      <c r="E21" s="275" t="e">
        <f>E20*'5-Premies en opslagen'!$C24</f>
        <v>#DIV/0!</v>
      </c>
      <c r="F21" s="271"/>
      <c r="H21" s="143"/>
      <c r="I21" s="290">
        <v>1</v>
      </c>
      <c r="J21" s="290">
        <v>2</v>
      </c>
      <c r="K21" s="290">
        <v>3</v>
      </c>
      <c r="L21" s="290">
        <v>4</v>
      </c>
      <c r="M21" s="290">
        <v>5</v>
      </c>
      <c r="N21" s="290">
        <v>6</v>
      </c>
      <c r="O21" s="286"/>
      <c r="W21" s="496"/>
      <c r="X21" s="496"/>
      <c r="Y21" s="496"/>
      <c r="Z21" s="496"/>
      <c r="AA21" s="496"/>
      <c r="AB21" s="496"/>
      <c r="AC21" s="496"/>
      <c r="AD21" s="496"/>
    </row>
    <row r="22" spans="1:30">
      <c r="A22" s="403" t="s">
        <v>156</v>
      </c>
      <c r="B22" s="416"/>
      <c r="C22" s="139"/>
      <c r="D22" s="128"/>
      <c r="E22" s="273" t="e">
        <f>E21+E18</f>
        <v>#DIV/0!</v>
      </c>
      <c r="F22" s="411" t="e">
        <f>IF(E22=0,0,E22/E$47)</f>
        <v>#DIV/0!</v>
      </c>
      <c r="G22" s="142"/>
      <c r="H22" s="143" t="s">
        <v>140</v>
      </c>
      <c r="I22" s="505"/>
      <c r="J22" s="505"/>
      <c r="K22" s="505"/>
      <c r="L22" s="505"/>
      <c r="M22" s="505"/>
      <c r="N22" s="505"/>
      <c r="O22" s="257"/>
      <c r="W22" s="496"/>
      <c r="X22" s="496"/>
      <c r="Y22" s="496"/>
      <c r="Z22" s="496"/>
      <c r="AA22" s="496"/>
      <c r="AB22" s="496"/>
      <c r="AC22" s="496"/>
      <c r="AD22" s="496"/>
    </row>
    <row r="23" spans="1:30" s="14" customFormat="1">
      <c r="A23" s="138"/>
      <c r="B23" s="410"/>
      <c r="C23" s="139"/>
      <c r="D23" s="128"/>
      <c r="E23" s="269"/>
      <c r="F23" s="271"/>
      <c r="G23" s="59"/>
      <c r="H23" s="143" t="s">
        <v>142</v>
      </c>
      <c r="I23" s="506"/>
      <c r="J23" s="506"/>
      <c r="K23" s="506"/>
      <c r="L23" s="505"/>
      <c r="M23" s="505"/>
      <c r="N23" s="505"/>
      <c r="O23" s="257"/>
      <c r="P23" s="59"/>
      <c r="Q23" s="59"/>
      <c r="R23" s="59"/>
      <c r="S23" s="59"/>
      <c r="T23" s="59"/>
      <c r="U23" s="59"/>
      <c r="V23" s="2"/>
      <c r="W23" s="496"/>
      <c r="X23" s="496"/>
      <c r="Y23" s="496"/>
      <c r="Z23" s="496"/>
      <c r="AA23" s="496"/>
      <c r="AB23" s="496"/>
      <c r="AC23" s="496"/>
      <c r="AD23" s="496"/>
    </row>
    <row r="24" spans="1:30" ht="14.25" customHeight="1">
      <c r="A24" s="408" t="s">
        <v>157</v>
      </c>
      <c r="B24" s="413"/>
      <c r="C24" s="414" t="s">
        <v>155</v>
      </c>
      <c r="D24" s="128"/>
      <c r="E24" s="275" t="e">
        <f>E22*'5-Premies en opslagen'!$B53</f>
        <v>#DIV/0!</v>
      </c>
      <c r="F24" s="271"/>
      <c r="H24" s="143" t="s">
        <v>144</v>
      </c>
      <c r="I24" s="510"/>
      <c r="J24" s="506"/>
      <c r="K24" s="506"/>
      <c r="L24" s="505"/>
      <c r="M24" s="505"/>
      <c r="N24" s="505"/>
      <c r="O24" s="257"/>
      <c r="W24" s="496"/>
      <c r="X24" s="496"/>
      <c r="Y24" s="496"/>
      <c r="Z24" s="496"/>
      <c r="AA24" s="496"/>
      <c r="AB24" s="496"/>
      <c r="AC24" s="496"/>
      <c r="AD24" s="496"/>
    </row>
    <row r="25" spans="1:30" ht="12.75" customHeight="1">
      <c r="A25" s="403" t="s">
        <v>158</v>
      </c>
      <c r="B25" s="410"/>
      <c r="C25" s="139"/>
      <c r="D25" s="128"/>
      <c r="E25" s="273" t="e">
        <f>SUM(E22:E24)</f>
        <v>#DIV/0!</v>
      </c>
      <c r="F25" s="411" t="e">
        <f>IF(E25=0,0,E25/E$47)</f>
        <v>#DIV/0!</v>
      </c>
      <c r="H25" s="143" t="s">
        <v>145</v>
      </c>
      <c r="I25" s="510"/>
      <c r="J25" s="506"/>
      <c r="K25" s="506"/>
      <c r="L25" s="505"/>
      <c r="M25" s="505"/>
      <c r="N25" s="505"/>
      <c r="O25" s="257"/>
      <c r="W25" s="496"/>
      <c r="X25" s="496"/>
      <c r="Y25" s="496"/>
      <c r="Z25" s="496"/>
      <c r="AA25" s="496"/>
      <c r="AB25" s="496"/>
      <c r="AC25" s="496"/>
      <c r="AD25" s="496"/>
    </row>
    <row r="26" spans="1:30" ht="12.75" customHeight="1">
      <c r="A26" s="138"/>
      <c r="B26" s="410"/>
      <c r="C26" s="139"/>
      <c r="D26" s="128"/>
      <c r="E26" s="269"/>
      <c r="F26" s="271"/>
      <c r="H26" s="143" t="s">
        <v>147</v>
      </c>
      <c r="I26" s="510"/>
      <c r="J26" s="506"/>
      <c r="K26" s="506"/>
      <c r="L26" s="505"/>
      <c r="M26" s="505"/>
      <c r="N26" s="505"/>
      <c r="O26" s="257"/>
    </row>
    <row r="27" spans="1:30">
      <c r="A27" s="138" t="s">
        <v>159</v>
      </c>
      <c r="B27" s="417"/>
      <c r="C27" s="402" t="s">
        <v>160</v>
      </c>
      <c r="D27" s="128"/>
      <c r="E27" s="272"/>
      <c r="F27" s="271">
        <v>0</v>
      </c>
      <c r="H27" s="143" t="s">
        <v>149</v>
      </c>
      <c r="I27" s="510"/>
      <c r="J27" s="506"/>
      <c r="K27" s="506"/>
      <c r="L27" s="505"/>
      <c r="M27" s="505"/>
      <c r="N27" s="505"/>
      <c r="O27" s="257"/>
    </row>
    <row r="28" spans="1:30">
      <c r="A28" s="138" t="s">
        <v>161</v>
      </c>
      <c r="B28" s="418"/>
      <c r="C28" s="402" t="s">
        <v>160</v>
      </c>
      <c r="D28" s="128"/>
      <c r="E28" s="272"/>
      <c r="F28" s="271">
        <v>0</v>
      </c>
      <c r="H28" s="143" t="s">
        <v>151</v>
      </c>
      <c r="I28" s="510"/>
      <c r="J28" s="506"/>
      <c r="K28" s="506"/>
      <c r="L28" s="505"/>
      <c r="M28" s="505"/>
      <c r="N28" s="505"/>
      <c r="O28" s="257"/>
    </row>
    <row r="29" spans="1:30">
      <c r="A29" s="138" t="s">
        <v>162</v>
      </c>
      <c r="B29" s="410"/>
      <c r="C29" s="139" t="s">
        <v>137</v>
      </c>
      <c r="D29" s="128"/>
      <c r="E29" s="272"/>
      <c r="F29" s="271"/>
      <c r="H29" s="144" t="s">
        <v>163</v>
      </c>
      <c r="I29" s="419">
        <f t="shared" ref="I29:N29" si="0">SUM(I22:I28)</f>
        <v>0</v>
      </c>
      <c r="J29" s="419">
        <f t="shared" si="0"/>
        <v>0</v>
      </c>
      <c r="K29" s="419">
        <f t="shared" si="0"/>
        <v>0</v>
      </c>
      <c r="L29" s="419">
        <f t="shared" si="0"/>
        <v>0</v>
      </c>
      <c r="M29" s="419">
        <f t="shared" si="0"/>
        <v>0</v>
      </c>
      <c r="N29" s="419">
        <f t="shared" si="0"/>
        <v>0</v>
      </c>
      <c r="O29" s="420">
        <f>SUM(I29:N29)</f>
        <v>0</v>
      </c>
    </row>
    <row r="30" spans="1:30">
      <c r="A30" s="408" t="s">
        <v>164</v>
      </c>
      <c r="B30" s="400"/>
      <c r="C30" s="402" t="s">
        <v>160</v>
      </c>
      <c r="D30" s="128"/>
      <c r="E30" s="272"/>
      <c r="F30" s="271"/>
    </row>
    <row r="31" spans="1:30">
      <c r="A31" s="421"/>
      <c r="B31" s="422"/>
      <c r="C31" s="423" t="s">
        <v>137</v>
      </c>
      <c r="D31" s="128"/>
      <c r="E31" s="272"/>
      <c r="F31" s="271"/>
      <c r="H31" s="81"/>
      <c r="I31" s="519"/>
      <c r="J31" s="519"/>
      <c r="K31" s="519"/>
      <c r="L31" s="519"/>
      <c r="M31" s="519"/>
      <c r="N31" s="519"/>
      <c r="O31" s="519"/>
    </row>
    <row r="32" spans="1:30" ht="15">
      <c r="A32" s="403" t="s">
        <v>165</v>
      </c>
      <c r="B32" s="410"/>
      <c r="C32" s="139"/>
      <c r="D32" s="128"/>
      <c r="E32" s="273" t="e">
        <f>SUM(E25:E31)</f>
        <v>#DIV/0!</v>
      </c>
      <c r="F32" s="411" t="e">
        <f>IF(E32=0,0,E32/E$47)</f>
        <v>#DIV/0!</v>
      </c>
      <c r="H32" s="216" t="s">
        <v>135</v>
      </c>
      <c r="I32" s="562" t="s">
        <v>166</v>
      </c>
      <c r="J32" s="563"/>
      <c r="K32" s="563"/>
      <c r="L32" s="563"/>
      <c r="M32" s="563"/>
      <c r="N32" s="564"/>
    </row>
    <row r="33" spans="1:15" ht="12.75" customHeight="1">
      <c r="A33" s="138"/>
      <c r="B33" s="410"/>
      <c r="C33" s="139"/>
      <c r="D33" s="128"/>
      <c r="E33" s="269"/>
      <c r="F33" s="271"/>
      <c r="H33" s="143"/>
      <c r="I33" s="137">
        <v>1</v>
      </c>
      <c r="J33" s="137">
        <v>2</v>
      </c>
      <c r="K33" s="137">
        <v>3</v>
      </c>
      <c r="L33" s="137">
        <v>4</v>
      </c>
      <c r="M33" s="137">
        <v>5</v>
      </c>
      <c r="N33" s="137">
        <v>6</v>
      </c>
    </row>
    <row r="34" spans="1:15" ht="12.75" customHeight="1">
      <c r="A34" s="138" t="s">
        <v>167</v>
      </c>
      <c r="B34" s="410"/>
      <c r="C34" s="424"/>
      <c r="D34" s="128"/>
      <c r="E34" s="272"/>
      <c r="F34" s="279" t="e">
        <f t="shared" ref="F34:F41" si="1">E34/$E$47</f>
        <v>#DIV/0!</v>
      </c>
      <c r="H34" s="143" t="s">
        <v>140</v>
      </c>
      <c r="I34" s="288">
        <f t="shared" ref="I34:N40" si="2">I22*I12</f>
        <v>0</v>
      </c>
      <c r="J34" s="288">
        <f t="shared" si="2"/>
        <v>0</v>
      </c>
      <c r="K34" s="288">
        <f t="shared" si="2"/>
        <v>0</v>
      </c>
      <c r="L34" s="288">
        <f t="shared" si="2"/>
        <v>0</v>
      </c>
      <c r="M34" s="288">
        <f t="shared" si="2"/>
        <v>0</v>
      </c>
      <c r="N34" s="503">
        <f t="shared" si="2"/>
        <v>0</v>
      </c>
    </row>
    <row r="35" spans="1:15" ht="12.75" customHeight="1">
      <c r="A35" s="138" t="s">
        <v>168</v>
      </c>
      <c r="B35" s="410"/>
      <c r="C35" s="424"/>
      <c r="D35" s="128"/>
      <c r="E35" s="272"/>
      <c r="F35" s="279" t="e">
        <f t="shared" si="1"/>
        <v>#DIV/0!</v>
      </c>
      <c r="H35" s="143" t="s">
        <v>142</v>
      </c>
      <c r="I35" s="288">
        <f t="shared" si="2"/>
        <v>0</v>
      </c>
      <c r="J35" s="288">
        <f t="shared" si="2"/>
        <v>0</v>
      </c>
      <c r="K35" s="288">
        <f t="shared" si="2"/>
        <v>0</v>
      </c>
      <c r="L35" s="288">
        <f t="shared" si="2"/>
        <v>0</v>
      </c>
      <c r="M35" s="288">
        <f t="shared" si="2"/>
        <v>0</v>
      </c>
      <c r="N35" s="503">
        <f t="shared" si="2"/>
        <v>0</v>
      </c>
    </row>
    <row r="36" spans="1:15" ht="12.75" customHeight="1">
      <c r="A36" s="138" t="s">
        <v>169</v>
      </c>
      <c r="B36" s="410"/>
      <c r="C36" s="424"/>
      <c r="D36" s="128"/>
      <c r="E36" s="272"/>
      <c r="F36" s="279" t="e">
        <f t="shared" si="1"/>
        <v>#DIV/0!</v>
      </c>
      <c r="H36" s="143" t="s">
        <v>144</v>
      </c>
      <c r="I36" s="288">
        <f t="shared" si="2"/>
        <v>0</v>
      </c>
      <c r="J36" s="288">
        <f t="shared" si="2"/>
        <v>0</v>
      </c>
      <c r="K36" s="288">
        <f t="shared" si="2"/>
        <v>0</v>
      </c>
      <c r="L36" s="288">
        <f t="shared" si="2"/>
        <v>0</v>
      </c>
      <c r="M36" s="288">
        <f t="shared" si="2"/>
        <v>0</v>
      </c>
      <c r="N36" s="503">
        <f t="shared" si="2"/>
        <v>0</v>
      </c>
    </row>
    <row r="37" spans="1:15" ht="12.75" customHeight="1">
      <c r="A37" s="138" t="s">
        <v>170</v>
      </c>
      <c r="B37" s="410"/>
      <c r="C37" s="425"/>
      <c r="D37" s="128"/>
      <c r="E37" s="272"/>
      <c r="F37" s="279" t="e">
        <f t="shared" si="1"/>
        <v>#DIV/0!</v>
      </c>
      <c r="H37" s="143" t="s">
        <v>145</v>
      </c>
      <c r="I37" s="288">
        <f t="shared" si="2"/>
        <v>0</v>
      </c>
      <c r="J37" s="288">
        <f t="shared" si="2"/>
        <v>0</v>
      </c>
      <c r="K37" s="288">
        <f t="shared" si="2"/>
        <v>0</v>
      </c>
      <c r="L37" s="288">
        <f t="shared" si="2"/>
        <v>0</v>
      </c>
      <c r="M37" s="288">
        <f t="shared" si="2"/>
        <v>0</v>
      </c>
      <c r="N37" s="503">
        <f t="shared" si="2"/>
        <v>0</v>
      </c>
      <c r="O37" s="142"/>
    </row>
    <row r="38" spans="1:15" ht="14.25" customHeight="1">
      <c r="A38" s="138" t="s">
        <v>171</v>
      </c>
      <c r="B38" s="410"/>
      <c r="C38" s="424"/>
      <c r="D38" s="128"/>
      <c r="E38" s="272"/>
      <c r="F38" s="279" t="e">
        <f t="shared" si="1"/>
        <v>#DIV/0!</v>
      </c>
      <c r="H38" s="143" t="s">
        <v>147</v>
      </c>
      <c r="I38" s="288">
        <f t="shared" si="2"/>
        <v>0</v>
      </c>
      <c r="J38" s="288">
        <f t="shared" si="2"/>
        <v>0</v>
      </c>
      <c r="K38" s="288">
        <f t="shared" si="2"/>
        <v>0</v>
      </c>
      <c r="L38" s="288">
        <f t="shared" si="2"/>
        <v>0</v>
      </c>
      <c r="M38" s="288">
        <f t="shared" si="2"/>
        <v>0</v>
      </c>
      <c r="N38" s="503">
        <f t="shared" si="2"/>
        <v>0</v>
      </c>
      <c r="O38" s="142"/>
    </row>
    <row r="39" spans="1:15">
      <c r="A39" s="138" t="s">
        <v>172</v>
      </c>
      <c r="B39" s="410"/>
      <c r="C39" s="425"/>
      <c r="D39" s="128"/>
      <c r="E39" s="272"/>
      <c r="F39" s="279" t="e">
        <f t="shared" si="1"/>
        <v>#DIV/0!</v>
      </c>
      <c r="H39" s="143" t="s">
        <v>149</v>
      </c>
      <c r="I39" s="288">
        <f t="shared" si="2"/>
        <v>0</v>
      </c>
      <c r="J39" s="288">
        <f t="shared" si="2"/>
        <v>0</v>
      </c>
      <c r="K39" s="288">
        <f t="shared" si="2"/>
        <v>0</v>
      </c>
      <c r="L39" s="288">
        <f t="shared" si="2"/>
        <v>0</v>
      </c>
      <c r="M39" s="288">
        <f t="shared" si="2"/>
        <v>0</v>
      </c>
      <c r="N39" s="503">
        <f t="shared" si="2"/>
        <v>0</v>
      </c>
      <c r="O39" s="142"/>
    </row>
    <row r="40" spans="1:15">
      <c r="A40" s="138" t="s">
        <v>173</v>
      </c>
      <c r="B40" s="410"/>
      <c r="C40" s="402" t="s">
        <v>160</v>
      </c>
      <c r="D40" s="128"/>
      <c r="E40" s="272"/>
      <c r="F40" s="279" t="e">
        <f t="shared" si="1"/>
        <v>#DIV/0!</v>
      </c>
      <c r="H40" s="143" t="s">
        <v>151</v>
      </c>
      <c r="I40" s="288">
        <f t="shared" si="2"/>
        <v>0</v>
      </c>
      <c r="J40" s="288">
        <f t="shared" si="2"/>
        <v>0</v>
      </c>
      <c r="K40" s="288">
        <f t="shared" si="2"/>
        <v>0</v>
      </c>
      <c r="L40" s="288">
        <f t="shared" si="2"/>
        <v>0</v>
      </c>
      <c r="M40" s="288">
        <f t="shared" si="2"/>
        <v>0</v>
      </c>
      <c r="N40" s="503">
        <f t="shared" si="2"/>
        <v>0</v>
      </c>
      <c r="O40" s="142"/>
    </row>
    <row r="41" spans="1:15">
      <c r="A41" s="138" t="s">
        <v>174</v>
      </c>
      <c r="B41" s="410"/>
      <c r="C41" s="402"/>
      <c r="D41" s="128"/>
      <c r="E41" s="272"/>
      <c r="F41" s="279" t="e">
        <f t="shared" si="1"/>
        <v>#DIV/0!</v>
      </c>
      <c r="H41" s="144" t="s">
        <v>163</v>
      </c>
      <c r="I41" s="289">
        <f t="shared" ref="I41:N41" si="3">SUM(I34:I40)</f>
        <v>0</v>
      </c>
      <c r="J41" s="289">
        <f t="shared" si="3"/>
        <v>0</v>
      </c>
      <c r="K41" s="289">
        <f t="shared" si="3"/>
        <v>0</v>
      </c>
      <c r="L41" s="289">
        <f t="shared" si="3"/>
        <v>0</v>
      </c>
      <c r="M41" s="289">
        <f t="shared" si="3"/>
        <v>0</v>
      </c>
      <c r="N41" s="289">
        <f t="shared" si="3"/>
        <v>0</v>
      </c>
      <c r="O41" s="142"/>
    </row>
    <row r="42" spans="1:15">
      <c r="A42" s="421"/>
      <c r="B42" s="422"/>
      <c r="C42" s="426"/>
      <c r="D42" s="128"/>
      <c r="E42" s="272"/>
      <c r="F42" s="271"/>
      <c r="H42" s="142"/>
      <c r="I42" s="142"/>
      <c r="J42" s="142"/>
      <c r="K42" s="142"/>
      <c r="L42" s="142"/>
      <c r="M42" s="142"/>
      <c r="N42" s="142"/>
      <c r="O42" s="142"/>
    </row>
    <row r="43" spans="1:15">
      <c r="A43" s="403" t="s">
        <v>175</v>
      </c>
      <c r="B43" s="410"/>
      <c r="C43" s="139"/>
      <c r="D43" s="128"/>
      <c r="E43" s="273" t="e">
        <f>SUM(E32:E42)</f>
        <v>#DIV/0!</v>
      </c>
      <c r="F43" s="411" t="e">
        <f>IF(E43=0,0,E43/E$47)</f>
        <v>#DIV/0!</v>
      </c>
      <c r="H43" s="142"/>
      <c r="I43" s="142"/>
      <c r="J43" s="142"/>
      <c r="K43" s="142"/>
      <c r="L43" s="142"/>
      <c r="M43" s="142"/>
      <c r="N43" s="142"/>
      <c r="O43" s="142"/>
    </row>
    <row r="44" spans="1:15" ht="45">
      <c r="A44" s="138"/>
      <c r="B44" s="410"/>
      <c r="C44" s="139"/>
      <c r="D44" s="128"/>
      <c r="E44" s="269"/>
      <c r="F44" s="280"/>
      <c r="G44" s="518"/>
      <c r="H44" s="565" t="s">
        <v>176</v>
      </c>
      <c r="I44" s="566"/>
      <c r="J44" s="567"/>
      <c r="K44" s="217" t="s">
        <v>134</v>
      </c>
      <c r="L44" s="142"/>
      <c r="M44" s="142"/>
      <c r="N44" s="142"/>
      <c r="O44" s="142"/>
    </row>
    <row r="45" spans="1:15">
      <c r="A45" s="138" t="s">
        <v>177</v>
      </c>
      <c r="B45" s="410"/>
      <c r="C45" s="425"/>
      <c r="D45" s="128"/>
      <c r="E45" s="272"/>
      <c r="F45" s="411">
        <f>(IF(E45=0,0,E45/E$47))</f>
        <v>0</v>
      </c>
      <c r="H45" s="143"/>
      <c r="I45" s="397" t="s">
        <v>137</v>
      </c>
      <c r="J45" s="398" t="s">
        <v>137</v>
      </c>
      <c r="K45" s="269"/>
      <c r="L45" s="142"/>
      <c r="M45" s="142"/>
      <c r="N45" s="142"/>
    </row>
    <row r="46" spans="1:15">
      <c r="A46" s="138"/>
      <c r="B46" s="427"/>
      <c r="C46" s="139"/>
      <c r="D46" s="128"/>
      <c r="E46" s="269"/>
      <c r="F46" s="271"/>
      <c r="H46" s="146" t="s">
        <v>143</v>
      </c>
      <c r="I46" s="147"/>
      <c r="J46" s="148"/>
      <c r="K46" s="273">
        <f>E14</f>
        <v>0</v>
      </c>
      <c r="L46" s="142"/>
      <c r="M46" s="142"/>
      <c r="N46" s="142"/>
    </row>
    <row r="47" spans="1:15">
      <c r="A47" s="403" t="s">
        <v>178</v>
      </c>
      <c r="B47" s="428"/>
      <c r="C47" s="429"/>
      <c r="D47" s="128"/>
      <c r="E47" s="281" t="e">
        <f>SUM(E43:E46)</f>
        <v>#DIV/0!</v>
      </c>
      <c r="F47" s="282" t="e">
        <f>SUM(F43:F46)</f>
        <v>#DIV/0!</v>
      </c>
      <c r="H47" s="149" t="s">
        <v>146</v>
      </c>
      <c r="I47" s="150"/>
      <c r="J47" s="151"/>
      <c r="K47" s="275">
        <f>E16</f>
        <v>0</v>
      </c>
      <c r="L47" s="142"/>
      <c r="M47" s="142"/>
      <c r="N47" s="142"/>
    </row>
    <row r="48" spans="1:15">
      <c r="B48" s="145"/>
      <c r="C48" s="430"/>
      <c r="D48" s="128"/>
      <c r="E48" s="257"/>
      <c r="F48" s="283"/>
      <c r="H48" s="408" t="s">
        <v>148</v>
      </c>
      <c r="I48" s="150"/>
      <c r="J48" s="151"/>
      <c r="K48" s="276">
        <f>E17</f>
        <v>0</v>
      </c>
      <c r="L48" s="142"/>
      <c r="M48" s="142"/>
      <c r="N48" s="142"/>
    </row>
    <row r="49" spans="1:26">
      <c r="A49" s="431" t="s">
        <v>179</v>
      </c>
      <c r="B49" s="432"/>
      <c r="C49" s="433"/>
      <c r="D49" s="142"/>
      <c r="E49" s="284" t="e">
        <f>(E$25*1.3)+($E$47-$E$25)</f>
        <v>#DIV/0!</v>
      </c>
      <c r="F49" s="285"/>
      <c r="H49" s="408" t="s">
        <v>154</v>
      </c>
      <c r="I49" s="150"/>
      <c r="J49" s="151"/>
      <c r="K49" s="275" t="e">
        <f>E21</f>
        <v>#DIV/0!</v>
      </c>
      <c r="L49" s="142"/>
      <c r="M49" s="142"/>
      <c r="N49" s="142"/>
      <c r="O49" s="142"/>
    </row>
    <row r="50" spans="1:26">
      <c r="A50" s="142"/>
      <c r="B50" s="152"/>
      <c r="C50" s="153"/>
      <c r="D50" s="142"/>
      <c r="E50" s="286"/>
      <c r="F50" s="286"/>
      <c r="H50" s="408" t="s">
        <v>157</v>
      </c>
      <c r="I50" s="413"/>
      <c r="J50" s="414"/>
      <c r="K50" s="275" t="e">
        <f>E24</f>
        <v>#DIV/0!</v>
      </c>
      <c r="L50" s="142"/>
      <c r="M50" s="142"/>
      <c r="N50" s="142"/>
      <c r="O50" s="142"/>
    </row>
    <row r="51" spans="1:26">
      <c r="A51" s="431" t="s">
        <v>180</v>
      </c>
      <c r="B51" s="432"/>
      <c r="C51" s="433"/>
      <c r="D51" s="142"/>
      <c r="E51" s="284" t="e">
        <f>(E$25*1.5)+($E$47-$E$25)</f>
        <v>#DIV/0!</v>
      </c>
      <c r="F51" s="285"/>
      <c r="G51" s="142"/>
      <c r="H51" s="138" t="s">
        <v>159</v>
      </c>
      <c r="I51" s="417"/>
      <c r="J51" s="402"/>
      <c r="K51" s="270">
        <f>E27</f>
        <v>0</v>
      </c>
      <c r="L51" s="142"/>
      <c r="M51" s="142"/>
      <c r="N51" s="142"/>
      <c r="O51" s="142"/>
    </row>
    <row r="52" spans="1:26" s="14" customFormat="1">
      <c r="A52" s="142"/>
      <c r="B52" s="152"/>
      <c r="C52" s="153"/>
      <c r="D52" s="142"/>
      <c r="E52" s="286"/>
      <c r="F52" s="286"/>
      <c r="G52" s="142"/>
      <c r="H52" s="138" t="s">
        <v>161</v>
      </c>
      <c r="I52" s="418"/>
      <c r="J52" s="402"/>
      <c r="K52" s="270">
        <f>E28</f>
        <v>0</v>
      </c>
      <c r="L52" s="142"/>
      <c r="M52" s="59"/>
      <c r="N52" s="142"/>
      <c r="O52" s="142"/>
      <c r="P52" s="59"/>
      <c r="Q52" s="59"/>
      <c r="R52" s="59"/>
      <c r="S52" s="59"/>
      <c r="T52" s="59"/>
      <c r="U52" s="59"/>
      <c r="V52" s="2"/>
      <c r="W52" s="2"/>
      <c r="X52" s="2"/>
      <c r="Y52" s="2"/>
      <c r="Z52" s="2"/>
    </row>
    <row r="53" spans="1:26" s="14" customFormat="1">
      <c r="A53" s="431" t="s">
        <v>181</v>
      </c>
      <c r="B53" s="432"/>
      <c r="C53" s="433"/>
      <c r="D53" s="142"/>
      <c r="E53" s="284" t="e">
        <f>(E$25*2.5)+($E$47-$E$25)</f>
        <v>#DIV/0!</v>
      </c>
      <c r="F53" s="286"/>
      <c r="G53" s="142"/>
      <c r="H53" s="138" t="s">
        <v>162</v>
      </c>
      <c r="I53" s="410"/>
      <c r="J53" s="139" t="s">
        <v>137</v>
      </c>
      <c r="K53" s="270">
        <f>E29</f>
        <v>0</v>
      </c>
      <c r="L53" s="142"/>
      <c r="M53" s="59"/>
      <c r="N53" s="142"/>
      <c r="O53" s="142"/>
      <c r="P53" s="142"/>
      <c r="Q53" s="142"/>
      <c r="R53" s="142"/>
      <c r="S53" s="142"/>
      <c r="T53" s="142"/>
      <c r="U53" s="142"/>
    </row>
    <row r="54" spans="1:26" s="14" customFormat="1">
      <c r="A54" s="142"/>
      <c r="B54" s="152"/>
      <c r="C54" s="154"/>
      <c r="D54" s="142"/>
      <c r="E54" s="142"/>
      <c r="F54" s="155"/>
      <c r="G54" s="142"/>
      <c r="H54" s="138" t="s">
        <v>167</v>
      </c>
      <c r="I54" s="410"/>
      <c r="J54" s="424"/>
      <c r="K54" s="270">
        <f t="shared" ref="K54:K61" si="4">E34</f>
        <v>0</v>
      </c>
      <c r="L54" s="142"/>
      <c r="M54" s="59"/>
      <c r="N54" s="142"/>
      <c r="O54" s="142"/>
      <c r="P54" s="142"/>
      <c r="Q54" s="142"/>
      <c r="R54" s="142"/>
      <c r="S54" s="142"/>
      <c r="T54" s="142"/>
      <c r="U54" s="142"/>
    </row>
    <row r="55" spans="1:26" s="14" customFormat="1">
      <c r="A55" s="142"/>
      <c r="B55" s="152"/>
      <c r="C55" s="154"/>
      <c r="D55" s="142"/>
      <c r="E55" s="142"/>
      <c r="F55" s="155"/>
      <c r="G55" s="142"/>
      <c r="H55" s="138" t="s">
        <v>168</v>
      </c>
      <c r="I55" s="410"/>
      <c r="J55" s="424"/>
      <c r="K55" s="270">
        <f t="shared" si="4"/>
        <v>0</v>
      </c>
      <c r="L55" s="142"/>
      <c r="M55" s="59"/>
      <c r="N55" s="142"/>
      <c r="O55" s="142"/>
      <c r="P55" s="142"/>
      <c r="Q55" s="142"/>
      <c r="R55" s="142"/>
      <c r="S55" s="142"/>
      <c r="T55" s="142"/>
      <c r="U55" s="142"/>
    </row>
    <row r="56" spans="1:26" s="14" customFormat="1">
      <c r="A56" s="142"/>
      <c r="B56" s="142"/>
      <c r="C56" s="156"/>
      <c r="D56" s="142"/>
      <c r="E56" s="142"/>
      <c r="F56" s="155"/>
      <c r="G56" s="142"/>
      <c r="H56" s="138" t="s">
        <v>169</v>
      </c>
      <c r="I56" s="410"/>
      <c r="J56" s="424"/>
      <c r="K56" s="270">
        <f t="shared" si="4"/>
        <v>0</v>
      </c>
      <c r="L56" s="142"/>
      <c r="M56" s="59"/>
      <c r="N56" s="142"/>
      <c r="O56" s="142"/>
      <c r="P56" s="142"/>
      <c r="Q56" s="142"/>
      <c r="R56" s="142"/>
      <c r="S56" s="142"/>
      <c r="T56" s="142"/>
      <c r="U56" s="142"/>
    </row>
    <row r="57" spans="1:26" s="14" customFormat="1">
      <c r="A57" s="142"/>
      <c r="B57" s="142"/>
      <c r="C57" s="156"/>
      <c r="D57" s="142"/>
      <c r="E57" s="142"/>
      <c r="F57" s="155"/>
      <c r="G57" s="142"/>
      <c r="H57" s="138" t="s">
        <v>170</v>
      </c>
      <c r="I57" s="410"/>
      <c r="J57" s="425"/>
      <c r="K57" s="270">
        <f t="shared" si="4"/>
        <v>0</v>
      </c>
      <c r="L57" s="142"/>
      <c r="M57" s="59"/>
      <c r="N57" s="142"/>
      <c r="O57" s="142"/>
      <c r="P57" s="142"/>
      <c r="Q57" s="142"/>
      <c r="R57" s="142"/>
      <c r="S57" s="142"/>
      <c r="T57" s="142"/>
      <c r="U57" s="142"/>
    </row>
    <row r="58" spans="1:26" s="14" customFormat="1">
      <c r="A58" s="59"/>
      <c r="B58" s="142"/>
      <c r="C58" s="156"/>
      <c r="D58" s="142"/>
      <c r="E58" s="142"/>
      <c r="F58" s="155"/>
      <c r="G58" s="142"/>
      <c r="H58" s="138" t="s">
        <v>171</v>
      </c>
      <c r="I58" s="410"/>
      <c r="J58" s="424"/>
      <c r="K58" s="270">
        <f t="shared" si="4"/>
        <v>0</v>
      </c>
      <c r="L58" s="142"/>
      <c r="M58" s="59"/>
      <c r="N58" s="142"/>
      <c r="O58" s="142"/>
      <c r="P58" s="142"/>
      <c r="Q58" s="142"/>
      <c r="R58" s="142"/>
      <c r="S58" s="142"/>
      <c r="T58" s="142"/>
      <c r="U58" s="142"/>
    </row>
    <row r="59" spans="1:26" s="14" customFormat="1">
      <c r="A59" s="142"/>
      <c r="B59" s="142"/>
      <c r="C59" s="156"/>
      <c r="D59" s="156"/>
      <c r="E59" s="156"/>
      <c r="F59" s="156"/>
      <c r="G59" s="142"/>
      <c r="H59" s="138" t="s">
        <v>172</v>
      </c>
      <c r="I59" s="410"/>
      <c r="J59" s="425"/>
      <c r="K59" s="270">
        <f t="shared" si="4"/>
        <v>0</v>
      </c>
      <c r="L59" s="142"/>
      <c r="M59" s="59"/>
      <c r="N59" s="59"/>
      <c r="O59" s="142"/>
      <c r="P59" s="142"/>
      <c r="Q59" s="142"/>
      <c r="R59" s="142"/>
      <c r="S59" s="142"/>
      <c r="T59" s="142"/>
      <c r="U59" s="142"/>
    </row>
    <row r="60" spans="1:26" s="14" customFormat="1">
      <c r="A60" s="142"/>
      <c r="B60" s="142"/>
      <c r="C60" s="156"/>
      <c r="D60" s="142"/>
      <c r="E60" s="142"/>
      <c r="F60" s="155"/>
      <c r="G60" s="142"/>
      <c r="H60" s="138" t="s">
        <v>173</v>
      </c>
      <c r="I60" s="410"/>
      <c r="J60" s="402"/>
      <c r="K60" s="270">
        <f t="shared" si="4"/>
        <v>0</v>
      </c>
      <c r="L60" s="142"/>
      <c r="M60" s="59"/>
      <c r="N60" s="59"/>
      <c r="O60" s="142"/>
      <c r="P60" s="142"/>
      <c r="Q60" s="142"/>
      <c r="R60" s="142"/>
      <c r="S60" s="142"/>
      <c r="T60" s="142"/>
      <c r="U60" s="142"/>
    </row>
    <row r="61" spans="1:26" s="14" customFormat="1">
      <c r="A61" s="142"/>
      <c r="B61" s="142"/>
      <c r="C61" s="156"/>
      <c r="D61" s="142"/>
      <c r="E61" s="142"/>
      <c r="F61" s="155"/>
      <c r="G61" s="142"/>
      <c r="H61" s="138" t="s">
        <v>182</v>
      </c>
      <c r="I61" s="410"/>
      <c r="J61" s="402"/>
      <c r="K61" s="270">
        <f t="shared" si="4"/>
        <v>0</v>
      </c>
      <c r="L61" s="142"/>
      <c r="M61" s="59"/>
      <c r="N61" s="59"/>
      <c r="O61" s="142"/>
      <c r="P61" s="142"/>
      <c r="Q61" s="142"/>
      <c r="R61" s="142"/>
      <c r="S61" s="142"/>
      <c r="T61" s="142"/>
      <c r="U61" s="142"/>
    </row>
    <row r="62" spans="1:26" s="14" customFormat="1">
      <c r="A62" s="142"/>
      <c r="B62" s="142"/>
      <c r="C62" s="156"/>
      <c r="D62" s="142"/>
      <c r="E62" s="142"/>
      <c r="F62" s="155"/>
      <c r="G62" s="142"/>
      <c r="H62" s="138" t="s">
        <v>177</v>
      </c>
      <c r="I62" s="410"/>
      <c r="J62" s="425"/>
      <c r="K62" s="270">
        <f>E45</f>
        <v>0</v>
      </c>
      <c r="L62" s="142"/>
      <c r="M62" s="59"/>
      <c r="N62" s="59"/>
      <c r="O62" s="142"/>
      <c r="P62" s="142"/>
      <c r="Q62" s="142"/>
      <c r="R62" s="142"/>
      <c r="S62" s="142"/>
      <c r="T62" s="142"/>
      <c r="U62" s="142"/>
    </row>
    <row r="63" spans="1:26" s="14" customFormat="1">
      <c r="A63" s="142"/>
      <c r="B63" s="142"/>
      <c r="C63" s="156"/>
      <c r="D63" s="142"/>
      <c r="E63" s="142"/>
      <c r="F63" s="155"/>
      <c r="G63" s="142"/>
      <c r="H63" s="138"/>
      <c r="I63" s="427"/>
      <c r="J63" s="139"/>
      <c r="K63" s="269"/>
      <c r="L63" s="142"/>
      <c r="M63" s="59"/>
      <c r="N63" s="59"/>
      <c r="O63" s="142"/>
      <c r="P63" s="142"/>
      <c r="Q63" s="142"/>
      <c r="R63" s="142"/>
      <c r="S63" s="142"/>
      <c r="T63" s="142"/>
      <c r="U63" s="142"/>
    </row>
    <row r="64" spans="1:26" s="14" customFormat="1">
      <c r="A64" s="142"/>
      <c r="B64" s="142"/>
      <c r="C64" s="156"/>
      <c r="D64" s="142"/>
      <c r="E64" s="142"/>
      <c r="F64" s="155"/>
      <c r="G64" s="142"/>
      <c r="H64" s="403" t="s">
        <v>178</v>
      </c>
      <c r="I64" s="428"/>
      <c r="J64" s="429"/>
      <c r="K64" s="281" t="e">
        <f>SUM(K46:K63)</f>
        <v>#DIV/0!</v>
      </c>
      <c r="L64" s="142"/>
      <c r="M64" s="59"/>
      <c r="N64" s="59"/>
      <c r="O64" s="142"/>
      <c r="P64" s="142"/>
      <c r="Q64" s="142"/>
      <c r="R64" s="142"/>
      <c r="S64" s="142"/>
      <c r="T64" s="142"/>
      <c r="U64" s="142"/>
    </row>
    <row r="65" spans="1:22" s="14" customFormat="1">
      <c r="A65" s="142"/>
      <c r="B65" s="142"/>
      <c r="C65" s="156"/>
      <c r="D65" s="142"/>
      <c r="E65" s="59"/>
      <c r="F65" s="155"/>
      <c r="G65" s="142"/>
      <c r="H65" s="59"/>
      <c r="I65" s="145"/>
      <c r="J65" s="430"/>
      <c r="K65" s="257"/>
      <c r="L65" s="142"/>
      <c r="M65" s="59"/>
      <c r="N65" s="59"/>
      <c r="O65" s="142"/>
      <c r="P65" s="142"/>
      <c r="Q65" s="142"/>
      <c r="R65" s="142"/>
      <c r="S65" s="142"/>
      <c r="T65" s="142"/>
      <c r="U65" s="142"/>
    </row>
    <row r="66" spans="1:22" s="14" customFormat="1">
      <c r="A66" s="59"/>
      <c r="B66" s="59"/>
      <c r="C66" s="59"/>
      <c r="D66" s="59"/>
      <c r="E66" s="59"/>
      <c r="F66" s="59"/>
      <c r="G66" s="142"/>
      <c r="H66" s="431" t="s">
        <v>179</v>
      </c>
      <c r="I66" s="432"/>
      <c r="J66" s="433"/>
      <c r="K66" s="284" t="e">
        <f>E49</f>
        <v>#DIV/0!</v>
      </c>
      <c r="L66" s="142"/>
      <c r="M66" s="59"/>
      <c r="N66" s="59"/>
      <c r="O66" s="59"/>
      <c r="P66" s="142"/>
      <c r="Q66" s="142"/>
      <c r="R66" s="142"/>
      <c r="S66" s="142"/>
      <c r="T66" s="142"/>
      <c r="U66" s="142"/>
    </row>
    <row r="67" spans="1:22" s="14" customFormat="1">
      <c r="A67" s="59"/>
      <c r="B67" s="59"/>
      <c r="C67" s="59"/>
      <c r="D67" s="59"/>
      <c r="E67" s="59"/>
      <c r="F67" s="59"/>
      <c r="G67" s="142"/>
      <c r="H67" s="142"/>
      <c r="I67" s="152"/>
      <c r="J67" s="153"/>
      <c r="K67" s="286"/>
      <c r="L67" s="142"/>
      <c r="M67" s="59"/>
      <c r="N67" s="59"/>
      <c r="O67" s="59"/>
      <c r="P67" s="59"/>
      <c r="Q67" s="142"/>
      <c r="R67" s="142"/>
      <c r="S67" s="142"/>
      <c r="T67" s="142"/>
      <c r="U67" s="142"/>
    </row>
    <row r="68" spans="1:22" s="14" customFormat="1">
      <c r="A68" s="59"/>
      <c r="B68" s="59"/>
      <c r="C68" s="59"/>
      <c r="D68" s="59"/>
      <c r="E68" s="59"/>
      <c r="F68" s="59"/>
      <c r="G68" s="59"/>
      <c r="H68" s="431" t="s">
        <v>180</v>
      </c>
      <c r="I68" s="432"/>
      <c r="J68" s="433"/>
      <c r="K68" s="284" t="e">
        <f>E51</f>
        <v>#DIV/0!</v>
      </c>
      <c r="L68" s="142"/>
      <c r="M68" s="59"/>
      <c r="N68" s="59"/>
      <c r="O68" s="59"/>
      <c r="P68" s="59"/>
      <c r="Q68" s="59"/>
      <c r="R68" s="59"/>
      <c r="S68" s="59"/>
      <c r="T68" s="59"/>
      <c r="U68" s="59"/>
      <c r="V68" s="2"/>
    </row>
    <row r="69" spans="1:22">
      <c r="H69" s="142"/>
      <c r="I69" s="152"/>
      <c r="J69" s="153"/>
      <c r="K69" s="286"/>
      <c r="L69" s="142"/>
    </row>
    <row r="70" spans="1:22">
      <c r="H70" s="431" t="s">
        <v>181</v>
      </c>
      <c r="I70" s="432"/>
      <c r="J70" s="433"/>
      <c r="K70" s="284" t="e">
        <f>E53</f>
        <v>#DIV/0!</v>
      </c>
      <c r="L70" s="142"/>
    </row>
    <row r="72" spans="1:22">
      <c r="L72" s="142"/>
    </row>
    <row r="73" spans="1:22">
      <c r="L73" s="142"/>
    </row>
    <row r="74" spans="1:22">
      <c r="L74" s="142"/>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26" activePane="bottomLeft" state="frozen"/>
      <selection activeCell="B1" sqref="B1"/>
      <selection pane="bottomLeft" activeCell="O17" sqref="O17"/>
    </sheetView>
  </sheetViews>
  <sheetFormatPr defaultColWidth="11.44140625" defaultRowHeight="13.2"/>
  <cols>
    <col min="1" max="1" width="35.88671875" style="59" customWidth="1"/>
    <col min="2" max="2" width="21.33203125" style="59" customWidth="1"/>
    <col min="3" max="3" width="19.33203125" style="59" bestFit="1" customWidth="1"/>
    <col min="4" max="4" width="2" style="59" customWidth="1"/>
    <col min="5" max="5" width="14.44140625" style="59" customWidth="1"/>
    <col min="6" max="6" width="11.6640625" style="59" customWidth="1"/>
    <col min="7" max="7" width="6" style="59" customWidth="1"/>
    <col min="8" max="8" width="27.88671875" style="59" customWidth="1"/>
    <col min="9" max="15" width="11.44140625" style="59"/>
    <col min="16" max="16384" width="11.44140625" style="2"/>
  </cols>
  <sheetData>
    <row r="1" spans="1:15" ht="12.75" customHeight="1">
      <c r="A1" s="502" t="s">
        <v>5</v>
      </c>
      <c r="B1" s="99"/>
      <c r="C1" s="100"/>
      <c r="D1" s="100"/>
      <c r="E1" s="100"/>
      <c r="F1" s="100"/>
      <c r="H1" s="570"/>
      <c r="I1" s="570"/>
      <c r="J1" s="570"/>
      <c r="K1" s="570"/>
      <c r="L1" s="570"/>
      <c r="M1" s="570"/>
      <c r="N1" s="570"/>
    </row>
    <row r="2" spans="1:15">
      <c r="A2" s="100"/>
      <c r="B2" s="118"/>
      <c r="C2" s="119"/>
      <c r="D2" s="118"/>
      <c r="E2" s="120"/>
      <c r="F2" s="121"/>
      <c r="H2" s="570"/>
      <c r="I2" s="570"/>
      <c r="J2" s="570"/>
      <c r="K2" s="570"/>
      <c r="L2" s="570"/>
      <c r="M2" s="570"/>
      <c r="N2" s="570"/>
    </row>
    <row r="3" spans="1:15" ht="14.25" customHeight="1">
      <c r="A3" s="39" t="str">
        <f>'2-Kosten'!A3</f>
        <v>Naam opdrachtgever</v>
      </c>
      <c r="B3" s="122">
        <f>'2-Kosten'!B3</f>
        <v>0</v>
      </c>
      <c r="C3" s="123"/>
      <c r="D3" s="118"/>
      <c r="E3" s="124"/>
      <c r="F3" s="125"/>
      <c r="H3" s="570"/>
      <c r="I3" s="570"/>
      <c r="J3" s="570"/>
      <c r="K3" s="570"/>
      <c r="L3" s="570"/>
      <c r="M3" s="570"/>
      <c r="N3" s="570"/>
    </row>
    <row r="4" spans="1:15" ht="15.75" customHeight="1">
      <c r="A4" s="39" t="str">
        <f>'2-Kosten'!A4</f>
        <v>Calculatie onderdeel</v>
      </c>
      <c r="B4" s="126" t="str">
        <f ca="1">MID(CELL("bestandsnaam",$C$9),SEARCH("]",CELL("bestandsnaam",$C$9),1)+1,256)</f>
        <v>7-Opbouw uurtarief toezicht</v>
      </c>
      <c r="C4" s="127"/>
      <c r="D4" s="128"/>
      <c r="H4" s="570"/>
      <c r="I4" s="570"/>
      <c r="J4" s="570"/>
      <c r="K4" s="570"/>
      <c r="L4" s="570"/>
      <c r="M4" s="570"/>
      <c r="N4" s="570"/>
    </row>
    <row r="5" spans="1:15" ht="15.6">
      <c r="A5" s="39" t="str">
        <f>'2-Kosten'!A5</f>
        <v>Gebouw/plaats</v>
      </c>
      <c r="B5" s="122">
        <f>'2-Kosten'!B5</f>
        <v>0</v>
      </c>
      <c r="C5" s="127"/>
      <c r="D5" s="128"/>
      <c r="H5" s="570"/>
      <c r="I5" s="570"/>
      <c r="J5" s="570"/>
      <c r="K5" s="570"/>
      <c r="L5" s="570"/>
      <c r="M5" s="570"/>
      <c r="N5" s="570"/>
    </row>
    <row r="6" spans="1:15" ht="15.6">
      <c r="A6" s="39" t="str">
        <f>'2-Kosten'!A6</f>
        <v>Referentie nummer</v>
      </c>
      <c r="B6" s="122">
        <f>'2-Kosten'!B6</f>
        <v>0</v>
      </c>
      <c r="C6" s="127"/>
      <c r="D6" s="128"/>
      <c r="H6" s="129"/>
      <c r="I6" s="129"/>
      <c r="J6" s="129"/>
      <c r="K6" s="129"/>
      <c r="L6" s="129"/>
      <c r="M6" s="129"/>
      <c r="N6" s="129"/>
    </row>
    <row r="7" spans="1:15" ht="15.6">
      <c r="A7" s="39" t="str">
        <f>'2-Kosten'!A7</f>
        <v>Naam dienstverlener</v>
      </c>
      <c r="B7" s="122">
        <f>'2-Kosten'!B7</f>
        <v>0</v>
      </c>
      <c r="C7" s="127"/>
      <c r="D7" s="128"/>
      <c r="H7" s="129"/>
      <c r="I7" s="129"/>
      <c r="J7" s="129"/>
      <c r="K7" s="129"/>
      <c r="L7" s="129"/>
      <c r="M7" s="129"/>
      <c r="N7" s="129"/>
    </row>
    <row r="8" spans="1:15" ht="15.6">
      <c r="A8" s="39" t="str">
        <f>'2-Kosten'!A8</f>
        <v>Prijspeil</v>
      </c>
      <c r="B8" s="287">
        <f>'2-Kosten'!B8</f>
        <v>46023</v>
      </c>
      <c r="C8" s="127"/>
      <c r="D8" s="128"/>
      <c r="J8" s="129"/>
      <c r="K8" s="129"/>
      <c r="L8" s="129"/>
      <c r="M8" s="129"/>
      <c r="N8" s="129"/>
      <c r="O8" s="130"/>
    </row>
    <row r="9" spans="1:15" ht="15.6">
      <c r="A9" s="131"/>
      <c r="B9" s="132"/>
      <c r="C9" s="133"/>
      <c r="D9" s="128"/>
      <c r="E9" s="134"/>
      <c r="F9" s="135"/>
    </row>
    <row r="10" spans="1:15" s="22" customFormat="1" ht="30.75" customHeight="1">
      <c r="A10" s="434" t="s">
        <v>183</v>
      </c>
      <c r="B10" s="395"/>
      <c r="C10" s="396"/>
      <c r="D10" s="214"/>
      <c r="E10" s="568" t="s">
        <v>184</v>
      </c>
      <c r="F10" s="569"/>
      <c r="G10" s="130"/>
      <c r="H10" s="216" t="s">
        <v>135</v>
      </c>
      <c r="I10" s="571" t="s">
        <v>136</v>
      </c>
      <c r="J10" s="572"/>
      <c r="K10" s="572"/>
      <c r="L10" s="572"/>
      <c r="M10" s="572"/>
      <c r="N10" s="572"/>
      <c r="O10" s="130"/>
    </row>
    <row r="11" spans="1:15" ht="14.4" customHeight="1">
      <c r="A11" s="143"/>
      <c r="B11" s="397" t="s">
        <v>137</v>
      </c>
      <c r="C11" s="398" t="s">
        <v>137</v>
      </c>
      <c r="D11" s="128"/>
      <c r="E11" s="136"/>
      <c r="F11" s="435"/>
      <c r="H11" s="143"/>
      <c r="I11" s="290">
        <v>1</v>
      </c>
      <c r="J11" s="290">
        <v>2</v>
      </c>
      <c r="K11" s="290">
        <v>3</v>
      </c>
      <c r="L11" s="290">
        <v>4</v>
      </c>
      <c r="M11" s="290">
        <v>5</v>
      </c>
      <c r="N11" s="290">
        <v>6</v>
      </c>
    </row>
    <row r="12" spans="1:15" ht="12.75" customHeight="1">
      <c r="A12" s="143" t="s">
        <v>138</v>
      </c>
      <c r="B12" s="400" t="s">
        <v>139</v>
      </c>
      <c r="C12" s="401"/>
      <c r="D12" s="128"/>
      <c r="E12" s="270">
        <f>SUM(I31:N31)</f>
        <v>0</v>
      </c>
      <c r="F12" s="271"/>
      <c r="H12" s="143" t="s">
        <v>145</v>
      </c>
      <c r="I12" s="440">
        <v>15.52</v>
      </c>
      <c r="J12" s="440">
        <v>16.079999999999998</v>
      </c>
      <c r="K12" s="440">
        <v>16.7</v>
      </c>
      <c r="L12" s="440">
        <v>17.53</v>
      </c>
      <c r="M12" s="440">
        <v>18.2</v>
      </c>
      <c r="N12" s="440">
        <v>19.12</v>
      </c>
    </row>
    <row r="13" spans="1:15">
      <c r="A13" s="143" t="s">
        <v>141</v>
      </c>
      <c r="B13" s="400" t="s">
        <v>139</v>
      </c>
      <c r="C13" s="402"/>
      <c r="D13" s="128"/>
      <c r="E13" s="272"/>
      <c r="F13" s="271"/>
      <c r="H13" s="143" t="s">
        <v>147</v>
      </c>
      <c r="I13" s="440">
        <v>16.079999999999998</v>
      </c>
      <c r="J13" s="440">
        <v>16.63</v>
      </c>
      <c r="K13" s="440">
        <v>17.3</v>
      </c>
      <c r="L13" s="440">
        <v>18.14</v>
      </c>
      <c r="M13" s="440">
        <v>18.82</v>
      </c>
      <c r="N13" s="440">
        <v>19.77</v>
      </c>
    </row>
    <row r="14" spans="1:15">
      <c r="A14" s="403" t="s">
        <v>143</v>
      </c>
      <c r="B14" s="404"/>
      <c r="C14" s="405"/>
      <c r="D14" s="140"/>
      <c r="E14" s="273">
        <f>SUM(E12:E13)</f>
        <v>0</v>
      </c>
      <c r="F14" s="271"/>
      <c r="H14" s="143" t="s">
        <v>149</v>
      </c>
      <c r="I14" s="440">
        <v>16.55</v>
      </c>
      <c r="J14" s="440">
        <v>17.07</v>
      </c>
      <c r="K14" s="440">
        <v>17.84</v>
      </c>
      <c r="L14" s="440">
        <v>18.73</v>
      </c>
      <c r="M14" s="440">
        <v>19.45</v>
      </c>
      <c r="N14" s="440">
        <v>20.420000000000002</v>
      </c>
    </row>
    <row r="15" spans="1:15">
      <c r="A15" s="138"/>
      <c r="B15" s="406"/>
      <c r="C15" s="407"/>
      <c r="D15" s="128"/>
      <c r="E15" s="274"/>
      <c r="F15" s="271"/>
      <c r="H15" s="143" t="s">
        <v>151</v>
      </c>
      <c r="I15" s="440">
        <v>17.05</v>
      </c>
      <c r="J15" s="440">
        <v>17.7</v>
      </c>
      <c r="K15" s="440">
        <v>18.440000000000001</v>
      </c>
      <c r="L15" s="440">
        <v>19.309999999999999</v>
      </c>
      <c r="M15" s="440">
        <v>20.059999999999999</v>
      </c>
      <c r="N15" s="440">
        <v>21.07</v>
      </c>
    </row>
    <row r="16" spans="1:15">
      <c r="A16" s="408" t="s">
        <v>146</v>
      </c>
      <c r="B16" s="400" t="s">
        <v>139</v>
      </c>
      <c r="C16" s="409"/>
      <c r="D16" s="128"/>
      <c r="E16" s="275">
        <f>$C16*E14</f>
        <v>0</v>
      </c>
      <c r="F16" s="271"/>
    </row>
    <row r="17" spans="1:15" ht="14.4" customHeight="1">
      <c r="A17" s="408" t="s">
        <v>148</v>
      </c>
      <c r="B17" s="400" t="s">
        <v>139</v>
      </c>
      <c r="C17" s="409"/>
      <c r="D17" s="128"/>
      <c r="E17" s="276">
        <f>$C17*E14</f>
        <v>0</v>
      </c>
      <c r="F17" s="271"/>
      <c r="H17" s="216" t="s">
        <v>135</v>
      </c>
      <c r="I17" s="562" t="s">
        <v>153</v>
      </c>
      <c r="J17" s="563"/>
      <c r="K17" s="563"/>
      <c r="L17" s="563"/>
      <c r="M17" s="563"/>
      <c r="N17" s="564"/>
    </row>
    <row r="18" spans="1:15" ht="13.2" customHeight="1">
      <c r="A18" s="403" t="s">
        <v>150</v>
      </c>
      <c r="B18" s="410"/>
      <c r="C18" s="139"/>
      <c r="D18" s="128"/>
      <c r="E18" s="273">
        <f>SUM(E14:E17)</f>
        <v>0</v>
      </c>
      <c r="F18" s="411">
        <f>IF(E18=0,0,E18/E$46)</f>
        <v>0</v>
      </c>
      <c r="H18" s="143"/>
      <c r="I18" s="290">
        <v>1</v>
      </c>
      <c r="J18" s="290">
        <v>2</v>
      </c>
      <c r="K18" s="290">
        <v>3</v>
      </c>
      <c r="L18" s="290">
        <v>4</v>
      </c>
      <c r="M18" s="290">
        <v>5</v>
      </c>
      <c r="N18" s="290">
        <v>6</v>
      </c>
      <c r="O18" s="257"/>
    </row>
    <row r="19" spans="1:15">
      <c r="A19" s="138"/>
      <c r="B19" s="406"/>
      <c r="C19" s="407"/>
      <c r="D19" s="128"/>
      <c r="E19" s="274"/>
      <c r="F19" s="271"/>
      <c r="H19" s="143" t="s">
        <v>145</v>
      </c>
      <c r="I19" s="415"/>
      <c r="J19" s="415"/>
      <c r="K19" s="415"/>
      <c r="L19" s="415"/>
      <c r="M19" s="415"/>
      <c r="N19" s="415"/>
      <c r="O19" s="257"/>
    </row>
    <row r="20" spans="1:15">
      <c r="A20" s="412" t="s">
        <v>152</v>
      </c>
      <c r="B20" s="413"/>
      <c r="C20" s="407"/>
      <c r="D20" s="141"/>
      <c r="E20" s="277">
        <f>E18*0.96</f>
        <v>0</v>
      </c>
      <c r="F20" s="278"/>
      <c r="H20" s="143" t="s">
        <v>147</v>
      </c>
      <c r="I20" s="415"/>
      <c r="J20" s="415"/>
      <c r="K20" s="415"/>
      <c r="L20" s="415"/>
      <c r="M20" s="415"/>
      <c r="N20" s="415"/>
      <c r="O20" s="286"/>
    </row>
    <row r="21" spans="1:15">
      <c r="A21" s="408" t="s">
        <v>154</v>
      </c>
      <c r="B21" s="413"/>
      <c r="C21" s="414" t="s">
        <v>155</v>
      </c>
      <c r="D21" s="128"/>
      <c r="E21" s="275" t="e">
        <f>E20*'5-Premies en opslagen'!$C24</f>
        <v>#DIV/0!</v>
      </c>
      <c r="F21" s="271"/>
      <c r="G21" s="142"/>
      <c r="H21" s="143" t="s">
        <v>149</v>
      </c>
      <c r="I21" s="415"/>
      <c r="J21" s="415"/>
      <c r="K21" s="415"/>
      <c r="L21" s="415"/>
      <c r="M21" s="415"/>
      <c r="N21" s="415"/>
      <c r="O21" s="257"/>
    </row>
    <row r="22" spans="1:15" s="14" customFormat="1">
      <c r="A22" s="403" t="s">
        <v>156</v>
      </c>
      <c r="B22" s="416"/>
      <c r="C22" s="139"/>
      <c r="D22" s="128"/>
      <c r="E22" s="273" t="e">
        <f>E21+E18</f>
        <v>#DIV/0!</v>
      </c>
      <c r="F22" s="411" t="e">
        <f>IF(E22=0,0,E22/E$46)</f>
        <v>#DIV/0!</v>
      </c>
      <c r="G22" s="59"/>
      <c r="H22" s="143" t="s">
        <v>151</v>
      </c>
      <c r="I22" s="415"/>
      <c r="J22" s="415"/>
      <c r="K22" s="415"/>
      <c r="L22" s="415"/>
      <c r="M22" s="415"/>
      <c r="N22" s="415"/>
      <c r="O22" s="257"/>
    </row>
    <row r="23" spans="1:15" ht="14.25" customHeight="1">
      <c r="A23" s="138"/>
      <c r="B23" s="410"/>
      <c r="C23" s="139"/>
      <c r="D23" s="128"/>
      <c r="E23" s="269"/>
      <c r="F23" s="271"/>
      <c r="H23" s="144" t="s">
        <v>163</v>
      </c>
      <c r="I23" s="419">
        <f t="shared" ref="I23:N23" si="0">SUM(I19:I22)</f>
        <v>0</v>
      </c>
      <c r="J23" s="419">
        <f t="shared" si="0"/>
        <v>0</v>
      </c>
      <c r="K23" s="419">
        <f t="shared" si="0"/>
        <v>0</v>
      </c>
      <c r="L23" s="419">
        <f t="shared" si="0"/>
        <v>0</v>
      </c>
      <c r="M23" s="419">
        <f t="shared" si="0"/>
        <v>0</v>
      </c>
      <c r="N23" s="419">
        <f t="shared" si="0"/>
        <v>0</v>
      </c>
      <c r="O23" s="420">
        <f>SUM(I23:N23)</f>
        <v>0</v>
      </c>
    </row>
    <row r="24" spans="1:15" ht="12.75" customHeight="1">
      <c r="A24" s="408" t="s">
        <v>157</v>
      </c>
      <c r="B24" s="413"/>
      <c r="C24" s="414" t="s">
        <v>155</v>
      </c>
      <c r="D24" s="128"/>
      <c r="E24" s="275" t="e">
        <f>E22*'5-Premies en opslagen'!$B53</f>
        <v>#DIV/0!</v>
      </c>
      <c r="F24" s="271"/>
    </row>
    <row r="25" spans="1:15" ht="12.75" customHeight="1">
      <c r="A25" s="403" t="s">
        <v>158</v>
      </c>
      <c r="B25" s="410"/>
      <c r="C25" s="139"/>
      <c r="D25" s="128"/>
      <c r="E25" s="273" t="e">
        <f>SUM(E22:E24)</f>
        <v>#DIV/0!</v>
      </c>
      <c r="F25" s="411" t="e">
        <f>IF(E25=0,0,E25/E$46)</f>
        <v>#DIV/0!</v>
      </c>
      <c r="H25" s="216" t="s">
        <v>135</v>
      </c>
      <c r="I25" s="571" t="s">
        <v>166</v>
      </c>
      <c r="J25" s="572"/>
      <c r="K25" s="572"/>
      <c r="L25" s="572"/>
      <c r="M25" s="572"/>
      <c r="N25" s="572"/>
    </row>
    <row r="26" spans="1:15">
      <c r="A26" s="138"/>
      <c r="B26" s="410"/>
      <c r="C26" s="139"/>
      <c r="D26" s="128"/>
      <c r="E26" s="269"/>
      <c r="F26" s="271"/>
      <c r="H26" s="291"/>
      <c r="I26" s="290">
        <v>1</v>
      </c>
      <c r="J26" s="290">
        <v>2</v>
      </c>
      <c r="K26" s="290">
        <v>3</v>
      </c>
      <c r="L26" s="290">
        <v>4</v>
      </c>
      <c r="M26" s="290">
        <v>5</v>
      </c>
      <c r="N26" s="290">
        <v>6</v>
      </c>
    </row>
    <row r="27" spans="1:15" ht="13.2" customHeight="1">
      <c r="A27" s="138" t="s">
        <v>159</v>
      </c>
      <c r="B27" s="417"/>
      <c r="C27" s="402" t="s">
        <v>160</v>
      </c>
      <c r="D27" s="128"/>
      <c r="E27" s="272"/>
      <c r="F27" s="271">
        <v>0</v>
      </c>
      <c r="H27" s="143" t="s">
        <v>145</v>
      </c>
      <c r="I27" s="504">
        <f t="shared" ref="I27:N30" si="1">I19*I12</f>
        <v>0</v>
      </c>
      <c r="J27" s="504">
        <f t="shared" si="1"/>
        <v>0</v>
      </c>
      <c r="K27" s="504">
        <f t="shared" si="1"/>
        <v>0</v>
      </c>
      <c r="L27" s="504">
        <f t="shared" si="1"/>
        <v>0</v>
      </c>
      <c r="M27" s="504">
        <f t="shared" si="1"/>
        <v>0</v>
      </c>
      <c r="N27" s="504">
        <f t="shared" si="1"/>
        <v>0</v>
      </c>
    </row>
    <row r="28" spans="1:15">
      <c r="A28" s="138" t="s">
        <v>161</v>
      </c>
      <c r="B28" s="418"/>
      <c r="C28" s="402" t="s">
        <v>160</v>
      </c>
      <c r="D28" s="128"/>
      <c r="E28" s="272"/>
      <c r="F28" s="271">
        <v>0</v>
      </c>
      <c r="H28" s="143" t="s">
        <v>147</v>
      </c>
      <c r="I28" s="504">
        <f t="shared" si="1"/>
        <v>0</v>
      </c>
      <c r="J28" s="504">
        <f t="shared" si="1"/>
        <v>0</v>
      </c>
      <c r="K28" s="504">
        <f t="shared" si="1"/>
        <v>0</v>
      </c>
      <c r="L28" s="504">
        <f t="shared" si="1"/>
        <v>0</v>
      </c>
      <c r="M28" s="504">
        <f t="shared" si="1"/>
        <v>0</v>
      </c>
      <c r="N28" s="504">
        <f t="shared" si="1"/>
        <v>0</v>
      </c>
    </row>
    <row r="29" spans="1:15">
      <c r="A29" s="138" t="s">
        <v>185</v>
      </c>
      <c r="B29" s="410"/>
      <c r="C29" s="139"/>
      <c r="D29" s="128"/>
      <c r="E29" s="272"/>
      <c r="F29" s="271"/>
      <c r="H29" s="143" t="s">
        <v>149</v>
      </c>
      <c r="I29" s="504">
        <f t="shared" si="1"/>
        <v>0</v>
      </c>
      <c r="J29" s="504">
        <f t="shared" si="1"/>
        <v>0</v>
      </c>
      <c r="K29" s="504">
        <f t="shared" si="1"/>
        <v>0</v>
      </c>
      <c r="L29" s="504">
        <f t="shared" si="1"/>
        <v>0</v>
      </c>
      <c r="M29" s="504">
        <f t="shared" si="1"/>
        <v>0</v>
      </c>
      <c r="N29" s="504">
        <f t="shared" si="1"/>
        <v>0</v>
      </c>
    </row>
    <row r="30" spans="1:15">
      <c r="A30" s="421"/>
      <c r="B30" s="422"/>
      <c r="C30" s="423" t="s">
        <v>137</v>
      </c>
      <c r="D30" s="128"/>
      <c r="E30" s="272"/>
      <c r="F30" s="271"/>
      <c r="H30" s="143" t="s">
        <v>151</v>
      </c>
      <c r="I30" s="504">
        <f t="shared" si="1"/>
        <v>0</v>
      </c>
      <c r="J30" s="504">
        <f t="shared" si="1"/>
        <v>0</v>
      </c>
      <c r="K30" s="504">
        <f t="shared" si="1"/>
        <v>0</v>
      </c>
      <c r="L30" s="504">
        <f t="shared" si="1"/>
        <v>0</v>
      </c>
      <c r="M30" s="504">
        <f t="shared" si="1"/>
        <v>0</v>
      </c>
      <c r="N30" s="504">
        <f t="shared" si="1"/>
        <v>0</v>
      </c>
    </row>
    <row r="31" spans="1:15" ht="12.75" customHeight="1">
      <c r="A31" s="403" t="s">
        <v>165</v>
      </c>
      <c r="B31" s="410"/>
      <c r="C31" s="139"/>
      <c r="D31" s="128"/>
      <c r="E31" s="273" t="e">
        <f>SUM(E25:E30)</f>
        <v>#DIV/0!</v>
      </c>
      <c r="F31" s="411" t="e">
        <f>IF(E31=0,0,E31/E$46)</f>
        <v>#DIV/0!</v>
      </c>
      <c r="H31" s="144" t="s">
        <v>163</v>
      </c>
      <c r="I31" s="436">
        <f t="shared" ref="I31:N31" si="2">SUM(I27:I30)</f>
        <v>0</v>
      </c>
      <c r="J31" s="436">
        <f t="shared" si="2"/>
        <v>0</v>
      </c>
      <c r="K31" s="436">
        <f t="shared" si="2"/>
        <v>0</v>
      </c>
      <c r="L31" s="436">
        <f t="shared" si="2"/>
        <v>0</v>
      </c>
      <c r="M31" s="436">
        <f t="shared" si="2"/>
        <v>0</v>
      </c>
      <c r="N31" s="436">
        <f t="shared" si="2"/>
        <v>0</v>
      </c>
    </row>
    <row r="32" spans="1:15" ht="12.75" customHeight="1">
      <c r="A32" s="138"/>
      <c r="B32" s="410"/>
      <c r="C32" s="139"/>
      <c r="D32" s="128"/>
      <c r="E32" s="269"/>
      <c r="F32" s="271"/>
    </row>
    <row r="33" spans="1:15" ht="12.75" customHeight="1">
      <c r="A33" s="138" t="s">
        <v>167</v>
      </c>
      <c r="B33" s="410"/>
      <c r="C33" s="424"/>
      <c r="D33" s="128"/>
      <c r="E33" s="272"/>
      <c r="F33" s="279" t="e">
        <f>E33/$E$46</f>
        <v>#DIV/0!</v>
      </c>
    </row>
    <row r="34" spans="1:15" ht="12.75" customHeight="1">
      <c r="A34" s="138" t="s">
        <v>168</v>
      </c>
      <c r="B34" s="410"/>
      <c r="C34" s="424"/>
      <c r="D34" s="128"/>
      <c r="E34" s="272"/>
      <c r="F34" s="279" t="e">
        <f t="shared" ref="F34:F40" si="3">E34/$E$46</f>
        <v>#DIV/0!</v>
      </c>
    </row>
    <row r="35" spans="1:15" ht="12.75" customHeight="1">
      <c r="A35" s="138" t="s">
        <v>169</v>
      </c>
      <c r="B35" s="410"/>
      <c r="C35" s="424"/>
      <c r="D35" s="128"/>
      <c r="E35" s="272"/>
      <c r="F35" s="279" t="e">
        <f t="shared" si="3"/>
        <v>#DIV/0!</v>
      </c>
    </row>
    <row r="36" spans="1:15" ht="14.25" customHeight="1">
      <c r="A36" s="138" t="s">
        <v>170</v>
      </c>
      <c r="B36" s="410"/>
      <c r="C36" s="425"/>
      <c r="D36" s="128"/>
      <c r="E36" s="272"/>
      <c r="F36" s="279" t="e">
        <f t="shared" si="3"/>
        <v>#DIV/0!</v>
      </c>
    </row>
    <row r="37" spans="1:15">
      <c r="A37" s="138" t="s">
        <v>171</v>
      </c>
      <c r="B37" s="410"/>
      <c r="C37" s="424"/>
      <c r="D37" s="128"/>
      <c r="E37" s="272"/>
      <c r="F37" s="279" t="e">
        <f t="shared" si="3"/>
        <v>#DIV/0!</v>
      </c>
    </row>
    <row r="38" spans="1:15">
      <c r="A38" s="138" t="s">
        <v>172</v>
      </c>
      <c r="B38" s="410"/>
      <c r="C38" s="425"/>
      <c r="D38" s="128"/>
      <c r="E38" s="272"/>
      <c r="F38" s="279" t="e">
        <f t="shared" si="3"/>
        <v>#DIV/0!</v>
      </c>
    </row>
    <row r="39" spans="1:15">
      <c r="A39" s="138" t="s">
        <v>173</v>
      </c>
      <c r="B39" s="410"/>
      <c r="C39" s="402" t="s">
        <v>160</v>
      </c>
      <c r="D39" s="128"/>
      <c r="E39" s="272"/>
      <c r="F39" s="279" t="e">
        <f t="shared" si="3"/>
        <v>#DIV/0!</v>
      </c>
    </row>
    <row r="40" spans="1:15">
      <c r="A40" s="138" t="s">
        <v>182</v>
      </c>
      <c r="B40" s="410"/>
      <c r="C40" s="402"/>
      <c r="D40" s="128"/>
      <c r="E40" s="272"/>
      <c r="F40" s="279" t="e">
        <f t="shared" si="3"/>
        <v>#DIV/0!</v>
      </c>
    </row>
    <row r="41" spans="1:15">
      <c r="A41" s="421"/>
      <c r="B41" s="422"/>
      <c r="C41" s="426"/>
      <c r="D41" s="128"/>
      <c r="E41" s="272"/>
      <c r="F41" s="271"/>
      <c r="H41" s="142"/>
      <c r="I41" s="142"/>
      <c r="J41" s="142"/>
      <c r="K41" s="142"/>
      <c r="L41" s="142"/>
      <c r="M41" s="142"/>
      <c r="N41" s="142"/>
      <c r="O41" s="142"/>
    </row>
    <row r="42" spans="1:15">
      <c r="A42" s="403" t="s">
        <v>175</v>
      </c>
      <c r="B42" s="410"/>
      <c r="C42" s="139"/>
      <c r="D42" s="128"/>
      <c r="E42" s="273" t="e">
        <f>SUM(E31:E41)</f>
        <v>#DIV/0!</v>
      </c>
      <c r="F42" s="411" t="e">
        <f>IF(E42=0,0,E42/E$46)</f>
        <v>#DIV/0!</v>
      </c>
      <c r="H42" s="142"/>
      <c r="I42" s="142"/>
      <c r="J42" s="142"/>
      <c r="K42" s="142"/>
      <c r="L42" s="142"/>
      <c r="M42" s="142"/>
      <c r="N42" s="142"/>
      <c r="O42" s="142"/>
    </row>
    <row r="43" spans="1:15" ht="45">
      <c r="A43" s="138"/>
      <c r="B43" s="410"/>
      <c r="C43" s="139"/>
      <c r="D43" s="128"/>
      <c r="E43" s="269"/>
      <c r="F43" s="280"/>
      <c r="H43" s="434" t="s">
        <v>176</v>
      </c>
      <c r="I43" s="395"/>
      <c r="J43" s="396"/>
      <c r="K43" s="217" t="s">
        <v>134</v>
      </c>
      <c r="L43" s="142"/>
      <c r="M43" s="142"/>
      <c r="N43" s="142"/>
    </row>
    <row r="44" spans="1:15">
      <c r="A44" s="138" t="s">
        <v>177</v>
      </c>
      <c r="B44" s="410"/>
      <c r="C44" s="425"/>
      <c r="D44" s="128"/>
      <c r="E44" s="272"/>
      <c r="F44" s="411">
        <f>(IF(E44=0,0,E44/E$46))</f>
        <v>0</v>
      </c>
      <c r="H44" s="143"/>
      <c r="I44" s="397" t="s">
        <v>137</v>
      </c>
      <c r="J44" s="398" t="s">
        <v>137</v>
      </c>
      <c r="K44" s="269"/>
      <c r="L44" s="142"/>
      <c r="M44" s="142"/>
      <c r="N44" s="142"/>
    </row>
    <row r="45" spans="1:15">
      <c r="A45" s="138"/>
      <c r="B45" s="427"/>
      <c r="C45" s="139"/>
      <c r="D45" s="128"/>
      <c r="E45" s="269"/>
      <c r="F45" s="271"/>
      <c r="H45" s="146" t="s">
        <v>143</v>
      </c>
      <c r="I45" s="147"/>
      <c r="J45" s="148"/>
      <c r="K45" s="273">
        <f>E14</f>
        <v>0</v>
      </c>
      <c r="L45" s="142"/>
      <c r="M45" s="142"/>
      <c r="N45" s="142"/>
    </row>
    <row r="46" spans="1:15">
      <c r="A46" s="403" t="s">
        <v>178</v>
      </c>
      <c r="B46" s="428"/>
      <c r="C46" s="429"/>
      <c r="D46" s="128"/>
      <c r="E46" s="281" t="e">
        <f>SUM(E42:E45)</f>
        <v>#DIV/0!</v>
      </c>
      <c r="F46" s="282" t="e">
        <f>SUM(F42:F45)</f>
        <v>#DIV/0!</v>
      </c>
      <c r="H46" s="149" t="s">
        <v>146</v>
      </c>
      <c r="I46" s="150"/>
      <c r="J46" s="151"/>
      <c r="K46" s="275">
        <f>E16</f>
        <v>0</v>
      </c>
      <c r="L46" s="142"/>
      <c r="M46" s="142"/>
      <c r="N46" s="142"/>
    </row>
    <row r="47" spans="1:15">
      <c r="B47" s="145"/>
      <c r="C47" s="430"/>
      <c r="D47" s="128"/>
      <c r="E47" s="257"/>
      <c r="F47" s="283"/>
      <c r="H47" s="408" t="s">
        <v>148</v>
      </c>
      <c r="I47" s="150"/>
      <c r="J47" s="151"/>
      <c r="K47" s="276">
        <f>E17</f>
        <v>0</v>
      </c>
      <c r="L47" s="142"/>
      <c r="M47" s="142"/>
      <c r="N47" s="142"/>
      <c r="O47" s="142"/>
    </row>
    <row r="48" spans="1:15">
      <c r="A48" s="431" t="s">
        <v>179</v>
      </c>
      <c r="B48" s="432"/>
      <c r="C48" s="433"/>
      <c r="D48" s="142"/>
      <c r="E48" s="284" t="e">
        <f>(E$25*1.3)+($E$46-$E$25)</f>
        <v>#DIV/0!</v>
      </c>
      <c r="F48" s="285"/>
      <c r="H48" s="408" t="s">
        <v>154</v>
      </c>
      <c r="I48" s="150"/>
      <c r="J48" s="151"/>
      <c r="K48" s="275" t="e">
        <f>E21</f>
        <v>#DIV/0!</v>
      </c>
      <c r="L48" s="142"/>
      <c r="M48" s="142"/>
      <c r="N48" s="142"/>
      <c r="O48" s="142"/>
    </row>
    <row r="49" spans="1:15">
      <c r="A49" s="142"/>
      <c r="B49" s="152"/>
      <c r="C49" s="153"/>
      <c r="D49" s="142"/>
      <c r="E49" s="286"/>
      <c r="F49" s="286"/>
      <c r="G49" s="142"/>
      <c r="H49" s="408" t="s">
        <v>157</v>
      </c>
      <c r="I49" s="413"/>
      <c r="J49" s="414"/>
      <c r="K49" s="275" t="e">
        <f>E24</f>
        <v>#DIV/0!</v>
      </c>
      <c r="L49" s="142"/>
      <c r="M49" s="142"/>
      <c r="N49" s="142"/>
      <c r="O49" s="142"/>
    </row>
    <row r="50" spans="1:15" s="14" customFormat="1">
      <c r="A50" s="431" t="s">
        <v>180</v>
      </c>
      <c r="B50" s="432"/>
      <c r="C50" s="433"/>
      <c r="D50" s="142"/>
      <c r="E50" s="284" t="e">
        <f>(E$25*1.5)+($E$46-$E$25)</f>
        <v>#DIV/0!</v>
      </c>
      <c r="F50" s="285"/>
      <c r="G50" s="142"/>
      <c r="H50" s="138" t="s">
        <v>159</v>
      </c>
      <c r="I50" s="417"/>
      <c r="J50" s="402"/>
      <c r="K50" s="270">
        <f>E27</f>
        <v>0</v>
      </c>
      <c r="L50" s="142"/>
      <c r="M50" s="142"/>
      <c r="N50" s="142"/>
      <c r="O50" s="142"/>
    </row>
    <row r="51" spans="1:15" s="14" customFormat="1">
      <c r="A51" s="142"/>
      <c r="B51" s="152"/>
      <c r="C51" s="153"/>
      <c r="D51" s="142"/>
      <c r="E51" s="286"/>
      <c r="F51" s="286"/>
      <c r="G51" s="142"/>
      <c r="H51" s="138" t="s">
        <v>161</v>
      </c>
      <c r="I51" s="418"/>
      <c r="J51" s="402"/>
      <c r="K51" s="270">
        <f t="shared" ref="K51:K52" si="4">E28</f>
        <v>0</v>
      </c>
      <c r="L51" s="142"/>
      <c r="M51" s="59"/>
      <c r="N51" s="142"/>
      <c r="O51" s="142"/>
    </row>
    <row r="52" spans="1:15" s="14" customFormat="1">
      <c r="A52" s="431" t="s">
        <v>181</v>
      </c>
      <c r="B52" s="432"/>
      <c r="C52" s="433"/>
      <c r="D52" s="142"/>
      <c r="E52" s="284" t="e">
        <f>(E$25*2.5)+($E$46-$E$25)</f>
        <v>#DIV/0!</v>
      </c>
      <c r="F52" s="286"/>
      <c r="G52" s="142"/>
      <c r="H52" s="138" t="s">
        <v>162</v>
      </c>
      <c r="I52" s="410"/>
      <c r="J52" s="139" t="s">
        <v>137</v>
      </c>
      <c r="K52" s="270">
        <f t="shared" si="4"/>
        <v>0</v>
      </c>
      <c r="L52" s="142"/>
      <c r="M52" s="59"/>
      <c r="N52" s="142"/>
      <c r="O52" s="142"/>
    </row>
    <row r="53" spans="1:15" s="14" customFormat="1">
      <c r="A53" s="142"/>
      <c r="B53" s="152"/>
      <c r="C53" s="154"/>
      <c r="D53" s="142"/>
      <c r="E53" s="142"/>
      <c r="F53" s="155"/>
      <c r="G53" s="142"/>
      <c r="H53" s="138" t="s">
        <v>167</v>
      </c>
      <c r="I53" s="410"/>
      <c r="J53" s="424"/>
      <c r="K53" s="270">
        <f>E33</f>
        <v>0</v>
      </c>
      <c r="L53" s="142"/>
      <c r="M53" s="59"/>
      <c r="N53" s="142"/>
      <c r="O53" s="142"/>
    </row>
    <row r="54" spans="1:15" s="14" customFormat="1">
      <c r="A54" s="142"/>
      <c r="B54" s="152"/>
      <c r="C54" s="154"/>
      <c r="D54" s="142"/>
      <c r="E54" s="142"/>
      <c r="F54" s="155"/>
      <c r="G54" s="142"/>
      <c r="H54" s="138" t="s">
        <v>168</v>
      </c>
      <c r="I54" s="410"/>
      <c r="J54" s="424"/>
      <c r="K54" s="270">
        <f t="shared" ref="K54:K60" si="5">E34</f>
        <v>0</v>
      </c>
      <c r="L54" s="142"/>
      <c r="M54" s="59"/>
      <c r="N54" s="142"/>
      <c r="O54" s="142"/>
    </row>
    <row r="55" spans="1:15" s="14" customFormat="1">
      <c r="A55" s="142"/>
      <c r="B55" s="142"/>
      <c r="C55" s="156"/>
      <c r="D55" s="142"/>
      <c r="E55" s="142"/>
      <c r="F55" s="155"/>
      <c r="G55" s="142"/>
      <c r="H55" s="138" t="s">
        <v>169</v>
      </c>
      <c r="I55" s="410"/>
      <c r="J55" s="424"/>
      <c r="K55" s="270">
        <f t="shared" si="5"/>
        <v>0</v>
      </c>
      <c r="L55" s="142"/>
      <c r="M55" s="59"/>
      <c r="N55" s="142"/>
      <c r="O55" s="142"/>
    </row>
    <row r="56" spans="1:15" s="14" customFormat="1">
      <c r="A56" s="142"/>
      <c r="B56" s="142"/>
      <c r="C56" s="156"/>
      <c r="D56" s="142"/>
      <c r="E56" s="142"/>
      <c r="F56" s="155"/>
      <c r="G56" s="142"/>
      <c r="H56" s="138" t="s">
        <v>170</v>
      </c>
      <c r="I56" s="410"/>
      <c r="J56" s="425"/>
      <c r="K56" s="270">
        <f t="shared" si="5"/>
        <v>0</v>
      </c>
      <c r="L56" s="142"/>
      <c r="M56" s="59"/>
      <c r="N56" s="142"/>
      <c r="O56" s="142"/>
    </row>
    <row r="57" spans="1:15" s="14" customFormat="1">
      <c r="A57" s="59"/>
      <c r="B57" s="142"/>
      <c r="C57" s="156"/>
      <c r="D57" s="142"/>
      <c r="E57" s="142"/>
      <c r="F57" s="155"/>
      <c r="G57" s="142"/>
      <c r="H57" s="138" t="s">
        <v>171</v>
      </c>
      <c r="I57" s="410"/>
      <c r="J57" s="424"/>
      <c r="K57" s="270">
        <f t="shared" si="5"/>
        <v>0</v>
      </c>
      <c r="L57" s="142"/>
      <c r="M57" s="59"/>
      <c r="N57" s="142"/>
      <c r="O57" s="142"/>
    </row>
    <row r="58" spans="1:15" s="14" customFormat="1">
      <c r="A58" s="142"/>
      <c r="B58" s="142"/>
      <c r="C58" s="156"/>
      <c r="D58" s="142"/>
      <c r="E58" s="142"/>
      <c r="F58" s="155"/>
      <c r="G58" s="142"/>
      <c r="H58" s="138" t="s">
        <v>172</v>
      </c>
      <c r="I58" s="410"/>
      <c r="J58" s="425"/>
      <c r="K58" s="270">
        <f t="shared" si="5"/>
        <v>0</v>
      </c>
      <c r="L58" s="142"/>
      <c r="M58" s="59"/>
      <c r="N58" s="59"/>
      <c r="O58" s="142"/>
    </row>
    <row r="59" spans="1:15" s="14" customFormat="1">
      <c r="A59" s="142"/>
      <c r="B59" s="142"/>
      <c r="C59" s="156"/>
      <c r="D59" s="142"/>
      <c r="E59" s="142"/>
      <c r="F59" s="155"/>
      <c r="G59" s="142"/>
      <c r="H59" s="138" t="s">
        <v>173</v>
      </c>
      <c r="I59" s="410"/>
      <c r="J59" s="402"/>
      <c r="K59" s="270">
        <f t="shared" si="5"/>
        <v>0</v>
      </c>
      <c r="L59" s="142"/>
      <c r="M59" s="59"/>
      <c r="N59" s="59"/>
      <c r="O59" s="142"/>
    </row>
    <row r="60" spans="1:15" s="14" customFormat="1">
      <c r="A60" s="142"/>
      <c r="B60" s="142"/>
      <c r="C60" s="156"/>
      <c r="D60" s="142"/>
      <c r="E60" s="142"/>
      <c r="F60" s="155"/>
      <c r="G60" s="142"/>
      <c r="H60" s="138" t="s">
        <v>182</v>
      </c>
      <c r="I60" s="410"/>
      <c r="J60" s="402"/>
      <c r="K60" s="270">
        <f t="shared" si="5"/>
        <v>0</v>
      </c>
      <c r="L60" s="142"/>
      <c r="M60" s="59"/>
      <c r="N60" s="59"/>
      <c r="O60" s="142"/>
    </row>
    <row r="61" spans="1:15" s="14" customFormat="1">
      <c r="A61" s="142"/>
      <c r="B61" s="142"/>
      <c r="C61" s="156"/>
      <c r="D61" s="142"/>
      <c r="E61" s="142"/>
      <c r="F61" s="155"/>
      <c r="G61" s="142"/>
      <c r="H61" s="138" t="s">
        <v>177</v>
      </c>
      <c r="I61" s="410"/>
      <c r="J61" s="425"/>
      <c r="K61" s="270">
        <f>E44</f>
        <v>0</v>
      </c>
      <c r="L61" s="142"/>
      <c r="M61" s="59"/>
      <c r="N61" s="59"/>
      <c r="O61" s="142"/>
    </row>
    <row r="62" spans="1:15" s="14" customFormat="1">
      <c r="A62" s="142"/>
      <c r="B62" s="142"/>
      <c r="C62" s="156"/>
      <c r="D62" s="142"/>
      <c r="E62" s="142"/>
      <c r="F62" s="155"/>
      <c r="G62" s="142"/>
      <c r="H62" s="138"/>
      <c r="I62" s="427"/>
      <c r="J62" s="139"/>
      <c r="K62" s="269"/>
      <c r="L62" s="142"/>
      <c r="M62" s="59"/>
      <c r="N62" s="59"/>
      <c r="O62" s="142"/>
    </row>
    <row r="63" spans="1:15" s="14" customFormat="1">
      <c r="A63" s="142"/>
      <c r="B63" s="142"/>
      <c r="C63" s="156"/>
      <c r="D63" s="142"/>
      <c r="E63" s="142"/>
      <c r="F63" s="155"/>
      <c r="G63" s="142"/>
      <c r="H63" s="403" t="s">
        <v>178</v>
      </c>
      <c r="I63" s="428"/>
      <c r="J63" s="429"/>
      <c r="K63" s="281" t="e">
        <f>SUM(K45:K62)</f>
        <v>#DIV/0!</v>
      </c>
      <c r="L63" s="142"/>
      <c r="M63" s="59"/>
      <c r="N63" s="59"/>
      <c r="O63" s="142"/>
    </row>
    <row r="64" spans="1:15" s="14" customFormat="1">
      <c r="A64" s="142"/>
      <c r="B64" s="142"/>
      <c r="C64" s="156"/>
      <c r="D64" s="142"/>
      <c r="E64" s="59"/>
      <c r="F64" s="155"/>
      <c r="G64" s="142"/>
      <c r="H64" s="59"/>
      <c r="I64" s="145"/>
      <c r="J64" s="430"/>
      <c r="K64" s="257"/>
      <c r="L64" s="142"/>
      <c r="M64" s="59"/>
      <c r="N64" s="59"/>
      <c r="O64" s="59"/>
    </row>
    <row r="65" spans="1:15" s="14" customFormat="1">
      <c r="A65" s="59"/>
      <c r="B65" s="59"/>
      <c r="C65" s="59"/>
      <c r="D65" s="59"/>
      <c r="E65" s="59"/>
      <c r="F65" s="59"/>
      <c r="G65" s="142"/>
      <c r="H65" s="431" t="s">
        <v>179</v>
      </c>
      <c r="I65" s="432"/>
      <c r="J65" s="433"/>
      <c r="K65" s="284" t="e">
        <f>E48</f>
        <v>#DIV/0!</v>
      </c>
      <c r="L65" s="142"/>
      <c r="M65" s="59"/>
      <c r="N65" s="59"/>
      <c r="O65" s="59"/>
    </row>
    <row r="66" spans="1:15">
      <c r="H66" s="142"/>
      <c r="I66" s="152"/>
      <c r="J66" s="153"/>
      <c r="K66" s="286"/>
      <c r="L66" s="142"/>
    </row>
    <row r="67" spans="1:15">
      <c r="H67" s="431" t="s">
        <v>180</v>
      </c>
      <c r="I67" s="432"/>
      <c r="J67" s="433"/>
      <c r="K67" s="284" t="e">
        <f>E50</f>
        <v>#DIV/0!</v>
      </c>
      <c r="L67" s="142"/>
    </row>
    <row r="68" spans="1:15">
      <c r="H68" s="142"/>
      <c r="I68" s="152"/>
      <c r="J68" s="153"/>
      <c r="K68" s="286"/>
      <c r="L68" s="142"/>
    </row>
    <row r="69" spans="1:15">
      <c r="H69" s="431" t="s">
        <v>181</v>
      </c>
      <c r="I69" s="432"/>
      <c r="J69" s="433"/>
      <c r="K69" s="284" t="e">
        <f>E52</f>
        <v>#DIV/0!</v>
      </c>
      <c r="L69" s="142"/>
    </row>
    <row r="70" spans="1:15">
      <c r="L70" s="142"/>
      <c r="O70" s="142"/>
    </row>
    <row r="71" spans="1:15">
      <c r="O71" s="142"/>
    </row>
    <row r="72" spans="1:15">
      <c r="O72" s="142"/>
    </row>
    <row r="73" spans="1:15">
      <c r="O73" s="142"/>
    </row>
    <row r="74" spans="1:15">
      <c r="O74" s="142"/>
    </row>
    <row r="75" spans="1:15">
      <c r="O75" s="142"/>
    </row>
    <row r="76" spans="1:15">
      <c r="O76" s="142"/>
    </row>
  </sheetData>
  <mergeCells count="7">
    <mergeCell ref="I25:N25"/>
    <mergeCell ref="I17:N17"/>
    <mergeCell ref="E10:F10"/>
    <mergeCell ref="I10:N10"/>
    <mergeCell ref="H1:N2"/>
    <mergeCell ref="H3:N3"/>
    <mergeCell ref="H4:N5"/>
  </mergeCells>
  <conditionalFormatting sqref="O2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6"/>
  <sheetViews>
    <sheetView showGridLines="0" zoomScaleNormal="100" workbookViewId="0">
      <pane ySplit="10" topLeftCell="A11" activePane="bottomLeft" state="frozen"/>
      <selection activeCell="B1" sqref="B1"/>
      <selection pane="bottomLeft" activeCell="J15" sqref="J15"/>
    </sheetView>
  </sheetViews>
  <sheetFormatPr defaultColWidth="9.109375" defaultRowHeight="13.2"/>
  <cols>
    <col min="1" max="1" width="28.109375" style="59" customWidth="1"/>
    <col min="2" max="2" width="30.5546875" style="59" bestFit="1" customWidth="1"/>
    <col min="3" max="3" width="12.88671875" style="59" customWidth="1"/>
    <col min="4" max="4" width="24.109375" style="59" customWidth="1"/>
    <col min="5" max="5" width="15.33203125" style="59" customWidth="1"/>
    <col min="6" max="6" width="12.88671875" style="59" customWidth="1"/>
    <col min="7" max="7" width="12.33203125" style="59" bestFit="1" customWidth="1"/>
    <col min="8" max="8" width="13.6640625" style="59" bestFit="1" customWidth="1"/>
    <col min="9" max="9" width="19.88671875" style="2" customWidth="1"/>
    <col min="10" max="16384" width="9.109375" style="2"/>
  </cols>
  <sheetData>
    <row r="1" spans="1:9">
      <c r="A1" s="502" t="s">
        <v>5</v>
      </c>
      <c r="I1" s="59"/>
    </row>
    <row r="2" spans="1:9">
      <c r="A2" s="100"/>
      <c r="I2" s="59"/>
    </row>
    <row r="3" spans="1:9" ht="15.6">
      <c r="A3" s="39" t="str">
        <f>'2-Kosten'!A3</f>
        <v>Naam opdrachtgever</v>
      </c>
      <c r="B3" s="158">
        <f>'2-Kosten'!B3</f>
        <v>0</v>
      </c>
      <c r="I3" s="59"/>
    </row>
    <row r="4" spans="1:9" ht="15.6">
      <c r="A4" s="39" t="str">
        <f>'2-Kosten'!A4</f>
        <v>Calculatie onderdeel</v>
      </c>
      <c r="B4" s="48" t="str">
        <f ca="1">MID(CELL("bestandsnaam",$C$9),SEARCH("]",CELL("bestandsnaam",$C$9),1)+1,256)</f>
        <v>8-Additionele kosten</v>
      </c>
      <c r="I4" s="59"/>
    </row>
    <row r="5" spans="1:9" ht="15.6">
      <c r="A5" s="39" t="str">
        <f>'2-Kosten'!A5</f>
        <v>Gebouw/plaats</v>
      </c>
      <c r="B5" s="158">
        <f>'2-Kosten'!B5</f>
        <v>0</v>
      </c>
      <c r="I5" s="59"/>
    </row>
    <row r="6" spans="1:9" ht="15.6">
      <c r="A6" s="39" t="str">
        <f>'2-Kosten'!A6</f>
        <v>Referentie nummer</v>
      </c>
      <c r="B6" s="158">
        <f>'2-Kosten'!B6</f>
        <v>0</v>
      </c>
      <c r="I6" s="59"/>
    </row>
    <row r="7" spans="1:9" ht="15" customHeight="1">
      <c r="A7" s="39" t="str">
        <f>'2-Kosten'!A7</f>
        <v>Naam dienstverlener</v>
      </c>
      <c r="B7" s="158">
        <f>'2-Kosten'!B7</f>
        <v>0</v>
      </c>
      <c r="I7" s="59"/>
    </row>
    <row r="8" spans="1:9" ht="15.6">
      <c r="A8" s="39" t="str">
        <f>'2-Kosten'!A8</f>
        <v>Prijspeil</v>
      </c>
      <c r="B8" s="293">
        <f>'2-Kosten'!B8</f>
        <v>46023</v>
      </c>
      <c r="I8" s="59"/>
    </row>
    <row r="10" spans="1:9" ht="48.6">
      <c r="A10" s="437" t="s">
        <v>23</v>
      </c>
      <c r="B10" s="437" t="s">
        <v>186</v>
      </c>
      <c r="C10" s="437" t="s">
        <v>187</v>
      </c>
      <c r="D10" s="437" t="s">
        <v>188</v>
      </c>
      <c r="E10" s="437" t="s">
        <v>189</v>
      </c>
      <c r="F10" s="437" t="s">
        <v>190</v>
      </c>
      <c r="G10" s="437" t="s">
        <v>191</v>
      </c>
      <c r="H10" s="437" t="s">
        <v>192</v>
      </c>
    </row>
    <row r="11" spans="1:9">
      <c r="A11" s="514" t="s">
        <v>286</v>
      </c>
      <c r="B11" s="74" t="s">
        <v>423</v>
      </c>
      <c r="C11" s="438">
        <f>SUMIF('4-Basis ruimtestaat'!G:G,"sanitaire ruimten",'4-Basis ruimtestaat'!J:J)</f>
        <v>44.2</v>
      </c>
      <c r="D11" s="438">
        <v>1</v>
      </c>
      <c r="E11" s="305"/>
      <c r="F11" s="439">
        <f>E11*D11</f>
        <v>0</v>
      </c>
      <c r="G11" s="292"/>
      <c r="H11" s="240">
        <f>G11*F11</f>
        <v>0</v>
      </c>
    </row>
    <row r="12" spans="1:9">
      <c r="A12" s="98"/>
      <c r="C12" s="86"/>
      <c r="D12" s="86"/>
      <c r="E12" s="86"/>
      <c r="F12" s="86"/>
      <c r="G12" s="86"/>
      <c r="H12" s="86"/>
    </row>
    <row r="13" spans="1:9" ht="32.4">
      <c r="A13" s="437" t="s">
        <v>23</v>
      </c>
      <c r="B13" s="218" t="s">
        <v>193</v>
      </c>
      <c r="C13" s="218"/>
      <c r="D13" s="219"/>
      <c r="E13" s="219"/>
      <c r="F13" s="219"/>
      <c r="G13" s="220"/>
      <c r="H13" s="220" t="s">
        <v>194</v>
      </c>
    </row>
    <row r="14" spans="1:9">
      <c r="A14" s="318" t="s">
        <v>0</v>
      </c>
      <c r="B14" s="74" t="s">
        <v>162</v>
      </c>
      <c r="C14" s="159"/>
      <c r="D14" s="160"/>
      <c r="E14" s="160"/>
      <c r="F14" s="160"/>
      <c r="G14" s="161"/>
      <c r="H14" s="440">
        <f>'12-Machinekosten'!Q28</f>
        <v>0</v>
      </c>
    </row>
    <row r="15" spans="1:9">
      <c r="H15" s="257"/>
    </row>
    <row r="16" spans="1:9" s="13" customFormat="1">
      <c r="A16" s="366" t="s">
        <v>38</v>
      </c>
      <c r="B16" s="378"/>
      <c r="C16" s="378"/>
      <c r="D16" s="378"/>
      <c r="E16" s="378"/>
      <c r="F16" s="441">
        <f>SUM(F11:F11)</f>
        <v>0</v>
      </c>
      <c r="G16" s="378"/>
      <c r="H16" s="289">
        <f>SUM(H11:H15)</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70"/>
  <sheetViews>
    <sheetView showGridLines="0" showZeros="0" zoomScaleNormal="100" zoomScaleSheetLayoutView="75" zoomScalePageLayoutView="50" workbookViewId="0">
      <pane ySplit="10" topLeftCell="A49" activePane="bottomLeft" state="frozen"/>
      <selection activeCell="B1" sqref="B1"/>
      <selection pane="bottomLeft" activeCell="I20" sqref="I20"/>
    </sheetView>
  </sheetViews>
  <sheetFormatPr defaultColWidth="11.44140625" defaultRowHeight="13.2"/>
  <cols>
    <col min="1" max="1" width="39" style="59" customWidth="1"/>
    <col min="2" max="2" width="20.33203125" style="59" customWidth="1"/>
    <col min="3" max="6" width="17.5546875" style="59" customWidth="1"/>
    <col min="7" max="16384" width="11.44140625" style="2"/>
  </cols>
  <sheetData>
    <row r="1" spans="1:6">
      <c r="A1" s="502" t="s">
        <v>5</v>
      </c>
      <c r="B1" s="162"/>
      <c r="C1" s="162"/>
      <c r="D1" s="163"/>
    </row>
    <row r="2" spans="1:6">
      <c r="A2" s="100"/>
    </row>
    <row r="3" spans="1:6" ht="15.6">
      <c r="A3" s="39" t="str">
        <f>'2-Kosten'!A3</f>
        <v>Naam opdrachtgever</v>
      </c>
      <c r="B3" s="48">
        <f>'2-Kosten'!B3</f>
        <v>0</v>
      </c>
      <c r="C3" s="164"/>
      <c r="D3" s="164"/>
    </row>
    <row r="4" spans="1:6" ht="15.6">
      <c r="A4" s="39" t="str">
        <f>'2-Kosten'!A4</f>
        <v>Calculatie onderdeel</v>
      </c>
      <c r="B4" s="48" t="str">
        <f ca="1">MID(CELL("bestandsnaam",$C$9),SEARCH("]",CELL("bestandsnaam",$C$9),1)+1,256)</f>
        <v>9-Afroepprijs</v>
      </c>
      <c r="C4" s="165"/>
      <c r="D4" s="166"/>
    </row>
    <row r="5" spans="1:6" ht="15.6">
      <c r="A5" s="39" t="str">
        <f>'2-Kosten'!A5</f>
        <v>Gebouw/plaats</v>
      </c>
      <c r="B5" s="48">
        <f>'2-Kosten'!B5</f>
        <v>0</v>
      </c>
      <c r="C5" s="165"/>
      <c r="D5" s="166"/>
    </row>
    <row r="6" spans="1:6" ht="15.6">
      <c r="A6" s="39" t="str">
        <f>'2-Kosten'!A6</f>
        <v>Referentie nummer</v>
      </c>
      <c r="B6" s="48">
        <f>'2-Kosten'!B6</f>
        <v>0</v>
      </c>
      <c r="C6" s="165"/>
      <c r="D6" s="166"/>
    </row>
    <row r="7" spans="1:6" ht="15.6">
      <c r="A7" s="39" t="str">
        <f>'2-Kosten'!A7</f>
        <v>Naam dienstverlener</v>
      </c>
      <c r="B7" s="48">
        <f>'2-Kosten'!B7</f>
        <v>0</v>
      </c>
      <c r="C7" s="165"/>
      <c r="D7" s="166"/>
    </row>
    <row r="8" spans="1:6" ht="15.6">
      <c r="A8" s="39" t="str">
        <f>'2-Kosten'!A8</f>
        <v>Prijspeil</v>
      </c>
      <c r="B8" s="265">
        <f>'2-Kosten'!B8</f>
        <v>46023</v>
      </c>
      <c r="C8" s="165"/>
      <c r="D8" s="166"/>
    </row>
    <row r="9" spans="1:6" ht="15.6">
      <c r="A9" s="167"/>
      <c r="B9" s="168"/>
      <c r="C9" s="165"/>
      <c r="D9" s="166"/>
    </row>
    <row r="10" spans="1:6">
      <c r="A10" s="169"/>
      <c r="B10" s="170"/>
      <c r="C10" s="170"/>
      <c r="D10" s="170"/>
    </row>
    <row r="11" spans="1:6" ht="18.600000000000001">
      <c r="A11" s="442" t="s">
        <v>195</v>
      </c>
      <c r="B11" s="443"/>
      <c r="C11" s="443"/>
      <c r="D11" s="444"/>
      <c r="E11" s="444"/>
      <c r="F11" s="445"/>
    </row>
    <row r="13" spans="1:6">
      <c r="A13" s="446"/>
      <c r="B13" s="447"/>
      <c r="C13" s="576" t="s">
        <v>196</v>
      </c>
      <c r="D13" s="577"/>
      <c r="E13" s="577"/>
      <c r="F13" s="578"/>
    </row>
    <row r="14" spans="1:6">
      <c r="A14" s="448" t="s">
        <v>197</v>
      </c>
      <c r="B14" s="448" t="s">
        <v>198</v>
      </c>
      <c r="C14" s="449" t="s">
        <v>199</v>
      </c>
      <c r="D14" s="438" t="s">
        <v>200</v>
      </c>
      <c r="E14" s="438" t="s">
        <v>201</v>
      </c>
      <c r="F14" s="438" t="s">
        <v>202</v>
      </c>
    </row>
    <row r="15" spans="1:6">
      <c r="A15" s="450" t="s">
        <v>203</v>
      </c>
      <c r="B15" s="450" t="s">
        <v>204</v>
      </c>
      <c r="C15" s="451"/>
      <c r="D15" s="451"/>
      <c r="E15" s="451"/>
      <c r="F15" s="451"/>
    </row>
    <row r="16" spans="1:6">
      <c r="A16" s="450" t="s">
        <v>205</v>
      </c>
      <c r="B16" s="450" t="s">
        <v>204</v>
      </c>
      <c r="C16" s="451"/>
      <c r="D16" s="451"/>
      <c r="E16" s="451"/>
      <c r="F16" s="451"/>
    </row>
    <row r="17" spans="1:6">
      <c r="A17" s="450" t="s">
        <v>206</v>
      </c>
      <c r="B17" s="450" t="s">
        <v>207</v>
      </c>
      <c r="C17" s="451"/>
      <c r="D17" s="451"/>
      <c r="E17" s="451"/>
      <c r="F17" s="451"/>
    </row>
    <row r="18" spans="1:6">
      <c r="A18" s="448" t="s">
        <v>208</v>
      </c>
      <c r="B18" s="452"/>
      <c r="C18" s="451"/>
      <c r="D18" s="451"/>
      <c r="E18" s="451"/>
      <c r="F18" s="451"/>
    </row>
    <row r="19" spans="1:6">
      <c r="A19" s="448" t="s">
        <v>209</v>
      </c>
      <c r="B19" s="452"/>
      <c r="C19" s="451"/>
      <c r="D19" s="451"/>
      <c r="E19" s="451"/>
      <c r="F19" s="451"/>
    </row>
    <row r="20" spans="1:6">
      <c r="A20" s="171"/>
      <c r="B20" s="171"/>
      <c r="C20" s="171"/>
      <c r="D20" s="162"/>
    </row>
    <row r="21" spans="1:6" ht="18.600000000000001">
      <c r="A21" s="442" t="s">
        <v>210</v>
      </c>
      <c r="B21" s="453"/>
      <c r="C21" s="453"/>
      <c r="D21" s="453"/>
      <c r="E21" s="453"/>
      <c r="F21" s="454"/>
    </row>
    <row r="22" spans="1:6">
      <c r="A22" s="172"/>
      <c r="B22" s="171"/>
      <c r="C22" s="171"/>
      <c r="D22" s="162"/>
      <c r="E22" s="576" t="s">
        <v>211</v>
      </c>
      <c r="F22" s="578"/>
    </row>
    <row r="23" spans="1:6">
      <c r="A23" s="448" t="s">
        <v>212</v>
      </c>
      <c r="B23" s="455" t="s">
        <v>198</v>
      </c>
      <c r="C23" s="456"/>
      <c r="D23" s="457"/>
      <c r="E23" s="458" t="s">
        <v>213</v>
      </c>
      <c r="F23" s="458" t="s">
        <v>214</v>
      </c>
    </row>
    <row r="24" spans="1:6">
      <c r="A24" s="450" t="s">
        <v>215</v>
      </c>
      <c r="B24" s="452"/>
      <c r="C24" s="203"/>
      <c r="D24" s="203"/>
      <c r="E24" s="451"/>
      <c r="F24" s="451"/>
    </row>
    <row r="25" spans="1:6">
      <c r="A25" s="450" t="s">
        <v>216</v>
      </c>
      <c r="B25" s="452"/>
      <c r="C25" s="459"/>
      <c r="D25" s="459"/>
      <c r="E25" s="451"/>
      <c r="F25" s="451"/>
    </row>
    <row r="26" spans="1:6">
      <c r="A26" s="450" t="s">
        <v>217</v>
      </c>
      <c r="B26" s="452"/>
      <c r="C26" s="459"/>
      <c r="D26" s="459"/>
      <c r="E26" s="451"/>
      <c r="F26" s="451"/>
    </row>
    <row r="27" spans="1:6">
      <c r="A27" s="450" t="s">
        <v>218</v>
      </c>
      <c r="B27" s="452"/>
      <c r="C27" s="460"/>
      <c r="D27" s="459"/>
      <c r="E27" s="451"/>
      <c r="F27" s="451"/>
    </row>
    <row r="28" spans="1:6">
      <c r="A28" s="450" t="s">
        <v>219</v>
      </c>
      <c r="B28" s="452"/>
      <c r="C28" s="460"/>
      <c r="D28" s="459"/>
      <c r="E28" s="451"/>
      <c r="F28" s="451"/>
    </row>
    <row r="29" spans="1:6">
      <c r="A29" s="173"/>
      <c r="B29" s="174"/>
      <c r="C29" s="174"/>
      <c r="D29" s="173"/>
    </row>
    <row r="30" spans="1:6" ht="18.600000000000001">
      <c r="A30" s="442" t="s">
        <v>220</v>
      </c>
      <c r="B30" s="453"/>
      <c r="C30" s="453"/>
      <c r="D30" s="453"/>
      <c r="E30" s="453"/>
      <c r="F30" s="454"/>
    </row>
    <row r="31" spans="1:6">
      <c r="A31" s="461"/>
      <c r="B31" s="461"/>
      <c r="C31" s="461"/>
      <c r="D31" s="461"/>
    </row>
    <row r="32" spans="1:6" ht="26.4">
      <c r="A32" s="462" t="s">
        <v>221</v>
      </c>
      <c r="B32" s="463" t="s">
        <v>198</v>
      </c>
      <c r="C32" s="456"/>
      <c r="D32" s="457"/>
      <c r="E32" s="464" t="s">
        <v>222</v>
      </c>
      <c r="F32" s="465" t="s">
        <v>223</v>
      </c>
    </row>
    <row r="33" spans="1:6">
      <c r="A33" s="450" t="s">
        <v>224</v>
      </c>
      <c r="B33" s="452"/>
      <c r="C33" s="203"/>
      <c r="D33" s="203"/>
      <c r="E33" s="451"/>
      <c r="F33" s="451"/>
    </row>
    <row r="34" spans="1:6">
      <c r="A34" s="450" t="s">
        <v>225</v>
      </c>
      <c r="B34" s="452"/>
      <c r="C34" s="459"/>
      <c r="D34" s="459"/>
      <c r="E34" s="451"/>
      <c r="F34" s="451"/>
    </row>
    <row r="35" spans="1:6">
      <c r="A35" s="450" t="s">
        <v>226</v>
      </c>
      <c r="B35" s="452"/>
      <c r="C35" s="460"/>
      <c r="D35" s="459"/>
      <c r="E35" s="451"/>
      <c r="F35" s="451"/>
    </row>
    <row r="36" spans="1:6">
      <c r="A36" s="450" t="s">
        <v>227</v>
      </c>
      <c r="B36" s="452"/>
      <c r="C36" s="460"/>
      <c r="D36" s="459"/>
      <c r="E36" s="451"/>
      <c r="F36" s="451"/>
    </row>
    <row r="37" spans="1:6">
      <c r="A37" s="450" t="s">
        <v>228</v>
      </c>
      <c r="B37" s="452"/>
      <c r="C37" s="460"/>
      <c r="D37" s="459"/>
      <c r="E37" s="451"/>
      <c r="F37" s="451"/>
    </row>
    <row r="39" spans="1:6" ht="18.600000000000001">
      <c r="A39" s="442" t="s">
        <v>229</v>
      </c>
      <c r="B39" s="453"/>
      <c r="C39" s="453"/>
      <c r="D39" s="453"/>
      <c r="E39" s="453"/>
      <c r="F39" s="454"/>
    </row>
    <row r="40" spans="1:6">
      <c r="A40" s="172"/>
      <c r="B40" s="171"/>
      <c r="C40" s="171"/>
      <c r="D40" s="162"/>
    </row>
    <row r="41" spans="1:6">
      <c r="A41" s="448" t="s">
        <v>197</v>
      </c>
      <c r="B41" s="446" t="s">
        <v>198</v>
      </c>
      <c r="C41" s="461"/>
      <c r="D41" s="461"/>
      <c r="E41" s="461"/>
      <c r="F41" s="466" t="s">
        <v>230</v>
      </c>
    </row>
    <row r="42" spans="1:6">
      <c r="A42" s="450" t="s">
        <v>231</v>
      </c>
      <c r="B42" s="175" t="s">
        <v>232</v>
      </c>
      <c r="C42" s="175"/>
      <c r="D42" s="175"/>
      <c r="E42" s="175"/>
      <c r="F42" s="451"/>
    </row>
    <row r="43" spans="1:6">
      <c r="A43" s="450" t="s">
        <v>231</v>
      </c>
      <c r="B43" s="175" t="s">
        <v>233</v>
      </c>
      <c r="C43" s="175"/>
      <c r="D43" s="175"/>
      <c r="E43" s="175"/>
      <c r="F43" s="451"/>
    </row>
    <row r="44" spans="1:6">
      <c r="A44" s="450" t="s">
        <v>231</v>
      </c>
      <c r="B44" s="175" t="s">
        <v>234</v>
      </c>
      <c r="C44" s="175"/>
      <c r="D44" s="175"/>
      <c r="E44" s="175"/>
      <c r="F44" s="451"/>
    </row>
    <row r="45" spans="1:6">
      <c r="A45" s="450" t="s">
        <v>235</v>
      </c>
      <c r="B45" s="175" t="s">
        <v>232</v>
      </c>
      <c r="C45" s="175"/>
      <c r="D45" s="175"/>
      <c r="E45" s="175"/>
      <c r="F45" s="451"/>
    </row>
    <row r="46" spans="1:6">
      <c r="A46" s="171"/>
      <c r="B46" s="162"/>
      <c r="C46" s="162"/>
      <c r="D46" s="171"/>
    </row>
    <row r="47" spans="1:6" s="12" customFormat="1" ht="18.600000000000001">
      <c r="A47" s="467" t="s">
        <v>236</v>
      </c>
      <c r="B47" s="468"/>
      <c r="C47" s="468"/>
      <c r="D47" s="453"/>
      <c r="E47" s="454"/>
      <c r="F47" s="41"/>
    </row>
    <row r="48" spans="1:6" s="12" customFormat="1" ht="27" customHeight="1">
      <c r="A48" s="462" t="s">
        <v>197</v>
      </c>
      <c r="B48" s="579" t="s">
        <v>198</v>
      </c>
      <c r="C48" s="580"/>
      <c r="D48" s="581"/>
      <c r="E48" s="469" t="s">
        <v>211</v>
      </c>
      <c r="F48" s="41"/>
    </row>
    <row r="49" spans="1:6" s="12" customFormat="1">
      <c r="A49" s="450" t="s">
        <v>237</v>
      </c>
      <c r="B49" s="573"/>
      <c r="C49" s="574"/>
      <c r="D49" s="575"/>
      <c r="E49" s="451"/>
      <c r="F49" s="41"/>
    </row>
    <row r="50" spans="1:6" s="12" customFormat="1">
      <c r="A50" s="450" t="s">
        <v>238</v>
      </c>
      <c r="B50" s="573"/>
      <c r="C50" s="574"/>
      <c r="D50" s="575"/>
      <c r="E50" s="451"/>
      <c r="F50" s="41"/>
    </row>
    <row r="51" spans="1:6" s="12" customFormat="1">
      <c r="A51" s="470"/>
      <c r="B51" s="573"/>
      <c r="C51" s="574"/>
      <c r="D51" s="575"/>
      <c r="E51" s="451"/>
      <c r="F51" s="41"/>
    </row>
    <row r="52" spans="1:6" s="12" customFormat="1">
      <c r="A52" s="470"/>
      <c r="B52" s="573"/>
      <c r="C52" s="574"/>
      <c r="D52" s="575"/>
      <c r="E52" s="451"/>
      <c r="F52" s="41"/>
    </row>
    <row r="53" spans="1:6" s="12" customFormat="1">
      <c r="A53" s="470"/>
      <c r="B53" s="573"/>
      <c r="C53" s="574"/>
      <c r="D53" s="575"/>
      <c r="E53" s="451"/>
      <c r="F53" s="41"/>
    </row>
    <row r="54" spans="1:6" s="12" customFormat="1">
      <c r="A54" s="41"/>
      <c r="B54" s="41"/>
      <c r="C54" s="41"/>
      <c r="D54" s="41"/>
      <c r="E54" s="41"/>
      <c r="F54" s="41"/>
    </row>
    <row r="55" spans="1:6" s="12" customFormat="1" ht="18.600000000000001">
      <c r="A55" s="467" t="s">
        <v>239</v>
      </c>
      <c r="B55" s="454"/>
      <c r="C55" s="41"/>
      <c r="D55" s="41"/>
      <c r="E55" s="41"/>
      <c r="F55" s="41"/>
    </row>
    <row r="56" spans="1:6" s="12" customFormat="1">
      <c r="A56" s="448" t="s">
        <v>240</v>
      </c>
      <c r="B56" s="469" t="s">
        <v>230</v>
      </c>
      <c r="C56" s="41"/>
      <c r="D56" s="41"/>
      <c r="E56" s="41"/>
      <c r="F56" s="41"/>
    </row>
    <row r="57" spans="1:6" s="12" customFormat="1">
      <c r="A57" s="450" t="s">
        <v>241</v>
      </c>
      <c r="B57" s="451"/>
      <c r="C57" s="41"/>
      <c r="D57" s="41"/>
      <c r="E57" s="41"/>
      <c r="F57" s="41"/>
    </row>
    <row r="58" spans="1:6" s="12" customFormat="1">
      <c r="A58" s="450" t="s">
        <v>242</v>
      </c>
      <c r="B58" s="451"/>
      <c r="C58" s="41"/>
      <c r="D58" s="41"/>
      <c r="E58" s="41"/>
      <c r="F58" s="41"/>
    </row>
    <row r="59" spans="1:6" s="12" customFormat="1">
      <c r="A59" s="171"/>
      <c r="B59" s="171"/>
      <c r="C59" s="41"/>
      <c r="D59" s="41"/>
      <c r="E59" s="41"/>
      <c r="F59" s="41"/>
    </row>
    <row r="60" spans="1:6" ht="15.6">
      <c r="A60" s="221" t="s">
        <v>243</v>
      </c>
      <c r="B60" s="162"/>
      <c r="C60" s="162"/>
      <c r="D60" s="171"/>
    </row>
    <row r="61" spans="1:6">
      <c r="A61" s="171" t="s">
        <v>244</v>
      </c>
    </row>
    <row r="62" spans="1:6">
      <c r="A62" s="171" t="s">
        <v>245</v>
      </c>
      <c r="B62" s="162"/>
      <c r="C62" s="162"/>
      <c r="D62" s="171"/>
    </row>
    <row r="63" spans="1:6" ht="12.75" customHeight="1">
      <c r="A63" s="171"/>
      <c r="B63" s="162"/>
      <c r="C63" s="162"/>
      <c r="D63" s="171"/>
    </row>
    <row r="64" spans="1:6">
      <c r="A64" s="171"/>
      <c r="B64" s="162"/>
      <c r="C64" s="162"/>
      <c r="D64" s="171"/>
    </row>
    <row r="65" spans="1:4">
      <c r="A65" s="171"/>
      <c r="B65" s="162"/>
      <c r="C65" s="162"/>
      <c r="D65" s="171"/>
    </row>
    <row r="67" spans="1:4">
      <c r="A67" s="176"/>
      <c r="B67" s="162"/>
      <c r="C67" s="162"/>
      <c r="D67" s="162"/>
    </row>
    <row r="68" spans="1:4">
      <c r="A68" s="176"/>
    </row>
    <row r="69" spans="1:4">
      <c r="A69" s="176"/>
    </row>
    <row r="70" spans="1:4">
      <c r="A70" s="176"/>
    </row>
  </sheetData>
  <mergeCells count="8">
    <mergeCell ref="B51:D51"/>
    <mergeCell ref="B52:D52"/>
    <mergeCell ref="B53:D53"/>
    <mergeCell ref="C13:F13"/>
    <mergeCell ref="E22:F22"/>
    <mergeCell ref="B48:D48"/>
    <mergeCell ref="B49:D49"/>
    <mergeCell ref="B50:D50"/>
  </mergeCells>
  <phoneticPr fontId="11"/>
  <conditionalFormatting sqref="B57:B58">
    <cfRule type="cellIs" dxfId="3" priority="1" stopIfTrue="1" operator="equal">
      <formula>"nvt"</formula>
    </cfRule>
  </conditionalFormatting>
  <conditionalFormatting sqref="E49:E53">
    <cfRule type="cellIs" dxfId="2" priority="2" stopIfTrue="1" operator="equal">
      <formula>"nvt"</formula>
    </cfRule>
  </conditionalFormatting>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_Rob Toorenburgh</DisplayName>
        <AccountId>35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7B755F7A-ED98-46AD-B5C8-9665F4705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11-Sanitaire voorzieningen</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'2-Kosten'!Afdrukbereik</vt:lpstr>
      <vt:lpstr>'4-Basis ruimtestaat'!Afdrukbereik</vt:lpstr>
      <vt:lpstr>'5-Premies en opslagen'!Afdrukbereik</vt:lpstr>
      <vt:lpstr>'6-Opbouw uurtarief productie'!Afdrukbereik</vt:lpstr>
      <vt:lpstr>'9-Afroepprijs'!Afdrukbereik</vt:lpstr>
      <vt:lpstr>'10-Vloeronderhoud'!Afdruktitels</vt:lpstr>
      <vt:lpstr>'11-Sanitaire voorzieningen'!Afdruktitels</vt:lpstr>
      <vt:lpstr>'2-Kosten'!Afdruktitels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2026-04-08T10:07:39Z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y fmtid="{D5CDD505-2E9C-101B-9397-08002B2CF9AE}" pid="4" name="Order">
    <vt:r8>3788400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